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95" windowWidth="20115" windowHeight="6375" tabRatio="757" activeTab="0"/>
  </bookViews>
  <sheets>
    <sheet name="DESONERADA" sheetId="1" r:id="rId1"/>
    <sheet name="DESONERADA resumida" sheetId="2" r:id="rId2"/>
    <sheet name="NÃO DESONERADA" sheetId="3" r:id="rId3"/>
  </sheets>
  <externalReferences>
    <externalReference r:id="rId6"/>
  </externalReferences>
  <definedNames>
    <definedName name="_xlnm.Print_Area" localSheetId="0">'DESONERADA'!$A$1:$I$1649</definedName>
    <definedName name="_xlnm.Print_Area" localSheetId="1">'DESONERADA resumida'!$A$1:$I$256</definedName>
    <definedName name="_xlnm.Print_Area" localSheetId="2">'NÃO DESONERADA'!$A$1:$I$1657</definedName>
    <definedName name="BDI" localSheetId="0">#REF!</definedName>
    <definedName name="BDI" localSheetId="1">#REF!</definedName>
    <definedName name="BDI" localSheetId="2">#REF!</definedName>
    <definedName name="BDI">#REF!</definedName>
    <definedName name="_xlnm.Print_Titles" localSheetId="0">'DESONERADA'!$9:$11</definedName>
    <definedName name="_xlnm.Print_Titles" localSheetId="1">'DESONERADA resumida'!$9:$11</definedName>
    <definedName name="_xlnm.Print_Titles" localSheetId="2">'NÃO DESONERADA'!$9:$11</definedName>
  </definedNames>
  <calcPr fullCalcOnLoad="1"/>
</workbook>
</file>

<file path=xl/sharedStrings.xml><?xml version="1.0" encoding="utf-8"?>
<sst xmlns="http://schemas.openxmlformats.org/spreadsheetml/2006/main" count="10401" uniqueCount="2495">
  <si>
    <t>M2</t>
  </si>
  <si>
    <t>M3</t>
  </si>
  <si>
    <t>M</t>
  </si>
  <si>
    <t>KG</t>
  </si>
  <si>
    <t>H</t>
  </si>
  <si>
    <t>TOTAL</t>
  </si>
  <si>
    <t>1.1</t>
  </si>
  <si>
    <t>1.2</t>
  </si>
  <si>
    <t>1.3</t>
  </si>
  <si>
    <t>1.4</t>
  </si>
  <si>
    <t>UN</t>
  </si>
  <si>
    <t>1.0</t>
  </si>
  <si>
    <t>SERVIÇOS PRELIMINARES</t>
  </si>
  <si>
    <t xml:space="preserve">Estado do Rio de Janeiro                                                        </t>
  </si>
  <si>
    <t>Prefeitura Municipal de Barra Mansa</t>
  </si>
  <si>
    <t xml:space="preserve">Secretaria Municipal de Planejamento Urbano </t>
  </si>
  <si>
    <t xml:space="preserve">MEMÓRIA DE CÁLCULO </t>
  </si>
  <si>
    <t>ITEM</t>
  </si>
  <si>
    <t>DISCRIMINAÇÃO</t>
  </si>
  <si>
    <t>QUANT.</t>
  </si>
  <si>
    <t>PREÇOS (R$)</t>
  </si>
  <si>
    <t>CHP</t>
  </si>
  <si>
    <t>x</t>
  </si>
  <si>
    <t>TOTAL 1.0</t>
  </si>
  <si>
    <t>APROVAÇÃO: Eng. Eros dos Santos</t>
  </si>
  <si>
    <t>CÓDIGO</t>
  </si>
  <si>
    <t>20132</t>
  </si>
  <si>
    <t>MAO-DE-OBRA DE SERVENTE DA CONSTRUCAO CIVIL, INCLUSIVE ENCARGOS SOCIAIS DESONERADOS</t>
  </si>
  <si>
    <t>UNIT s/ BDI</t>
  </si>
  <si>
    <t>UNITc/ BDI</t>
  </si>
  <si>
    <t>TOTAL s/ BDI</t>
  </si>
  <si>
    <t>TOTAL c/ BDI</t>
  </si>
  <si>
    <t>SERVENTE COM ENCARGOS COMPLEMENTARES</t>
  </si>
  <si>
    <t>01999</t>
  </si>
  <si>
    <t>MAO-DE-OBRA DE SERVENTE DA CONSTRUCAO CIVIL, INCLUSIVE ENCARGOS SOCIAIS</t>
  </si>
  <si>
    <t>01968</t>
  </si>
  <si>
    <t>MAO-DE-OBRA DE PEDREIRO, INCLUSIVE ENCARGOS SOCIAIS</t>
  </si>
  <si>
    <t>1.5</t>
  </si>
  <si>
    <t>CHI</t>
  </si>
  <si>
    <t>CALCETEIRO COM ENCARGOS COMPLEMENTARES</t>
  </si>
  <si>
    <t>ORÇAMENTO Nº</t>
  </si>
  <si>
    <t>AREIA MEDIA - POSTO JAZIDA/FORNECEDOR (RETIRADO NA JAZIDA, SEM TRANSPORTE)</t>
  </si>
  <si>
    <t>ORÇAMENTO:  Eng° Patrick Suckow</t>
  </si>
  <si>
    <t>So00000088316</t>
  </si>
  <si>
    <t>TOTAL GERAL</t>
  </si>
  <si>
    <t>RETIRADA DE ENTULHO DE OBRA COM CACAMBA DE ACO TIPO CONTAINER COM 5M3 DE CAPACIDADE,INCLUSIVE CARREGAMENTO,TRANSPORTE E DESCARREGAMENTO.CUSTO POR UNIDADE DE CACAMBA E INCLUI A TAXA PARA DESCARGA EM LOCAIS AUTORIZADOS (OBS.:3%-DESGASTE DE FERRAMENTAS E EPI).</t>
  </si>
  <si>
    <t>10962</t>
  </si>
  <si>
    <t>ALUGUEL CACAMBA DE ACO TIPO CONTAINER C/5M3 CAPAC.P/RETIRADA ENTULHO OBRA,INCL.CARREGA.,TRANSP.E DESCAR.LOCAIS AUTORIZ.</t>
  </si>
  <si>
    <t>PO DE PEDRA (POSTO PEDREIRA/FORNECEDOR, SEM FRETE)</t>
  </si>
  <si>
    <t>So00000005934</t>
  </si>
  <si>
    <t>So00000005934 MOTONIVELADORA POTÊNCIA BÁSICA LÍQUIDA (PRIMEIRA MARCHA) 125 HP, PESO BRUTO 13032 KG, LARGURA DA LÂMINA DE 3,7 M - CHI DIURNO. AF_06/2014</t>
  </si>
  <si>
    <t>So00000005932</t>
  </si>
  <si>
    <t>So00000005932 MOTONIVELADORA POTÊNCIA BÁSICA LÍQUIDA (PRIMEIRA MARCHA) 125 HP, PESO BRUTO 13032 KG, LARGURA DA LÂMINA DE 3,7 M - CHP DIURNO. AF_06/2014</t>
  </si>
  <si>
    <t>So00000005903</t>
  </si>
  <si>
    <t>So00000005903 CAMINHÃO PIPA 10.000 L TRUCADO, PESO BRUTO TOTAL 23.000 KG, CARGA ÚTIL MÁXIMA 15.935 KG, DISTÂNCIA ENTRE EIXOS 4,8 M, POTÊNCIA 230 CV, INCLUSIVE TANQUE DE AÇO PARA TRANSPORTE DE ÁGUA - CHI DIURNO. AF_06/2014</t>
  </si>
  <si>
    <t>So00000005901</t>
  </si>
  <si>
    <t>So00000005901 CAMINHÃO PIPA 10.000 L TRUCADO, PESO BRUTO TOTAL 23.000 KG, CARGA ÚTIL MÁXIMA 15.935 KG, DISTÂNCIA ENTRE EIXOS 4,8 M, POTÊNCIA 230 CV, INCLUSIVE TANQUE DE AÇO PARA TRANSPORTE DE ÁGUA - CHP DIURNO. AF_06/2014</t>
  </si>
  <si>
    <t>04.014.0095-A</t>
  </si>
  <si>
    <r>
      <t>Data-Base:   EMOP -  RJ / SINAPI e SCO-RJ-</t>
    </r>
    <r>
      <rPr>
        <b/>
        <sz val="12"/>
        <color indexed="8"/>
        <rFont val="Arial"/>
        <family val="2"/>
      </rPr>
      <t xml:space="preserve"> Deso</t>
    </r>
    <r>
      <rPr>
        <b/>
        <sz val="12"/>
        <color indexed="8"/>
        <rFont val="Arial"/>
        <family val="2"/>
      </rPr>
      <t>nerado -</t>
    </r>
    <r>
      <rPr>
        <sz val="12"/>
        <color indexed="8"/>
        <rFont val="Arial"/>
        <family val="2"/>
      </rPr>
      <t xml:space="preserve"> Base JULHO - 2021</t>
    </r>
  </si>
  <si>
    <t>02.020.0002-A</t>
  </si>
  <si>
    <t>PLACA DE IDENTIFICACAO DE OBRA PUBLICA,TIPO BANNER/PLOTTER,CONSTITUIDA POR LONA E IMPRESSAO DIGITAL,INCLUSIVE SUPORTES D E MADEIRA.FORNECIMENTO E COLOCACAO (OBS.:3% - DESGASTE DE FERRAMENTAS E EPI).</t>
  </si>
  <si>
    <t>10806</t>
  </si>
  <si>
    <t>PLACA DE IDENTIFICACAO DE OBRA PUBLICA,TIPO BANNER/PLOTER, CONSTITUIDA POR LONAE IMPRESSAO DIGITAL</t>
  </si>
  <si>
    <t>00453</t>
  </si>
  <si>
    <t>PREGO COM OU SEM CABECA, EM CAIXAS DE 50KG, OU QUANTIDADES EQUIVALENTES, N§12X12A 18X30</t>
  </si>
  <si>
    <t>00368</t>
  </si>
  <si>
    <t>PINUS, EM PECAS DE 7,50X7,50CM (3"X3")</t>
  </si>
  <si>
    <t>20045</t>
  </si>
  <si>
    <t>MAO-DE-OBRA DE CARPINTEIRO DE ESQUADRIASDE MADEIRA, INCLUSIVE ENCARGOS SOCIAISDESONERADOS</t>
  </si>
  <si>
    <t>02.016.0001-A</t>
  </si>
  <si>
    <t>INSTALACAO E LIGACAO PROVISORIA DE ALIMENTACAO DE ENERGIA ELETRICA,EM BAIXA TENSAO,PARA CANTEIRO DE OBRAS,M3-CHAVE 100A, CARGA 3KW,20CV,EXCLUSIVE O FORNECIMENTO DO MEDIDOR (OBS.:3% - DESGASTE DE FERRAMENTAS E EPI).</t>
  </si>
  <si>
    <t>05268</t>
  </si>
  <si>
    <t>ABRACADEIRA TIPO COPO, DE 1/2"</t>
  </si>
  <si>
    <t>04406</t>
  </si>
  <si>
    <t>ISOLADOR DE PINO "HI-TOP", CLASSE 15KV</t>
  </si>
  <si>
    <t>04210</t>
  </si>
  <si>
    <t>ISOLADOR TIPO CARRETILHA, MARROM, DE (72X72)MM</t>
  </si>
  <si>
    <t>02602</t>
  </si>
  <si>
    <t>MACARANDUBA EM PECAS, DE 7,50X15,00CM (3"X6")</t>
  </si>
  <si>
    <t>02501</t>
  </si>
  <si>
    <t>CONDUITE FLEXIVEL, GALVANIZADO DE 1.1/2"</t>
  </si>
  <si>
    <t>02441</t>
  </si>
  <si>
    <t>DISJUNTOR, TRIPOLAR, DE 80 A 100A, 3KA,MODELO DIN, TIPO C</t>
  </si>
  <si>
    <t>02379</t>
  </si>
  <si>
    <t>CURVA 90§ DE PVC RIGIDO, ROSQUEAVEL, PARA ELETRODUTO, DE 1.1/2"</t>
  </si>
  <si>
    <t>02376</t>
  </si>
  <si>
    <t>FUSIVEL FACA, DE 250V, DE 100A</t>
  </si>
  <si>
    <t>02338</t>
  </si>
  <si>
    <t>ELETRODUTO DE PVC PRETO,RIGIDO ROSQUEAVEL,COM ROSCA EM AMBAS EXTREMIDADES,EM BARRAS DE 3 METROS,DE 1/2"</t>
  </si>
  <si>
    <t>00282</t>
  </si>
  <si>
    <t>CABO DE COBRE FLEXIVEL COM ISOLAMENTO TERMOPLASTICO, DE 450/750V, DE 16MM2</t>
  </si>
  <si>
    <t>00196</t>
  </si>
  <si>
    <t>TUBO DE ACO GALVANIZADO, COM COSTURA, PESADO, NBR 5580, DN=2.1/2"</t>
  </si>
  <si>
    <t>20060</t>
  </si>
  <si>
    <t>MAO-DE-OBRA DE ELETRICISTA DA CONSTRUCAOCIVIL, INCLUSIVE ENCARGOS SOCIAIS DESONERADOS</t>
  </si>
  <si>
    <t>02.004.0002-B</t>
  </si>
  <si>
    <t>BARRACAO OBRA C/PAREDES CHAPAS MADEIRA COMPENSADA,PLASTIF.,LISA,COLAGEM FENOLICA,PROVA D`AGUA, COM 10MM ESP.PISO E ESTRU TURA MADEIRA 3¦,COBERTURA TELHAS ONDULADAS 6MM FIBROCIMENTO,EXCL.PINT.E LIGACOES PROVISORIAS,INCL.INST.,APARELHOS,ESQUAD RIAS E FERRAG.,PROJ.N§2005/EMOP,ESCRITORIO,SANITARIOS,DEPOSITOS E TORRE C/CAIXA D`AGUA 500L,REAPROVEITADO 5 VEZES (OBS.:3% - DESGASTE DE FERRAMENTAS E EPI 1% - GRAMPO E ROSETA DE MADEIRA 36% - PARAFUSO DE FIXACAO).</t>
  </si>
  <si>
    <t>02619</t>
  </si>
  <si>
    <t>BUCHA DE REDUCAO DE PVC RIGIDO, ROSQUEAVEL, DE 3/4"X1/2"</t>
  </si>
  <si>
    <t>02340</t>
  </si>
  <si>
    <t>LUVA DE PVC RIGIDO ROSQUEAVEL, DE 1/2"</t>
  </si>
  <si>
    <t>02472</t>
  </si>
  <si>
    <t>GLOBO ESFERICO, EM VIDRO, TIPO LEITOSO,DE 4"X6"</t>
  </si>
  <si>
    <t>02502</t>
  </si>
  <si>
    <t>FLANGE DE PVC RIGIDO COM ROSCA SEXTAVADA, SEM FUROS, DE 3/4"</t>
  </si>
  <si>
    <t>02562</t>
  </si>
  <si>
    <t>TUBO DE PVC RIGIDO ROSQUEAVEL, EM BARRASDE 6,00M, ROSCA EM AMBAS AS EXTREMIDADES, DE 1/2"</t>
  </si>
  <si>
    <t>02563</t>
  </si>
  <si>
    <t>TUBO DE PVC RIGIDO ROSQUEAVEL, EM BARRASDE 6,00M, ROSCA EM AMBAS AS EXTREMIDADES, DE 3/4"</t>
  </si>
  <si>
    <t>02614</t>
  </si>
  <si>
    <t>TUBO DE PVC RIGIDO SOLDAVEL, PONTA/BOLSA, PARA ESGOTO, EM BARRAS DE 6,00M, DE 040MM</t>
  </si>
  <si>
    <t>00011</t>
  </si>
  <si>
    <t>CANTONEIRA DE ACO DOCE, P/SERRALHERIA, PRECO DE REVENDEDOR, DE 5/8"X1/8" ATE 1.1/2"X1/8"</t>
  </si>
  <si>
    <t>02617</t>
  </si>
  <si>
    <t>TUBO DE PVC RIGIDO, PONTA/BOLSA COM VIROLA, EM BARRAS DE 6,00M, DE 100MM</t>
  </si>
  <si>
    <t>02316</t>
  </si>
  <si>
    <t>CORDAO PARALELO COM ISOLAMENTO TERMOPLASTICO, ATE 750V, DE 2X2,5MM2</t>
  </si>
  <si>
    <t>02623</t>
  </si>
  <si>
    <t>JOELHO 90§ DE PVC RIGIDO ROSQUEAVEL, DE1/2"</t>
  </si>
  <si>
    <t>02624</t>
  </si>
  <si>
    <t>JOELHO 90§ DE PVC RIGIDO ROSQUEAVEL, DE3/4"</t>
  </si>
  <si>
    <t>02634</t>
  </si>
  <si>
    <t>TE 90§ DE PVC RIGIDO ROSQUEAVEL, DE 1/2"</t>
  </si>
  <si>
    <t>02648</t>
  </si>
  <si>
    <t>CHUVEIRO DE PLASTICO BRANCO COMPLETO</t>
  </si>
  <si>
    <t>02653</t>
  </si>
  <si>
    <t>CURVA 90§ DE PVC CURTA PARA ESGOTO, DE 050MM</t>
  </si>
  <si>
    <t>02655</t>
  </si>
  <si>
    <t>CURVA 90§ DE PVC CURTA PARA ESGOTO, DE 100MM</t>
  </si>
  <si>
    <t>02616</t>
  </si>
  <si>
    <t>TUBO DE PVC RIGIDO, PONTA/BOLSA COM VIROLA, EM BARRAS DE 6,00M, DE 75MM</t>
  </si>
  <si>
    <t>00702</t>
  </si>
  <si>
    <t>REGISTRO DE GAVETA DE BRONZE, DE 1¦ QUALIDADE COM ROSCA DE AMBOS OS LADOS, DE 3/4"</t>
  </si>
  <si>
    <t>00252</t>
  </si>
  <si>
    <t>PARAFUSO C/ROSCA, DE (8x100)MM</t>
  </si>
  <si>
    <t>00510</t>
  </si>
  <si>
    <t>RECEPTACULO DE PORCELANA P/LAMPADA, BASEE-27</t>
  </si>
  <si>
    <t>00600</t>
  </si>
  <si>
    <t>VIDRO PLANO TRANSPARENTE, COMUM, COM ESPESSURA DE 3MM</t>
  </si>
  <si>
    <t>00665</t>
  </si>
  <si>
    <t>PARAFUSO DE LATAO, ROSCA SOBERBA, CABECACHATA, DE 5,5MMX2.1/2"</t>
  </si>
  <si>
    <t>02339</t>
  </si>
  <si>
    <t>ADESIVO PLASTICO PARA PVC RIGIDO, EM BISNAGA DE 75G</t>
  </si>
  <si>
    <t>00701</t>
  </si>
  <si>
    <t>REGISTRO DE GAVETA DE BRONZE, DE 1¦ QUALIDADE COM ROSCA DE AMBOS OS LADOS, DE 1/2"</t>
  </si>
  <si>
    <t>02317</t>
  </si>
  <si>
    <t>FITA ISOLANTE, ROLO DE 19MMX20M</t>
  </si>
  <si>
    <t>00760</t>
  </si>
  <si>
    <t>PORTA LISA, SEMI-OCA PARA PINTURA, DE (80X210X3,5)CM</t>
  </si>
  <si>
    <t>00762</t>
  </si>
  <si>
    <t>PORTA LISA, SEMI-OCA PARA PINTURA, DE (60X210X3,5)CM</t>
  </si>
  <si>
    <t>00784</t>
  </si>
  <si>
    <t>CAIXA D'AGUA DE FIBRA DE VIDRO OU POLIETILENO, COM CAPACIDADE DE 0500 LITROS</t>
  </si>
  <si>
    <t>00986</t>
  </si>
  <si>
    <t>TARJETA DE FIO REDONDO, EM FERRO CROMADO, DE 2"</t>
  </si>
  <si>
    <t>01361</t>
  </si>
  <si>
    <t>CHAPA DE MADEIRA COMPENSADA, PLASTIFICADA, COM ESPESSURA DE 10MM</t>
  </si>
  <si>
    <t>02315</t>
  </si>
  <si>
    <t>DISJUNTOR, MONOPOLAR, DE 10 A 32A, 3KA,MODELO DIN, TIPO C</t>
  </si>
  <si>
    <t>02884</t>
  </si>
  <si>
    <t>FECHADURA DE SOBREPOR, TIPO CAIXAO, RETANGULAR, ACABAMENTO FERRO RESINADO PRETO,DE (100X86X38)MM</t>
  </si>
  <si>
    <t>00666</t>
  </si>
  <si>
    <t>BUCHA DE NYLON, TIPO S-12</t>
  </si>
  <si>
    <t>05906</t>
  </si>
  <si>
    <t>PARAFUSO FERRO, ROSCA SOBERBA, CABECA CHATA, DE (3,8X30)MM</t>
  </si>
  <si>
    <t>14789</t>
  </si>
  <si>
    <t>KIT DE ACESSORIOS PARA FIXACAO, COMPREENDENDO PARAFUSOS, BUCHAS E ARRUELAS</t>
  </si>
  <si>
    <t>11438</t>
  </si>
  <si>
    <t>PORTA LISA, SEMI-OCA PARA PINTURA, DE (100X210X3,5)CM</t>
  </si>
  <si>
    <t>08000</t>
  </si>
  <si>
    <t>TELHA ONDULADA DE CIMENTO, SEM AMIANTO,REFORCADA C/FIOS SINTETICOS (CRFS), DE (2,44X1,10)M E C/ESPES. DE 6MM</t>
  </si>
  <si>
    <t>07020</t>
  </si>
  <si>
    <t>VASO SANITARIO SIFONADO, DE LOUCA BRANCA, TIPO POPULAR</t>
  </si>
  <si>
    <t>02669</t>
  </si>
  <si>
    <t>ADAPTADOR DE PVC, PARA VALVULA DE PIA ELAVATORIO, DE 40MM</t>
  </si>
  <si>
    <t>05914</t>
  </si>
  <si>
    <t>INTERRUPTOR DE SOBREPOR SIMPLES, DE 10A-250V</t>
  </si>
  <si>
    <t>02672</t>
  </si>
  <si>
    <t>RALO SIFONADO DE PVC RIGIDO, COM SAIDA DE 75MM, COM GRELHA REDONDA E PORTA GRELHA, DE (150X185X75)MM</t>
  </si>
  <si>
    <t>05660</t>
  </si>
  <si>
    <t>PORTA CADEADO EM FERRO ZINCADO, DE 4.1/2"</t>
  </si>
  <si>
    <t>05555</t>
  </si>
  <si>
    <t>LAVATORIO DE LOUCA BRANCA, TIPO POPULAR,MEDINDO EM TORNO DE (55X45)CM</t>
  </si>
  <si>
    <t>05468</t>
  </si>
  <si>
    <t>CADEADO COM DUPLA TRAVA, DISCO DE SEGURANCA ANTI GAZUA, CORPO DE LATAO MACICO, CILINDRO DE LATAO TREFILADO, DE 30MM</t>
  </si>
  <si>
    <t>04745</t>
  </si>
  <si>
    <t>TORNEIRA DE BOIA EM BRONZE, DE PRESSAO,DE 3/4"</t>
  </si>
  <si>
    <t>04307</t>
  </si>
  <si>
    <t>TOMADA ELETRICA 2P+T, 10A/250V, PADRAO BRASILEIRO, DE SOBREPOR</t>
  </si>
  <si>
    <t>03963</t>
  </si>
  <si>
    <t>FUNDO PARA CAIXA DE INSPECAO COM DIAMETRO DE 600MM</t>
  </si>
  <si>
    <t>03961</t>
  </si>
  <si>
    <t>ANEL DE CONCRETO PRE-FABRICADO, P/CAIXADE INSPECAO, COM 600MM DE DIAMETRO INT.,40MM DE ESPESSURA, COM ALTURA DE 150MM</t>
  </si>
  <si>
    <t>03960</t>
  </si>
  <si>
    <t>ANEL DE CONCRETO PRE-FABRICADO, P/CAIXADE INSPECAO, COM 600MM DE DIAMETRO INT.,40MM DE ESPESSURA, COM ALTURA DE 300MM</t>
  </si>
  <si>
    <t>03954</t>
  </si>
  <si>
    <t>VALVULA DE ESCOAMENTO, PARA LAVATORIO, SEM UNHO, EM PVC</t>
  </si>
  <si>
    <t>03944</t>
  </si>
  <si>
    <t>ASSENTO PLASTICO, PARA VASO SANITARIO, TIPO POPULAR</t>
  </si>
  <si>
    <t>03926</t>
  </si>
  <si>
    <t>CAIXA DE DESCARGA EXTERNA, PLASTICA</t>
  </si>
  <si>
    <t>03902</t>
  </si>
  <si>
    <t>TORNEIRA PARA LAVATORIO TIPO BANCA, 1193OU SIMILAR DE 1/2"</t>
  </si>
  <si>
    <t>02984</t>
  </si>
  <si>
    <t>RABICHO PLASTICO COM SAIDA DE 1/2" E COMCOMPRIMENTO DE 30CM</t>
  </si>
  <si>
    <t>04915</t>
  </si>
  <si>
    <t>DOBRADICA EM FERRO LAMINADO, COM PINO DEFERRO REVERSIVEL, DE 3"X3"X5/64"</t>
  </si>
  <si>
    <t>05953</t>
  </si>
  <si>
    <t>BOLSA DE LIGACAO PARA VASO SANITARIO</t>
  </si>
  <si>
    <t>20039</t>
  </si>
  <si>
    <t>MAO-DE-OBRA DE BOMBEIRO HIDRAULICO DA CONSTRUCAO CIVIL, INCLUSIVE ENCARGOS SOCIAIS DESONERADOS</t>
  </si>
  <si>
    <t>20131</t>
  </si>
  <si>
    <t>MAO-DE-OBRA DE SERRALHEIRO DA CONSTRUCAOCIVIL, INCLUSIVE ENCARGOS SOCIAIS DESONERADOS</t>
  </si>
  <si>
    <t>30245</t>
  </si>
  <si>
    <t>11.001.0001-B CONCRETO FCK 10MPA</t>
  </si>
  <si>
    <t>30246</t>
  </si>
  <si>
    <t>11.001.0005-B CONCRETO FCK 15MPA</t>
  </si>
  <si>
    <t>30254</t>
  </si>
  <si>
    <t>11.002.0013-B PREPARO CONCR. BETON. 320L; 2,0M3/H</t>
  </si>
  <si>
    <t>30270</t>
  </si>
  <si>
    <t>11.002.0035-B LANCAMENTO CONC.S/ARM.2,0M3/H, HORIZ.</t>
  </si>
  <si>
    <t>30362</t>
  </si>
  <si>
    <t>13.301.0080-B PISO CIMENTADO ESP. 1,5CM</t>
  </si>
  <si>
    <t>31011</t>
  </si>
  <si>
    <t>59.003.0010-B PINUS,PECA 1" X 12" E 1" X 9"</t>
  </si>
  <si>
    <t>31052</t>
  </si>
  <si>
    <t>54.001.0178-B PINUS EM PECAS DE 2,50X22,50M, (1"X9")</t>
  </si>
  <si>
    <t>02.015.0001-A</t>
  </si>
  <si>
    <t>INSTALACAO E LIGACAO PROVISORIA PARA ABASTECIMENTO DE AGUA E ESGOTAMENTO SANITARIO EM CANTEIRO DE OBRAS,INCLUSIVE ESCAVA CAO,EXCLUSIVE REPOSICAO DA PAVIMENTACAO DO LOGRADOURO PUBLICO (OBS.:3% - DESGASTE DE FERRAMENTAS E EPI).</t>
  </si>
  <si>
    <t>00872</t>
  </si>
  <si>
    <t>CURVA 45§ OU 90§ DE CERAMICA PARA ESGOTOCOM JUNTA ARGAMASSA, DE 0100MM</t>
  </si>
  <si>
    <t>00559</t>
  </si>
  <si>
    <t>TIJOLO CERAMICO, FURADO, DE (10X20X20)CM</t>
  </si>
  <si>
    <t>00148</t>
  </si>
  <si>
    <t>TUBO DE ACO GALVANIZADO, COM COSTURA, PESADO, NBR 5580, DN=3/4"</t>
  </si>
  <si>
    <t>00843</t>
  </si>
  <si>
    <t>TUBO CERAMICO, ESGOTO SANITARIO, DE 100MM E COM COMPRIMENTO DE 1,00M</t>
  </si>
  <si>
    <t>00788</t>
  </si>
  <si>
    <t>CAIXA D'AGUA DE FIBRA DE VIDRO OU POLIETILENO, COM CAPACIDADE DE 1000 LITROS</t>
  </si>
  <si>
    <t>20115</t>
  </si>
  <si>
    <t>MAO-DE-OBRA DE PEDREIRO, INCLUSIVE ENCARGOS SOCIAIS DESONERADOS</t>
  </si>
  <si>
    <t>00688</t>
  </si>
  <si>
    <t>LIGACAO DE AGUA CEDAE, PARA INSTALACAO NO PASSEIO, DE 3/4", VAZAO DE 3,0M3/H (VALOR TOTAL)</t>
  </si>
  <si>
    <t>30163</t>
  </si>
  <si>
    <t>07.002.0025-B ARGAMASSA CIM.,AREIA TRACO 1:3,PREPAROMECANICO</t>
  </si>
  <si>
    <t>30403</t>
  </si>
  <si>
    <t>15.071.0012-B LIGACAO AGUAS PLUVIAIS OU DOMICILIARES</t>
  </si>
  <si>
    <t>SI00000099059</t>
  </si>
  <si>
    <t>LOCACAO CONVENCIONAL DE OBRA, UTILIZANDO GABARITO DE TÁBUAS CORRIDAS PONTALETADAS A CADA 2,00M -  2 UTILIZAÇÕES. AF_10/2018</t>
  </si>
  <si>
    <t>0010567</t>
  </si>
  <si>
    <t>TABUA *2,5 X 23* CM EM PINUS, MISTA OU EQUIVALENTE DA REGIAO - BRUTA</t>
  </si>
  <si>
    <t>0007356</t>
  </si>
  <si>
    <t>TINTA ACRILICA PREMIUM, COR BRANCO FOSCO</t>
  </si>
  <si>
    <t>L</t>
  </si>
  <si>
    <t>0005068</t>
  </si>
  <si>
    <t>PREGO DE ACO POLIDO COM CABECA 17 X 21 (2 X 11)</t>
  </si>
  <si>
    <t>0004433</t>
  </si>
  <si>
    <t>CAIBRO NAO APARELHADO  *7,5 X 7,5* CM, EM MACARANDUBA, ANGELIM OU EQUIVALENTE DA REGIAO -  BRUTA</t>
  </si>
  <si>
    <t>0004417</t>
  </si>
  <si>
    <t>SARRAFO NAO APARELHADO *2,5 X 7* CM, EM MACARANDUBA, ANGELIM OU EQUIVALENTE DA REGIAO -  BRUTA</t>
  </si>
  <si>
    <t>SI00000088262</t>
  </si>
  <si>
    <t>CARPINTEIRO DE FORMAS COM ENCARGOS COMPLEMENTARES</t>
  </si>
  <si>
    <t>SI00000088239</t>
  </si>
  <si>
    <t>AJUDANTE DE CARPINTEIRO COM ENCARGOS COMPLEMENTARES</t>
  </si>
  <si>
    <t>SI00000099062</t>
  </si>
  <si>
    <t>SI00000099062 MARCAÇÃO DE PONTOS EM GABARITO OU CAVALETE. AF_10/2018</t>
  </si>
  <si>
    <t>SI00000094974</t>
  </si>
  <si>
    <t>SI00000094974 CONCRETO MAGRO PARA LASTRO, TRAÇO 1:4,5:4,5 (EM MASSA SECA DE CIMENTO/ AREIA MÉDIA/ BRITA 1) - PREPARO MANUAL. AF_05/2021</t>
  </si>
  <si>
    <t>SI00000091693</t>
  </si>
  <si>
    <t>SI00000091693 SERRA CIRCULAR DE BANCADA COM MOTOR ELÉTRICO POTÊNCIA DE 5HP, COM COIFA PARA DISCO 10" - CHI DIURNO. AF_08/2015</t>
  </si>
  <si>
    <t>SI00000091692</t>
  </si>
  <si>
    <t>SI00000091692 SERRA CIRCULAR DE BANCADA COM MOTOR ELÉTRICO POTÊNCIA DE 5HP, COM COIFA PARA DISCO 10" - CHP DIURNO. AF_08/2015</t>
  </si>
  <si>
    <t>MOVIMENTAÇÃO DE TERRA</t>
  </si>
  <si>
    <t>03.009.0005-A</t>
  </si>
  <si>
    <t>ATERRO COM MATERIAL DE 1¦ CATEGORIA,COMPACTADO MANUALMENTE EM CAMADAS DE 20CM DE MATERIAL APILOADO,PROVENIENTE DE JAZIDA DISTANTE ATE 1KM,INCLUSIVE ESCAVACAO,CARGA,TRANSPORTE EM CAMINHAO BASCULANTE,DESCARGA,ESPALHAMENTO E IRRIGACAO MANUAIS (OBS.:3%-DESGASTE DE FERRAMENTAS E EPI).</t>
  </si>
  <si>
    <t>30425</t>
  </si>
  <si>
    <t>19.004.0012-E CAMINHAO BASCUL. NO TOCO, 5M3 (CI)</t>
  </si>
  <si>
    <t>30423</t>
  </si>
  <si>
    <t>19.004.0012-C CAMINHAO BASCUL. NO TOCO, 5M3 (CP)</t>
  </si>
  <si>
    <t>03.001.0001-B</t>
  </si>
  <si>
    <t>ESCAVACAO MANUAL DE VALA/CAVA EM MATERIAL DE 1¦ CATEGORIA (A(AREIA,ARGILA OU PICARRA),ATE 1,50M DE PROFUNDIDADE,EXCLUSIV E ESCORAMENTO E ESGOTAMENTO (OBS.:3% - DESGASTE DE FERRAMENTAS E EPI).</t>
  </si>
  <si>
    <t>SI00000100576</t>
  </si>
  <si>
    <t>REGULARIZAÇÃO E COMPACTAÇÃO DE SUBLEITO DE SOLO  PREDOMINANTEMENTE ARGILOSO. AF_11/2019</t>
  </si>
  <si>
    <t>SI00000088316</t>
  </si>
  <si>
    <t>SI00000093244</t>
  </si>
  <si>
    <t>SI00000093244 ROLO COMPACTADOR VIBRATÓRIO PÉ DE CARNEIRO PARA SOLOS, POTÊNCIA 80 HP, PESO OPERACIONAL SEM/COM LASTRO 7,4 / 8,8 T, LARGURA DE TRABALHO 1,68 M - CHI DIURNO. AF_02/2016</t>
  </si>
  <si>
    <t>SI00000073436</t>
  </si>
  <si>
    <t>SI00000073436 ROLO COMPACTADOR VIBRATÓRIO PÉ DE CARNEIRO PARA SOLOS, POTÊNCIA 80 HP, PESO OPERACIONAL SEM/COM LASTRO 7,4 / 8,8 T, LARGURA DE TRABALHO 1,68 M - CHP DIURNO. AF_02/2016</t>
  </si>
  <si>
    <t>SI00000005934</t>
  </si>
  <si>
    <t>SI00000005934 MOTONIVELADORA POTÊNCIA BÁSICA LÍQUIDA (PRIMEIRA MARCHA) 125 HP, PESO BRUTO 13032 KG, LARGURA DA LÂMINA DE 3,7 M - CHI DIURNO. AF_06/2014</t>
  </si>
  <si>
    <t>SI00000005932</t>
  </si>
  <si>
    <t>SI00000005932 MOTONIVELADORA POTÊNCIA BÁSICA LÍQUIDA (PRIMEIRA MARCHA) 125 HP, PESO BRUTO 13032 KG, LARGURA DA LÂMINA DE 3,7 M - CHP DIURNO. AF_06/2014</t>
  </si>
  <si>
    <t>SI00000005903</t>
  </si>
  <si>
    <t>SI00000005903 CAMINHÃO PIPA 10.000 L TRUCADO, PESO BRUTO TOTAL 23.000 KG, CARGA ÚTIL MÁXIMA 15.935 KG, DISTÂNCIA ENTRE EIXOS 4,8 M, POTÊNCIA 230 CV, INCLUSIVE TANQUE DE AÇO PARA TRANSPORTE DE ÁGUA - CHI DIURNO. AF_06/2014</t>
  </si>
  <si>
    <t>SI00000005901</t>
  </si>
  <si>
    <t>SI00000005901 CAMINHÃO PIPA 10.000 L TRUCADO, PESO BRUTO TOTAL 23.000 KG, CARGA ÚTIL MÁXIMA 15.935 KG, DISTÂNCIA ENTRE EIXOS 4,8 M, POTÊNCIA 230 CV, INCLUSIVE TANQUE DE AÇO PARA TRANSPORTE DE ÁGUA - CHP DIURNO. AF_06/2014</t>
  </si>
  <si>
    <t>SI00000096995</t>
  </si>
  <si>
    <t>REATERRO MANUAL APILOADO COM SOQUETE. AF_10/2017</t>
  </si>
  <si>
    <t>ESTRUTURA</t>
  </si>
  <si>
    <t>30179</t>
  </si>
  <si>
    <t>07.006.0025-B ARGAMASSA CIM.,SAIBRO TRACO 1:8,PREPAROMECANICO</t>
  </si>
  <si>
    <t>12.003.0055-A</t>
  </si>
  <si>
    <t>ALVENARIA DE TIJOLOS CERAMICOS FURADOS 10X20X20CM,ASSENTES COM ARGAMASSA DE CIMENTO E SAIBRO,NO TRACO 1:8,EM PAREDES DE UMA VEZ(0,20M),DE SUPERFICIE CORRIDA,ATE 3,00M DE ALTURA E MEDIDA PELA AREA REAL (OBS.:3%-DESGASTE DE FERRAMENTAS E EPI).</t>
  </si>
  <si>
    <t>ALVENARIA DE TIJOLOS CERAMICOS FURADOS 10X20X20CM,ASSENTES COM ARGAMASSA DE CIMENTO E SAIBRO,NO TRACO 1:8,EM PAREDES DE MEIA VEZ(0,10M),DE SUPERFICIE CORRIDA,ATE 3,00M DE ALTURA EMEDIDA PELA AREA REAL (OBS.:3%-DESGASTE DE FERRAMENTAS E EPI).</t>
  </si>
  <si>
    <t>SI00000093201</t>
  </si>
  <si>
    <t>FIXAÇÃO (ENCUNHAMENTO) DE ALVENARIA DE VEDAÇÃO COM ARGAMASSA APLICADA COM COLHER. AF_03/2016</t>
  </si>
  <si>
    <t>SI00000088309</t>
  </si>
  <si>
    <t>PEDREIRO COM ENCARGOS COMPLEMENTARES</t>
  </si>
  <si>
    <t>SI00000087294</t>
  </si>
  <si>
    <t>SI00000087294 ARGAMASSA TRAÇO 1:2:9 (EM VOLUME DE CIMENTO, CAL E AREIA MÉDIA ÚMIDA) PARA EMBOÇO/MASSA ÚNICA/ASSENTAMENTO DE ALVENARIA DE VEDAÇÃO, PREPARO MECÂNICO COM BETONEIRA 600 L. AF_08/2019</t>
  </si>
  <si>
    <t>ALVENARIA/DIVISÓRIAS E REVESTIMENTOS</t>
  </si>
  <si>
    <t>12.035.0001-A</t>
  </si>
  <si>
    <t>PAREDE DIVISORIA PARA SANITARIO EM GRANITO CINZA ANDORINHA,COM 2CM DE ESPESSURA,POLIDA NAS DUAS FACES,FIXACAO PISO OU PA REDE,EXCLUSIVE FERRAGENS PARA FIXACAO.FORNECIMENTO E COLOCACAO (OBS.:3%-DESGASTE DE FERRAMENTAS E EPI).</t>
  </si>
  <si>
    <t>10790</t>
  </si>
  <si>
    <t>PLACA DE GRANITO CINZA ANDORINHA, PARA DIVISORIA, 2CM DE ESPESSURA</t>
  </si>
  <si>
    <t>12.003.0075-B</t>
  </si>
  <si>
    <t>0034357</t>
  </si>
  <si>
    <t>REJUNTE CIMENTICIO, QUALQUER COR</t>
  </si>
  <si>
    <t>0001381</t>
  </si>
  <si>
    <t>ARGAMASSA COLANTE AC I PARA CERAMICAS</t>
  </si>
  <si>
    <t>0001287</t>
  </si>
  <si>
    <t>PISO EM CERAMICA ESMALTADA EXTRA, PEI MAIOR OU IGUAL A 4, FORMATO MENOR OU IGUAL A 2025 CM2</t>
  </si>
  <si>
    <t>SI00000088256</t>
  </si>
  <si>
    <t>AZULEJISTA OU LADRILHISTA COM ENCARGOS COMPLEMENTARES</t>
  </si>
  <si>
    <t>SI00000087630</t>
  </si>
  <si>
    <t>CONTRAPISO EM ARGAMASSA TRAÇO 1:4 (CIMENTO E AREIA), PREPARO MECÂNICO COM BETONEIRA 400 L, APLICADO EM ÁREAS SECAS SOBRE LAJE, ADERIDO, ACABAMENTO NÃO REFORÇADO, ESPESSURA 3CM. AF_07/2021</t>
  </si>
  <si>
    <t>0007334</t>
  </si>
  <si>
    <t>ADITIVO ADESIVO LIQUIDO PARA ARGAMASSAS DE REVESTIMENTOS CIMENTICIOS</t>
  </si>
  <si>
    <t>0001379</t>
  </si>
  <si>
    <t>CIMENTO PORTLAND COMPOSTO CP II-32</t>
  </si>
  <si>
    <t>SI00000087301</t>
  </si>
  <si>
    <t>SI00000087301 ARGAMASSA TRAÇO 1:4 (EM VOLUME DE CIMENTO E AREIA MÉDIA ÚMIDA) PARA CONTRAPISO, PREPARO MECÂNICO COM BETONEIRA 400 L. AF_08/2019</t>
  </si>
  <si>
    <t>11.013.0009-A</t>
  </si>
  <si>
    <t>CAMADA IMPERMEABILIZADORA EM CONCRETO ARMADO,ESPESSURA DE 5CM,ARMADURA CRUZADA COM BARRAS DE ACO CA-25 DE 3/16",ESPACADA S DE 30CM,JUNTAS DE SARRAFO DE MADEIRA ESPACADAS DE 3,00M,SENDO O CONCRETO DOSADO PARA UMA RESISTENCIA CARACTERISTICA A COMPRESSAO DE 10MPA (OBS.:3%-DESGASTE DE FERRAMENTAS E EPI).</t>
  </si>
  <si>
    <t>20015</t>
  </si>
  <si>
    <t>MAO-DE-OBRA DE ARMADOR DE CONCRETO ARMADO, INCLUSIVE ENCARGOS SOCIAIS DESONERADOS</t>
  </si>
  <si>
    <t>30915</t>
  </si>
  <si>
    <t>55.001.0011-B PINUS, PECA 2,5 X 5CM</t>
  </si>
  <si>
    <t>30301</t>
  </si>
  <si>
    <t>11.008.0004-B BARRA ACO CA-25 DIAM. MAIOR/IGUAL 10MM</t>
  </si>
  <si>
    <t>30259</t>
  </si>
  <si>
    <t>11.002.0022-B LANCAMENTO CONC.C/ARM.3,5M3/H,HORIZ/VERT</t>
  </si>
  <si>
    <t>30253</t>
  </si>
  <si>
    <t>11.002.0012-B PREPARO CONCR. BETON. 600L; 3,5 M3/H</t>
  </si>
  <si>
    <t>13.380.0013-A</t>
  </si>
  <si>
    <t>PISO DE GRANITINA,COMPREENDENDO:A)LASTRO,COM 4CM DE ESPESSURA MEDIA,DE ARGAMASSA DE CIMENTO E AREIA GROSSA,NO TRACO 1:4; B) CAMADA DE GRANITINA,COM 3CM DE ESPESSURA,FEITA COM GRANILHA N§1 VERMELHA E CIMENTO,SUPERFICIE ESTUCADA APOS A FUNDICA O,SEM POLIMENTO (OBS.:3%-DESGASTE DE FERRAMENTAS E EPI).</t>
  </si>
  <si>
    <t>11147</t>
  </si>
  <si>
    <t>GRANILHA N§ 1 VERMELHA</t>
  </si>
  <si>
    <t>00149</t>
  </si>
  <si>
    <t>CIMENTO PORTLAND CP II 32, EM SACO DE 50KG</t>
  </si>
  <si>
    <t>00001</t>
  </si>
  <si>
    <t>AREIA LAVADA, GROSSA, PARA REGIAO METROPOLITANA DO RIO DE JANEIRO</t>
  </si>
  <si>
    <t>20091</t>
  </si>
  <si>
    <t>MAO-DE-OBRA DE MARMORISTA DE MARMORE E GRANITO, INCLUSIVE ENCARGOS SOCIAIS DESONERADOS</t>
  </si>
  <si>
    <t>05.001.0850-A</t>
  </si>
  <si>
    <t>POLIMENTO MECANICO EM PISO CIMENTADO ANTIGO,APOS REPAROS DO REVESTIMENTO COM ESTUQUE DE CIMENTO E ADESIVO,INCLUSIVE ESTE S MATERIAIS (OBS.:3%-DESGASTE DE FERRAMENTAS E EPI).</t>
  </si>
  <si>
    <t>07324</t>
  </si>
  <si>
    <t>ADESIVO A BASE DE RESINA SINTETICA DE ALTA ADERENCIA, EMBALAGEM DE 18L</t>
  </si>
  <si>
    <t>05078</t>
  </si>
  <si>
    <t>PEDRA ESMERIL, P/MAQUINA DE POLIMENTO, DE 6" DE GRANULOMETRIA 060</t>
  </si>
  <si>
    <t>05077</t>
  </si>
  <si>
    <t>PEDRA ESMERIL, P/MAQUINA DE POLIMENTO, DE 6" COM GRANULOMETRIA 036</t>
  </si>
  <si>
    <t>30707</t>
  </si>
  <si>
    <t>19.006.0050-E MAQUINA POLIDORA 4HP (CI)</t>
  </si>
  <si>
    <t>30706</t>
  </si>
  <si>
    <t>19.006.0050-C MAQUINA POLIDORA 4HP (CP)</t>
  </si>
  <si>
    <t>13.301.0081-A</t>
  </si>
  <si>
    <t>PISO CIMENTADO,COM 1,5CM DE ESPESSURA,COM ARGAMASSA DE CIMENTO E AREIA, NO TRACO 1:3, COM ACABAMENTO ASPERO, SOBRE BASE EXISTENTE (OBS.:3%-DESGASTE DE FERRAMENTAS E EPI).</t>
  </si>
  <si>
    <t>13.348.0075-A</t>
  </si>
  <si>
    <t>SOLEIRA EM GRANITO CINZA ANDORINHA,ESPESSURA DE 2CM,COM 2 POLIMENTOS,LARGURA DE 15CM,ASSENTADO COM ARGAMASSA DE CIMENTO, SAIBRO E AREIA, NO TRACO 1:2:2, E REJUNTAMENTO COM CIMENTOBRANCO E CORANTE (OBS.:3%-DESGASTE DE FERRAMENTAS E EPI).</t>
  </si>
  <si>
    <t>11183</t>
  </si>
  <si>
    <t>SOLEIRA GRANITO CINZA ANDORINHA, 15X2CM,COM 2 POLIMENTOS</t>
  </si>
  <si>
    <t>05350</t>
  </si>
  <si>
    <t>PIGMENTO EM PO A BASE DE OXIDO DE FERRO</t>
  </si>
  <si>
    <t>00150</t>
  </si>
  <si>
    <t>CIMENTO BRANCO</t>
  </si>
  <si>
    <t>30180</t>
  </si>
  <si>
    <t>07.007.0010-B ARGAMASSA CIM.,SAIBRO,AREIA 1:2:2,PREPARO MECANICO</t>
  </si>
  <si>
    <t>13.348.0055-A</t>
  </si>
  <si>
    <t>11181</t>
  </si>
  <si>
    <t>PEITORIL EM GRANITO CINZA ANDORINHA, (28X2)CM</t>
  </si>
  <si>
    <t>30153</t>
  </si>
  <si>
    <t>07.001.0130-B ARGAMASSA CIM.,SAIBRO,AREIA 1:3:3,PREPARO MANUAL</t>
  </si>
  <si>
    <t>30129</t>
  </si>
  <si>
    <t>07.001.0010-B PASTA DE CIMENTO COMUM</t>
  </si>
  <si>
    <t>PINTURA</t>
  </si>
  <si>
    <t>SI00000088489</t>
  </si>
  <si>
    <t>APLICAÇÃO MANUAL DE PINTURA COM TINTA LÁTEX ACRÍLICA EM PAREDES, DUAS DEMÃOS. AF_06/2014</t>
  </si>
  <si>
    <t>SI00000088310</t>
  </si>
  <si>
    <t>PINTOR COM ENCARGOS COMPLEMENTARES</t>
  </si>
  <si>
    <t>SI00000102208</t>
  </si>
  <si>
    <t>PINTURA TINTA DE ACABAMENTO (PIGMENTADA) ESMALTE SINTÉTICO FOSCO EM MADEIRA, 1 DEMÃO. AF_01/2021</t>
  </si>
  <si>
    <t>0007288</t>
  </si>
  <si>
    <t>TINTA ESMALTE SINTETICO PREMIUM FOSCO</t>
  </si>
  <si>
    <t>0005318</t>
  </si>
  <si>
    <t>SOLVENTE DILUENTE A BASE DE AGUARRAS</t>
  </si>
  <si>
    <t>SI00000088488</t>
  </si>
  <si>
    <t>APLICAÇÃO MANUAL DE PINTURA COM TINTA LÁTEX ACRÍLICA EM TETO, DUAS DEMÃOS. AF_06/2014</t>
  </si>
  <si>
    <t>17.018.0060-A</t>
  </si>
  <si>
    <t>PREPARO DE SUPERFICIES NOVAS,COM REVESTIMENTO LISO INTERNO OU EXTERNO,INCLUSIVE UMA DEMAO DE SELADOR ACRILICO,DUAS DEMAO S DE MASSA ACRILICA E LIXAMENTOS NECESSARIOS (OBS.:3%-DESGASTE DE FERRAMENTAS E EPI).</t>
  </si>
  <si>
    <t>14496</t>
  </si>
  <si>
    <t>LIXA PARA MASSA</t>
  </si>
  <si>
    <t>06028</t>
  </si>
  <si>
    <t>SELADOR PIGMENTADO A BASE DE RESINA ACRILICA MODIFICADA, NA COR BRANCA</t>
  </si>
  <si>
    <t>GL</t>
  </si>
  <si>
    <t>03874</t>
  </si>
  <si>
    <t>MASSA ACRILICA, EM BALDES DE 18 LITROS</t>
  </si>
  <si>
    <t>20118</t>
  </si>
  <si>
    <t>MAO-DE-OBRA DE PINTOR, INCLUSIVE ENCARGOS SOCIAIS DESONERADOS</t>
  </si>
  <si>
    <t>INSTALAÇÃO HIDRAULICA</t>
  </si>
  <si>
    <t>SI00000094494</t>
  </si>
  <si>
    <t>REGISTRO DE GAVETA BRUTO, LATÃO, ROSCÁVEL, 3/4, INSTALADO EM RESERVAÇÃO DE ÁGUA DE EDIFICAÇÃO QUE POSSUA RESERVATÓRIO DE FIBRA/FIBROCIMENTO  FORNECIMENTO E INSTALAÇÃO. AF_06/2016</t>
  </si>
  <si>
    <t>0006016</t>
  </si>
  <si>
    <t>REGISTRO GAVETA BRUTO EM LATAO FORJADO, BITOLA 3/4 " (REF 1509)</t>
  </si>
  <si>
    <t>0003148</t>
  </si>
  <si>
    <t>FITA VEDA ROSCA EM ROLOS DE 18 MM X 50 M (L X C)</t>
  </si>
  <si>
    <t>SI00000088267</t>
  </si>
  <si>
    <t>ENCANADOR OU BOMBEIRO HIDRÁULICO COM ENCARGOS COMPLEMENTARES</t>
  </si>
  <si>
    <t>SI00000088248</t>
  </si>
  <si>
    <t>AUXILIAR DE ENCANADOR OU BOMBEIRO HIDRÁULICO COM ENCARGOS COMPLEMENTARES</t>
  </si>
  <si>
    <t>SI00000094495</t>
  </si>
  <si>
    <t>REGISTRO DE GAVETA BRUTO, LATÃO, ROSCÁVEL, 1, INSTALADO EM RESERVAÇÃO DE ÁGUA DE EDIFICAÇÃO QUE POSSUA RESERVATÓRIO DE FIBRA/FIBROCIMENTO  FORNECIMENTO E INSTALAÇÃO. AF_06/2016</t>
  </si>
  <si>
    <t>0006019</t>
  </si>
  <si>
    <t>REGISTRO GAVETA BRUTO EM LATAO FORJADO, BITOLA 1 " (REF 1509)</t>
  </si>
  <si>
    <t>SI00000094498</t>
  </si>
  <si>
    <t>REGISTRO DE GAVETA BRUTO, LATÃO, ROSCÁVEL, 2, INSTALADO EM RESERVAÇÃO DE ÁGUA DE EDIFICAÇÃO QUE POSSUA RESERVATÓRIO DE FIBRA/FIBROCIMENTO  FORNECIMENTO E INSTALAÇÃO. AF_06/2016</t>
  </si>
  <si>
    <t>0006028</t>
  </si>
  <si>
    <t>REGISTRO GAVETA BRUTO EM LATAO FORJADO, BITOLA 2 " (REF 1509)</t>
  </si>
  <si>
    <t>SI00000094499</t>
  </si>
  <si>
    <t>REGISTRO DE GAVETA BRUTO, LATÃO, ROSCÁVEL, 2 1/2, INSTALADO EM RESERVAÇÃO DE ÁGUA DE EDIFICAÇÃO QUE POSSUA RESERVATÓRIO DE FIBRA/FIBROCIMENTO  FORNECIMENTO E INSTALAÇÃO. AF_06/2016</t>
  </si>
  <si>
    <t>0006011</t>
  </si>
  <si>
    <t>REGISTRO GAVETA BRUTO EM LATAO FORJADO, BITOLA 2 1/2 " (REF 1509)</t>
  </si>
  <si>
    <t>SI00000089987</t>
  </si>
  <si>
    <t>REGISTRO DE GAVETA BRUTO, LATÃO, ROSCÁVEL, 3/4", COM ACABAMENTO E CANOPLA CROMADOS. FORNECIDO E INSTALADO EM RAMAL DE ÁGUA. AF_12/2014</t>
  </si>
  <si>
    <t>0006005</t>
  </si>
  <si>
    <t>REGISTRO GAVETA COM ACABAMENTO E CANOPLA CROMADOS, SIMPLES, BITOLA 3/4 " (REF 1509)</t>
  </si>
  <si>
    <t>15.030.0084-A</t>
  </si>
  <si>
    <t>VALVULA DE RETENCAO HORIZONTAL,EM PVC,SOLDAVEL,COM DIAMETRO DE 40MM.FORNECIMENTO E COLOCACAO (OBS.:3%-DESGASTE DE FERRAMENTAS E EPI).</t>
  </si>
  <si>
    <t>12792</t>
  </si>
  <si>
    <t>VALVULA DE RETENCAO, HORIZONTAL, EM PVC,40MM</t>
  </si>
  <si>
    <t>15.036.0037-A</t>
  </si>
  <si>
    <t>TUBO DE PVC RIGIDO DE 25MM,SOLDAVEL,INCLUSIVE CONEXOES E EMENDAS,EXCLUSIVE ABERTURA E FECHAMENTO DE RASGO.FORNECIMENTO E ASSENTAMENTO (OBS.:3%-DESGASTE DE FERRAMENTAS E EPI 10%-CONEXOES E EMENDAS).</t>
  </si>
  <si>
    <t>05031</t>
  </si>
  <si>
    <t>TUBO DE PVC RIGIDO SOLDAVEL, PONTA/BOLSAC/VIROLA, EM BARRAS DE 6,00M, DE 025MM</t>
  </si>
  <si>
    <t>15.036.0038-A</t>
  </si>
  <si>
    <t>TUBO DE PVC RIGIDO DE 32MM,SOLDAVEL,INCLUSIVE CONEXOES E EMENDAS,EXCLUSIVE ABERTURA E FECHAMENTO DE RASGO.FORNECIMENTO E ASSENTAMENTO (OBS.:3%-DESGASTE DE FERRAMENTAS E EPI 10%-CONEXOES E EMENDAS).</t>
  </si>
  <si>
    <t>05692</t>
  </si>
  <si>
    <t>TUBO DE PVC RIGIDO SOLDAVEL, PONTA/BOLSA, EM BARRAS DE 6,00M, DE 032MM</t>
  </si>
  <si>
    <t>15.036.0039-A</t>
  </si>
  <si>
    <t>TUBO DE PVC RIGIDO DE 40MM,SOLDAVEL,INCLUSIVE CONEXOES E EMENDAS,EXCLUSIVE ABERTURA E FECHAMENTO DE RASGO.FORNECIMENTO E ASSENTAMENTO (OBS.:3%-DESGASTE DE FERRAMENTAS E EPI 10%-CONEXOES E EMENDAS).</t>
  </si>
  <si>
    <t>05693</t>
  </si>
  <si>
    <t>TUBO DE PVC RIGIDO SOLDAVEL, PONTA/BOLSA, EM BARRAS DE 6,00M, DE 040MM</t>
  </si>
  <si>
    <t>06.270.0001-A</t>
  </si>
  <si>
    <t>TUBO PVC-PBA,CLASSE 15(EB-183),PARA ADUCAO E DISTRIBUICAO DE AGUAS,COM DIAMETRO NOMINAL DE 50MM, INCLUSIVE ANEL DE BORRA CHA. FORNECIMENTO</t>
  </si>
  <si>
    <t>05062</t>
  </si>
  <si>
    <t>ANEL DE BORRACHA, PARA TUBO DE PVC, PBA,DE DN=050MM</t>
  </si>
  <si>
    <t>05010</t>
  </si>
  <si>
    <t>TUBO DE PVC RIGIDO PONTA/BOLSA SEM ANELDE BORRACHA, CLASSE 15, DE DN=050MM</t>
  </si>
  <si>
    <t>06.270.0002-A</t>
  </si>
  <si>
    <t>TUBO PVC-PBA,CLASSE 15(EB-183),PARA ADUCAO E DISTRIBUICAO DE AGUAS,COM DIAMETRO NOMINAL DE 75MM, INCLUSIVE ANEL DE BORRA CHA. FORNECIMENTO</t>
  </si>
  <si>
    <t>05131</t>
  </si>
  <si>
    <t>TUBO DE PVC RIGIDO PONTA/BOLSA SEM ANELDE BORRACHA, CLASSE 15, DE DN=075MM</t>
  </si>
  <si>
    <t>05063</t>
  </si>
  <si>
    <t>ANEL DE BORRACHA, PARA TUBO DE PVC, PBA,DE DN=075MM</t>
  </si>
  <si>
    <t>SI00000099635</t>
  </si>
  <si>
    <t>VÁLVULA DE DESCARGA METÁLICA, BASE 1 1/2 ", ACABAMENTO METALICO CROMADO - FORNECIMENTO E INSTALAÇÃO. AF_01/2019</t>
  </si>
  <si>
    <t>0010228</t>
  </si>
  <si>
    <t>VALVULA DE DESCARGA METALICA, BASE 1 1/2 " E ACABAMENTO METALICO CROMADO</t>
  </si>
  <si>
    <t>SI00000094796</t>
  </si>
  <si>
    <t>TORNEIRA DE BOIA, ROSCÁVEL, 3/4 , FORNECIDA E INSTALADA EM RESERVAÇÃO DE ÁGUA. AF_06/2016</t>
  </si>
  <si>
    <t>0011830</t>
  </si>
  <si>
    <t>TORNEIRA DE BOIA CONVENCIONAL PARA CAIXA D'AGUA, 3/4", COM HASTE E TORNEIRA METALICOS E BALAO PLASTICO</t>
  </si>
  <si>
    <t>18.013.0143-A</t>
  </si>
  <si>
    <t>TUBO DE DESCARGA TIPO LONGO,DE 1.1/2",EM PVC,PARA CAIXA DE DESCARGA EXTERNA.FORNECIMENTO</t>
  </si>
  <si>
    <t>02600</t>
  </si>
  <si>
    <t>TUBO DE PVC LONGO, P/CAIXA DE DESCARGA EXTERNA, DE 1.1/2"</t>
  </si>
  <si>
    <t>SI00000101876</t>
  </si>
  <si>
    <t>QUADRO DE DISTRIBUIÇÃO DE ENERGIA EM PVC, DE EMBUTIR, SEM BARRAMENTO, PARA 6 DISJUNTORES - FORNECIMENTO E INSTALAÇÃO. AF_10/2020</t>
  </si>
  <si>
    <t>0039795</t>
  </si>
  <si>
    <t>QUADRO DE DISTRIBUICAO, SEM BARRAMENTO, EM PVC, DE EMBUTIR, PARA 6 DISJUNTORES NEMA OU 8 DISJUNTORES DIN</t>
  </si>
  <si>
    <t>SI00000088264</t>
  </si>
  <si>
    <t>ELETRICISTA COM ENCARGOS COMPLEMENTARES</t>
  </si>
  <si>
    <t>SI00000088247</t>
  </si>
  <si>
    <t>AUXILIAR DE ELETRICISTA COM ENCARGOS COMPLEMENTARES</t>
  </si>
  <si>
    <t>SI00000087367</t>
  </si>
  <si>
    <t>SI00000087367 ARGAMASSA TRAÇO 1:1:6 (EM VOLUME DE CIMENTO, CAL E AREIA MÉDIA ÚMIDA) PARA EMBOÇO/MASSA ÚNICA/ASSENTAMENTO DE ALVENARIA DE VEDAÇÃO, PREPARO MANUAL. AF_08/2019</t>
  </si>
  <si>
    <t>SI00000091170</t>
  </si>
  <si>
    <t>SI00000091170 FIXAÇÃO DE TUBOS HORIZONTAIS DE PVC, CPVC OU COBRE DIÂMETROS MENORES OU IGUAIS A 40 MM OU ELETROCALHAS ATÉ 150MM DE LARGURA, COM ABRAÇADEIRA METÁLICA RÍGIDA TIPO D 1/2, FIXADA EM PERFILADO EM LAJE. AF_05/2015</t>
  </si>
  <si>
    <t>SI00000091837</t>
  </si>
  <si>
    <t>ELETRODUTO FLEXÍVEL CORRUGADO REFORÇADO, PVC, DN 32 MM (1"), PARA CIRCUITOS TERMINAIS, INSTALADO EM FORRO - FORNECIMENTO E INSTALAÇÃO. AF_12/2015</t>
  </si>
  <si>
    <t>0039245</t>
  </si>
  <si>
    <t>ELETRODUTO PVC FLEXIVEL CORRUGADO, REFORCADO, COR LARANJA, DE 32 MM, PARA LAJES E PISOS</t>
  </si>
  <si>
    <t>0021127</t>
  </si>
  <si>
    <t>FITA ISOLANTE ADESIVA ANTICHAMA, USO ATE 750 V, EM ROLO DE 19 MM X 5 M</t>
  </si>
  <si>
    <t>SI00000091928</t>
  </si>
  <si>
    <t>CABO DE COBRE FLEXÍVEL ISOLADO, 4 MM², ANTI-CHAMA 450/750 V, PARA CIRCUITOS TERMINAIS - FORNECIMENTO E INSTALAÇÃO. AF_12/2015</t>
  </si>
  <si>
    <t>0000981</t>
  </si>
  <si>
    <t>CABO DE COBRE, FLEXIVEL, CLASSE 4 OU 5, ISOLACAO EM PVC/A, ANTICHAMA BWF-B, 1 CONDUTOR, 450/750 V, SECAO NOMINAL 4 MM2</t>
  </si>
  <si>
    <t>SI00000091930</t>
  </si>
  <si>
    <t>CABO DE COBRE FLEXÍVEL ISOLADO, 6 MM², ANTI-CHAMA 450/750 V, PARA CIRCUITOS TERMINAIS - FORNECIMENTO E INSTALAÇÃO. AF_12/2015</t>
  </si>
  <si>
    <t>0000982</t>
  </si>
  <si>
    <t>CABO DE COBRE, FLEXIVEL, CLASSE 4 OU 5, ISOLACAO EM PVC/A, ANTICHAMA BWF-B, 1 CONDUTOR, 450/750 V, SECAO NOMINAL 6 MM2</t>
  </si>
  <si>
    <t>SI00000091932</t>
  </si>
  <si>
    <t>CABO DE COBRE FLEXÍVEL ISOLADO, 10 MM², ANTI-CHAMA 450/750 V, PARA CIRCUITOS TERMINAIS - FORNECIMENTO E INSTALAÇÃO. AF_12/2015</t>
  </si>
  <si>
    <t>0000980</t>
  </si>
  <si>
    <t>CABO DE COBRE, FLEXIVEL, CLASSE 4 OU 5, ISOLACAO EM PVC/A, ANTICHAMA BWF-B, 1 CONDUTOR, 450/750 V, SECAO NOMINAL 10 MM2</t>
  </si>
  <si>
    <t>SI00000092986</t>
  </si>
  <si>
    <t>CABO DE COBRE FLEXÍVEL ISOLADO, 35 MM², ANTI-CHAMA 0,6/1,0 KV, PARA DISTRIBUIÇÃO - FORNECIMENTO E INSTALAÇÃO. AF_12/2015</t>
  </si>
  <si>
    <t>0001019</t>
  </si>
  <si>
    <t>CABO DE COBRE, FLEXIVEL, CLASSE 4 OU 5, ISOLACAO EM PVC/A, ANTICHAMA BWF-B, COBERTURA PVC-ST1, ANTICHAMA BWF-B, 1 CONDUTOR, 0,6/1 KV, SECAO NOMINAL 35 MM2</t>
  </si>
  <si>
    <t>SI00000091959</t>
  </si>
  <si>
    <t>INTERRUPTOR SIMPLES (2 MÓDULOS), 10A/250V, INCLUINDO SUPORTE E PLACA - FORNECIMENTO E INSTALAÇÃO. AF_12/2015</t>
  </si>
  <si>
    <t>SI00000091958</t>
  </si>
  <si>
    <t>SI00000091958 INTERRUPTOR SIMPLES (2 MÓDULOS), 10A/250V, SEM SUPORTE E SEM PLACA - FORNECIMENTO E INSTALAÇÃO. AF_12/2015</t>
  </si>
  <si>
    <t>SI00000091946</t>
  </si>
  <si>
    <t>SI00000091946 SUPORTE PARAFUSADO COM PLACA DE ENCAIXE 4" X 2" MÉDIO (1,30 M DO PISO) PARA PONTO ELÉTRICO - FORNECIMENTO E INSTALAÇÃO. AF_12/2015</t>
  </si>
  <si>
    <t>18.027.0313-A</t>
  </si>
  <si>
    <t>LUMINARIA DE SOBREPOR,FIXADA EM LAJE OU FORRO,TIPO CALHA,CHANFRADA OU PRISMATICA,COMPLETA,EQUIPADA COM REATOR ELETRONICO DE ALTO FATOR DE POTENCIA E LAMPADA FLUORESCENTE DE 2X32W.FORNECIMENTO E COLOCACAO (OBS.:3%-DESGASTE DE FERRAMENTAS E EPI).</t>
  </si>
  <si>
    <t>14679</t>
  </si>
  <si>
    <t>CALHA CHANFRADA EM CHAPA DE ACO PARA LUMINARIA DE SOBREPOR, PARA 2 LAMPADAS TUBULARES DE 1200MM</t>
  </si>
  <si>
    <t>13227</t>
  </si>
  <si>
    <t>LAMPADA FLUORESCENTE TUBULAR DE 32W, BASE G-13</t>
  </si>
  <si>
    <t>13216</t>
  </si>
  <si>
    <t>REATOR ELETRONICO DE ALTO FATOR DE POTENCIA (AFT&gt;0,92), PARA LAMPADAS FLUORESCENTES - 32W - DUPLO</t>
  </si>
  <si>
    <t>05946</t>
  </si>
  <si>
    <t>SUPORTE TIPO PE DE GALINHA PARA FIXACAODE LUMINARIAS</t>
  </si>
  <si>
    <t>05337</t>
  </si>
  <si>
    <t>SUPORTE P/LAMPADA TUBULAR</t>
  </si>
  <si>
    <t>18.027.0310-A</t>
  </si>
  <si>
    <t>LUMINARIA DE SOBREPOR,FIXADA EM LAJE OU FORRO,TIPO CALHA,CHANFRADA OU PRISMATICA,COMPLETA,EQUIPADA COM REATOR ELETRONICO DE ALTO FATOR DE POTENCIA E LAMPADA FLUORESCENTE DE 2X16W.FORNECIMENTO E COLOCACAO (OBS.:3%-DESGASTE DE FERRAMENTAS E EPI).</t>
  </si>
  <si>
    <t>14675</t>
  </si>
  <si>
    <t>CALHA CHANFRADA EM CHAPA DE ACO PARA LUMINARIA DE SOBREPOR, PARA 2 LAMPADAS TUBULARES DE 600MM</t>
  </si>
  <si>
    <t>13210</t>
  </si>
  <si>
    <t>REATOR ELETRONICO DE ALTO FATOR DE POTENCIA (AFT&gt;0,92), PARA LAMPADA FLUORESCENTES - 16W - DUPLO</t>
  </si>
  <si>
    <t>07981</t>
  </si>
  <si>
    <t>LAMPADA FLUORESCENTE TUBULAR, DE 16W</t>
  </si>
  <si>
    <t>14.010.0010-A</t>
  </si>
  <si>
    <t>MASTRO METALICO EM TUBO DE FERRO GALVANIZADO DE 3" COM ALTURA DE 6,00M,EQUIPADO COM ROLDANA COM FIXACAO EM PRISMA DE CON CRETO DE 30X30X50CM.FORNECIMENTO E COLOCACAO (OBS.:3%-DESGASTE DE FERRAMENTAS E EPI 56%-ROLDANAS E DEMAIS MATERIAIS).</t>
  </si>
  <si>
    <t>00197</t>
  </si>
  <si>
    <t>TUBO DE ACO GALVANIZADO, COM COSTURA, PESADO, NBR 5580, DN=3"</t>
  </si>
  <si>
    <t>SI00000090822</t>
  </si>
  <si>
    <t>PORTA DE MADEIRA PARA PINTURA, SEMI-OCA (LEVE OU MÉDIA), 80X210CM, ESPESSURA DE 3,5CM, INCLUSO DOBRADIÇAS - FORNECIMENTO E INSTALAÇÃO. AF_12/2019</t>
  </si>
  <si>
    <t>0011055</t>
  </si>
  <si>
    <t>PARAFUSO ROSCA SOBERBA ZINCADO CABECA CHATA FENDA SIMPLES 3,5 X 25 MM (1 ")</t>
  </si>
  <si>
    <t>0010555</t>
  </si>
  <si>
    <t>PORTA DE MADEIRA, FOLHA MEDIA (NBR 15930) DE 800 X 2100 MM, DE 35 MM A 40 MM DE ESPESSURA, NUCLEO SEMI-SOLIDO (SARRAFEADO), CAPA LISA EM HDF, ACABAMENTO EM PRIMER PARA PINTURA</t>
  </si>
  <si>
    <t>0002432</t>
  </si>
  <si>
    <t>DOBRADICA EM ACO/FERRO, 3 1/2" X  3", E= 1,9  A 2 MM, COM ANEL,  CROMADO OU ZINCADO, TAMPA BOLA, COM PARAFUSOS</t>
  </si>
  <si>
    <t>SI00000088261</t>
  </si>
  <si>
    <t>CARPINTEIRO DE ESQUADRIA COM ENCARGOS COMPLEMENTARES</t>
  </si>
  <si>
    <t>SI00000090820</t>
  </si>
  <si>
    <t>PORTA DE MADEIRA PARA PINTURA, SEMI-OCA (LEVE OU MÉDIA), 60X210CM, ESPESSURA DE 3,5CM, INCLUSO DOBRADIÇAS - FORNECIMENTO E INSTALAÇÃO. AF_12/2019</t>
  </si>
  <si>
    <t>0010553</t>
  </si>
  <si>
    <t>PORTA DE MADEIRA, FOLHA MEDIA (NBR 15930) DE 600 X 2100 MM, DE 35 MM A 40 MM DE ESPESSURA, NUCLEO SEMI-SOLIDO (SARRAFEADO), CAPA LISA EM HDF, ACABAMENTO EM PRIMER PARA PINTURA</t>
  </si>
  <si>
    <t>02922</t>
  </si>
  <si>
    <t>FECHADURA,P/PORTA INT.MAD.,FER.,ACAB.CROM.,MACAN.TIPO ALAV.ZAMAK OU LATAO CROM.OU POL.ESP.RET.OU SEMI-ELIP.FER.LAT.CROMA</t>
  </si>
  <si>
    <t>SI00000091341</t>
  </si>
  <si>
    <t>PORTA EM ALUMÍNIO DE ABRIR TIPO VENEZIANA COM GUARNIÇÃO, FIXAÇÃO COM PARAFUSOS - FORNECIMENTO E INSTALAÇÃO. AF_12/2019</t>
  </si>
  <si>
    <t>0039025</t>
  </si>
  <si>
    <t>PORTA DE ABRIR EM ALUMINIO TIPO VENEZIANA, ACABAMENTO ANODIZADO NATURAL, SEM GUARNICAO/ALIZAR/VISTA, 87 X 210 CM</t>
  </si>
  <si>
    <t>0036888</t>
  </si>
  <si>
    <t>GUARNICAO/MOLDURA DE ACABAMENTO PARA ESQUADRIA DE ALUMINIO ANODIZADO NATURAL, PARA 1 FACE</t>
  </si>
  <si>
    <t>0007568</t>
  </si>
  <si>
    <t>BUCHA DE NYLON SEM ABA S10, COM PARAFUSO DE 6,10 X 65 MM EM ACO ZINCADO COM ROSCA SOBERBA, CABECA CHATA E FENDA PHILLIPS</t>
  </si>
  <si>
    <t>0000142</t>
  </si>
  <si>
    <t>SELANTE ELASTICO MONOCOMPONENTE A BASE DE POLIURETANO (PU) PARA JUNTAS DIVERSAS</t>
  </si>
  <si>
    <t>310ML</t>
  </si>
  <si>
    <t>16.002.0012-A</t>
  </si>
  <si>
    <t>COBERTURA EM TELHA CERAMICA PORTUGUESA OU ROMANA,EXCLUSIVE CUMEEIRA E MADEIRAMENTO MEDIDA PELA AREA REAL DE COBERTURA.FO RNECIMENTO E COLOCACAO (OBS.:3%-DESGASTE DE FERRAMENTAS E EPI).</t>
  </si>
  <si>
    <t>07858</t>
  </si>
  <si>
    <t>TELHA COLONIAL MODELO PORTUGUESA</t>
  </si>
  <si>
    <t>16.001.0050-A</t>
  </si>
  <si>
    <t>MADEIRAMENTO PARA COBERTURA EM DUAS AGUAS EM TELHAS CERAMICAS,CONSTITUIDO DE CUMEEIRA E TERCAS DE 3"X4.1/2",CAIBROS DE 3 "X1.1/2",RIPAS DE 1,5X4CM,TUDO EM MADEIRA SERRADA,SEM TESOURA OU PONTALETE,MEDIDO PELA AREA REAL DO MADEIRAMENTO.FORNECI MENTO E COLOCACAO (OBS.:3%-DESGASTE DE FERRAMENTAS E EPI).</t>
  </si>
  <si>
    <t>05434</t>
  </si>
  <si>
    <t>MACARANDUBA EM PECAS, DE 3,75X7,50CM (1.1/2"X3")</t>
  </si>
  <si>
    <t>02605</t>
  </si>
  <si>
    <t>MACARANDUBA EM RIPAS, DE (1,5x4)CM</t>
  </si>
  <si>
    <t>02604</t>
  </si>
  <si>
    <t>MACARANDUBA EM PECAS, DE 7,50X7,50CM (3"X3")</t>
  </si>
  <si>
    <t>02603</t>
  </si>
  <si>
    <t>MACARANDUBA EM PECAS, DE 7,50X11,25CM (3"X4.1/2")</t>
  </si>
  <si>
    <t>20046</t>
  </si>
  <si>
    <t>MAO-DE-OBRA DE CARPINTEIRO DE FORMA DE CONCRETO, INCLUSIVE ENCARGOS SOCIAIS DESONERADOS</t>
  </si>
  <si>
    <t>16.001.0065-A</t>
  </si>
  <si>
    <t>16.002.0015-A</t>
  </si>
  <si>
    <t>CUMEEIRA PARA COBERTURA EM TELHAS FRANCESAS,COLONIAIS,ROMANA OU PORTUGUESA.FORNECIMENTO E COLOCACAO (OBS.:3%-DESGASTE DE FERRAMENTAS E EPI).</t>
  </si>
  <si>
    <t>00564</t>
  </si>
  <si>
    <t>CUMEEIRA DE TELHA DE MARSELHA COMUM, DE1¦</t>
  </si>
  <si>
    <t>16.030.0001-A</t>
  </si>
  <si>
    <t>IMPERMEABILIZACAO ASFALTICA (HIDRO-ASFALTO),CONSUMO DE 1,2KG/M2,EXCLUSIVE PREPARO DA SUPERFICIE E PROTECAO MECANICA (OBS.:3%-DESGASTE DE FERRAMENTAS E EPI).</t>
  </si>
  <si>
    <t>01373</t>
  </si>
  <si>
    <t>HIDRO ASFALTO, EM EMBALAGENS DE 18KG</t>
  </si>
  <si>
    <t>13.333.0010-A</t>
  </si>
  <si>
    <t>REVESTIMENTO DE PISO COM CERAMICA TATIL DIRECIONAL,(LADRILHO HIDRAULICO),PARA PESSOAS COM NECESSIDADES ESPECIFICAS,ASSEN TES SOBRE SUPERFICIE EM OSSO,CONFORME ITEM 13.330.0010 (OBS.:3%-DESGASTE DE FERRAMENTAS E EPI).</t>
  </si>
  <si>
    <t>11227</t>
  </si>
  <si>
    <t>PISO CERAMICO TATIL DIRECIONAL, AMARELO,PARA PORTADORES DE NECESSIDADES ESPECIFICAS</t>
  </si>
  <si>
    <t>20087</t>
  </si>
  <si>
    <t>MAO-DE-OBRA DE LADRILHEIRO, INCLUSIVE ENCARGOS SOCIAIS DESONERADOS</t>
  </si>
  <si>
    <t>20042</t>
  </si>
  <si>
    <t>MAO-DE-OBRA DE CALCETEIRO, INCLUSIVE ENCARGOS SOCIAS DESONERADOS</t>
  </si>
  <si>
    <t>30282</t>
  </si>
  <si>
    <t>11.004.0021-B FORMAS MADEIRA PARAM. PLANOS, 2 VEZES</t>
  </si>
  <si>
    <t>30164</t>
  </si>
  <si>
    <t>07.002.0030-B ARGAMASSA CIM.,AREIA TRACO 1:4,PREPAROMECANICO</t>
  </si>
  <si>
    <t>08.027.0036-A</t>
  </si>
  <si>
    <t>MEIO-FIO CURVO DE CONCRETO SIMPLES FCK=15MPA,MOLDADO NO LOCAL,TIPO DER-RJ,MEDINDO 0,15M NA BASE E COM ALTURA DE 0,45M,RE JUNTAMENTO COM ARGAMASSA DE CIMENTO E AREIA,NO TRACO 1:3,5,COM FORNECIMENTO DE TODOS OS MATERIAIS,ESCAVACAO E REATERRO (OBS.:10%- PECA CURVA 13,3%- PECA CURVA (10%) E DESGASTE DE FERRAMENTAS E EPI (3%)).</t>
  </si>
  <si>
    <t>SI00000101161</t>
  </si>
  <si>
    <t>ALVENARIA DE VEDAÇÃO COM ELEMENTO VAZADO DE CONCRETO (COBOGÓ) DE 7X50X50CM E ARGAMASSA DE ASSENTAMENTO COM PREPARO EM BETONEIRA. AF_05/2020</t>
  </si>
  <si>
    <t>0000665</t>
  </si>
  <si>
    <t>ELEMENTO VAZADO DE CONCRETO, QUADRICULADO, 16 FUROS *50 X 50 X 7* CM</t>
  </si>
  <si>
    <t>SI00000100489</t>
  </si>
  <si>
    <t>SI00000100489 ARGAMASSA TRAÇO 1:3 (EM VOLUME DE CIMENTO E AREIA MÉDIA ÚMIDA), PREPARO MECÂNICO COM BETONEIRA 600 L. AF_08/2019</t>
  </si>
  <si>
    <t>REVESTIMENTO CERÂMICO PARA PAREDES INTERNAS COM PLACAS TIPO ESMALTADA EXTRA DE DIMENSÕES 25X35 CM APLICADAS EM AMBIENTES DE ÁREA MENOR QUE 5 M² A MEIA ALTURA DAS PAREDES. AF_06/2014</t>
  </si>
  <si>
    <t>0000536</t>
  </si>
  <si>
    <t>REVESTIMENTO EM CERAMICA ESMALTADA EXTRA, PEI MENOR OU IGUAL A 3, FORMATO MENOR OU IGUAL A 2025 CM2</t>
  </si>
  <si>
    <t>20.115.0015-A</t>
  </si>
  <si>
    <t>AREIA PARA REGIAO DE BARRA MANSA,EXCLUSIVE TRANSPORTE,INCLUSIVE CARGA NO CAMINHAO.FORNECIMENTO</t>
  </si>
  <si>
    <t>13813</t>
  </si>
  <si>
    <t>AREIA LAVADA, GROSSA, PARA REGIAO DE BARRA MANSA, EXCLUSIVE TRANSPORTE</t>
  </si>
  <si>
    <t>18.013.0156-A</t>
  </si>
  <si>
    <t>REGISTRO DE PRESSAO,1416 DE 3/4",COM CANOPLA E VOLANTE EM METAL CROMADO.FORNECIMENTO</t>
  </si>
  <si>
    <t>02586</t>
  </si>
  <si>
    <t>REGISTRO DE PRESSAO, DE 3/4"</t>
  </si>
  <si>
    <t>0007697</t>
  </si>
  <si>
    <t>TUBO ACO GALVANIZADO COM COSTURA, CLASSE MEDIA, DN 1.1/2", E = *3,25* MM, PESO *3,61* KG/M (NBR 5580)</t>
  </si>
  <si>
    <t>SI00000088246</t>
  </si>
  <si>
    <t>ASSENTADOR DE TUBOS COM ENCARGOS COMPLEMENTARES</t>
  </si>
  <si>
    <t>SI00000090694</t>
  </si>
  <si>
    <t>TUBO DE PVC PARA REDE COLETORA DE ESGOTO DE PAREDE MACIÇA, DN 100 MM, JUNTA ELÁSTICA - FORNECIMENTO E ASSENTAMENTO. AF_01/2021</t>
  </si>
  <si>
    <t>0036365</t>
  </si>
  <si>
    <t>TUBO COLETOR DE ESGOTO PVC, JEI, DN 100 MM (NBR  7362)</t>
  </si>
  <si>
    <t>0020078</t>
  </si>
  <si>
    <t>PASTA LUBRIFICANTE PARA TUBOS E CONEXOES COM JUNTA ELASTICA (USO EM PVC, ACO, POLIETILENO E OUTROS) ( DE *400* G)</t>
  </si>
  <si>
    <t>SI00000090695</t>
  </si>
  <si>
    <t>TUBO DE PVC PARA REDE COLETORA DE ESGOTO DE PAREDE MACIÇA, DN 150 MM, JUNTA ELÁSTICA  - FORNECIMENTO E ASSENTAMENTO. AF_01/2021</t>
  </si>
  <si>
    <t>0041936</t>
  </si>
  <si>
    <t>TUBO COLETOR DE ESGOTO, PVC, JEI, DN 150 MM  (NBR 7362)</t>
  </si>
  <si>
    <t>SI00000090696</t>
  </si>
  <si>
    <t>TUBO DE PVC PARA REDE COLETORA DE ESGOTO DE PAREDE MACIÇA, DN 200 MM, JUNTA ELÁSTICA - FORNECIMENTO E ASSENTAMENTO. AF_01/2021</t>
  </si>
  <si>
    <t>0041930</t>
  </si>
  <si>
    <t>TUBO COLETOR DE ESGOTO PVC, JEI, DN 200 MM (NBR 7362)</t>
  </si>
  <si>
    <t>0038383</t>
  </si>
  <si>
    <t>LIXA D'AGUA EM FOLHA, GRAO 100</t>
  </si>
  <si>
    <t>0020083</t>
  </si>
  <si>
    <t>SOLUCAO LIMPADORA PARA PVC, FRASCO COM 1000 CM3</t>
  </si>
  <si>
    <t>0000122</t>
  </si>
  <si>
    <t>ADESIVO PLASTICO PARA PVC, FRASCO COM 850 GR</t>
  </si>
  <si>
    <t>15.003.0192-A</t>
  </si>
  <si>
    <t>RALO SIFONADO DE FERRO FUNDIDO PARA BANHEIRO DE SERVICO DN= 100MM,COMPOSTO DE UMA ENTRADA E UMA SAIDA DN=50MM (PVC 40MM INTERNAMENTE),CONFORME PROJETO DE NORMA ABNT 02.243.25-16 (NBR 9651),REVESTIDO INTERNA E EXTERNAMENTE COM EPOXI NA COR V ERMELHA,APLICADO PELO SISTEMA ELETROSTATICO.FORNECIMENTO E ASSENTAMENTO (OBS.:3%-DESGASTE DE FERRAMENTAS E EPI).</t>
  </si>
  <si>
    <t>13928</t>
  </si>
  <si>
    <t>RALO SIFONADO DE FERRO FUND.P/BANHEIRO DE SERV.DN 100MM, LINHA SMU, COMP.POR UMAENTR.E UMA SAIDA DN 50MM (PVC 40MM INT)</t>
  </si>
  <si>
    <t>SI00000097906</t>
  </si>
  <si>
    <t>CAIXA ENTERRADA HIDRÁULICA RETANGULAR, EM ALVENARIA COM BLOCOS DE CONCRETO, DIMENSÕES INTERNAS: 0,6X0,6X0,6 M PARA REDE DE ESGOTO. AF_12/2020</t>
  </si>
  <si>
    <t>0000650</t>
  </si>
  <si>
    <t>BLOCO DE VEDACAO DE CONCRETO, 9 X 19 X 39 CM (CLASSE C - NBR 6136)</t>
  </si>
  <si>
    <t>SI00000101616</t>
  </si>
  <si>
    <t>SI00000101616 PREPARO DE FUNDO DE VALA COM LARGURA MENOR QUE 1,5 M (ACERTO DO SOLO NATURAL). AF_08/2020</t>
  </si>
  <si>
    <t>SI00000100475</t>
  </si>
  <si>
    <t>SI00000100475 ARGAMASSA TRAÇO 1:3 (EM VOLUME DE CIMENTO E AREIA MÉDIA ÚMIDA) COM ADIÇÃO DE IMPERMEABILIZANTE, PREPARO MECÂNICO COM BETONEIRA 400 L. AF_08/2019</t>
  </si>
  <si>
    <t>SI00000097735</t>
  </si>
  <si>
    <t>SI00000097735 PEÇA RETANGULAR PRÉ-MOLDADA, VOLUME DE CONCRETO DE 30 A 100 LITROS, TAXA DE AÇO APROXIMADA DE 30KG/M³. AF_01/2018</t>
  </si>
  <si>
    <t>SI00000094970</t>
  </si>
  <si>
    <t>SI00000094970 CONCRETO FCK = 20MPA, TRAÇO 1:2,7:3 (EM MASSA SECA DE CIMENTO/ AREIA MÉDIA/ BRITA 1) - PREPARO MECÂNICO COM BETONEIRA 600 L. AF_05/2021</t>
  </si>
  <si>
    <t>SI00000087316</t>
  </si>
  <si>
    <t>SI00000087316 ARGAMASSA TRAÇO 1:4 (EM VOLUME DE CIMENTO E AREIA GROSSA ÚMIDA) PARA CHAPISCO CONVENCIONAL, PREPARO MECÂNICO COM BETONEIRA 400 L. AF_08/2019</t>
  </si>
  <si>
    <t>SI00000005679</t>
  </si>
  <si>
    <t>SI00000005679 RETROESCAVADEIRA SOBRE RODAS COM CARREGADEIRA, TRAÇÃO 4X4, POTÊNCIA LÍQ. 88 HP, CAÇAMBA CARREG. CAP. MÍN. 1 M3, CAÇAMBA RETRO CAP. 0,26 M3, PESO OPERACIONAL MÍN. 6.674 KG, PROFUNDIDADE ESCAVAÇÃO MÁX. 4,37 M - CHI DIURNO. AF_06/2014</t>
  </si>
  <si>
    <t>SI00000005678</t>
  </si>
  <si>
    <t>SI00000005678 RETROESCAVADEIRA SOBRE RODAS COM CARREGADEIRA, TRAÇÃO 4X4, POTÊNCIA LÍQ. 88 HP, CAÇAMBA CARREG. CAP. MÍN. 1 M3, CAÇAMBA RETRO CAP. 0,26 M3, PESO OPERACIONAL MÍN. 6.674 KG, PROFUNDIDADE ESCAVAÇÃO MÁX. 4,37 M - CHP DIURNO. AF_06/2014</t>
  </si>
  <si>
    <t>20.028.0020-A</t>
  </si>
  <si>
    <t>TAMPA PARA CAIXA COLETORA,EM CONCRETO ARMADO,INCLUSIVE TODOS OS MATERIAIS E COLOCACAO (ESPESSURA DE 6CM) (OBS.:3%-DESGASTE DE FERRAMENTAS E EPI).</t>
  </si>
  <si>
    <t>30309</t>
  </si>
  <si>
    <t>11.011.0030-B CORTE ACO CA-50B DIAM.ENTRE 8MM A 12,5MM</t>
  </si>
  <si>
    <t>30302</t>
  </si>
  <si>
    <t>11.009.0014-B BARRA ACO CA-50,DIAM.DE 8 A 12,5MM</t>
  </si>
  <si>
    <t>30275</t>
  </si>
  <si>
    <t>11.002.0043-B LANCAMENTO CONC.C/ARM. 2,0M3/H, HORIZ.</t>
  </si>
  <si>
    <t>0011245</t>
  </si>
  <si>
    <t>GRELHA FOFO SIMPLES COM REQUADRO, CARGA MAXIMA  12,5 T, *300 X 1000* MM, E= *15* MM, AREA ESTACIONAMENTO CARRO PASSEIO</t>
  </si>
  <si>
    <t>SI00000097974</t>
  </si>
  <si>
    <t>POÇO DE INSPEÇÃO CIRCULAR PARA ESGOTO, EM CONCRETO PRÉ-MOLDADO, DIÂMETRO INTERNO = 0,6 M, PROFUNDIDADE = 1 M, EXCLUINDO TAMPÃO. AF_12/2020</t>
  </si>
  <si>
    <t>0043441</t>
  </si>
  <si>
    <t>ANEL EM CONCRETO ARMADO, LISO, PARA POCOS DE INSPECAO, COM FUNDO, DIAMETRO INTERNO DE 0,60 M E ALTURA DE 0,50 M</t>
  </si>
  <si>
    <t>0043423</t>
  </si>
  <si>
    <t>ANEL EM CONCRETO ARMADO, LISO, PARA POCOS DE INSPECAO, SEM FUNDO, DIAMETRO INTERNO DE 0,60 M E ALTURA DE 0,20 M</t>
  </si>
  <si>
    <t>0007258</t>
  </si>
  <si>
    <t>TIJOLO CERAMICO MACICO COMUM *5 X 10 X 20* CM (L X A X C)</t>
  </si>
  <si>
    <t>SI00000101625</t>
  </si>
  <si>
    <t>SI00000101625 PREPARO DE FUNDO DE VALA COM LARGURA MAIOR OU IGUAL A 1,5 M E MENOR QUE 2,5 M, COM CAMADA DE AREIA, LANÇAMENTO MECANIZADO. AF_08/2020</t>
  </si>
  <si>
    <t>SI00000097738</t>
  </si>
  <si>
    <t>SI00000097738 PEÇA CIRCULAR PRÉ-MOLDADA, VOLUME DE CONCRETO DE 10 A 30 LITROS, TAXA DE FIBRA DE POLIPROPILENO APROXIMADA DE 6 KG/M³. AF_01/2018_P</t>
  </si>
  <si>
    <t>SI00000098114</t>
  </si>
  <si>
    <t>TAMPA CIRCULAR PARA ESGOTO E DRENAGEM, EM FERRO FUNDIDO, DIÂMETRO INTERNO = 0,6 M. AF_12/2020</t>
  </si>
  <si>
    <t>0011301</t>
  </si>
  <si>
    <t>TAMPAO FOFO ARTICULADO, CLASSE B125 CARGA MAX 12,5 T, REDONDO TAMPA 600 MM, REDE PLUVIAL/ESGOTO</t>
  </si>
  <si>
    <t>SI00000089482</t>
  </si>
  <si>
    <t>CAIXA SIFONADA, PVC, DN 100 X 100 X 50 MM, FORNECIDA E INSTALADA EM RAMAIS DE ENCAMINHAMENTO DE ÁGUA PLUVIAL. AF_12/2014</t>
  </si>
  <si>
    <t>0020085</t>
  </si>
  <si>
    <t>ANEL BORRACHA, DN 50 MM, PARA TUBO SERIE REFORCADA ESGOTO PREDIAL</t>
  </si>
  <si>
    <t>0005103</t>
  </si>
  <si>
    <t>CAIXA SIFONADA PVC, 100 X 100 X 50 MM, COM GRELHA REDONDA BRANCA</t>
  </si>
  <si>
    <t>CAIXA SIFONADA, PVC, DN 150 X 185 X 75 MM, FORNECIDA E INSTALADA EM RAMAIS DE ENCAMINHAMENTO DE ÁGUA PLUVIAL. AF_12/2014</t>
  </si>
  <si>
    <t>CAIXA SIFONADA PVC, 150 X 185 X 75 MM, COM GRELHA QUADRADA BRANCA</t>
  </si>
  <si>
    <t>ANEL BORRACHA DN 75 MM, PARA TUBO SERIE REFORCADA ESGOTO PREDIAL</t>
  </si>
  <si>
    <t>SI00000089495</t>
  </si>
  <si>
    <t>RALO SIFONADO, PVC, DN 100 X 40 MM, JUNTA SOLDÁVEL, FORNECIDO E INSTALADO EM RAMAIS DE ENCAMINHAMENTO DE ÁGUA PLUVIAL. AF_12/2014</t>
  </si>
  <si>
    <t>0011741</t>
  </si>
  <si>
    <t>RALO SIFONADO PVC CILINDRICO, 100 X 40 MM,  COM GRELHA REDONDA BRANCA</t>
  </si>
  <si>
    <t>SI00000089798</t>
  </si>
  <si>
    <t>TUBO PVC, SERIE NORMAL, ESGOTO PREDIAL, DN 50 MM, FORNECIDO E INSTALADO EM PRUMADA DE ESGOTO SANITÁRIO OU VENTILAÇÃO. AF_12/2014</t>
  </si>
  <si>
    <t>0009838</t>
  </si>
  <si>
    <t>TUBO PVC SERIE NORMAL, DN 50 MM, PARA ESGOTO PREDIAL (NBR 5688)</t>
  </si>
  <si>
    <t>SI00000089799</t>
  </si>
  <si>
    <t>TUBO PVC, SERIE NORMAL, ESGOTO PREDIAL, DN 75 MM, FORNECIDO E INSTALADO EM PRUMADA DE ESGOTO SANITÁRIO OU VENTILAÇÃO. AF_12/2014</t>
  </si>
  <si>
    <t>0009837</t>
  </si>
  <si>
    <t>TUBO PVC SERIE NORMAL, DN 75 MM, PARA ESGOTO PREDIAL (NBR 5688)</t>
  </si>
  <si>
    <t>00558</t>
  </si>
  <si>
    <t>TIJOLO CERAMICO, MACICO, DE (07X10X20)CM</t>
  </si>
  <si>
    <t>00349</t>
  </si>
  <si>
    <t>PINUS, EM PECAS DE 2,50X30,00CM (1"X12")</t>
  </si>
  <si>
    <t>00017</t>
  </si>
  <si>
    <t>ACO CA-50, ESTIRADO, PRECO DE REVENDEDOR, NO DIAMETRO DE 10,0MM</t>
  </si>
  <si>
    <t>30352</t>
  </si>
  <si>
    <t>13.001.0025-B EMBOCO ARG. CIM. E AREIA TRACO 1:3</t>
  </si>
  <si>
    <t>30312</t>
  </si>
  <si>
    <t>11.013.0003-B VERGAS CONCR. ARMADO P/ ALVEN.</t>
  </si>
  <si>
    <t>18.002.0065-A</t>
  </si>
  <si>
    <t>VASO SANITARIO DE LOUCA BRANCA,TIPO POPULAR,COM CAIXA ACOPLADA,COMPLETO,C/MEDIDAS EM TORNO DE (35X65X35)CM,INCLUSIVE ASS ENTO PLASTICO TIPO POPULAR,BOLSA DE LIGACAO,RABICHO EM PVC EACESSORIOS DE FIXACAO.FORNECIMENTO</t>
  </si>
  <si>
    <t>03923</t>
  </si>
  <si>
    <t>VASO SANITARIO, SIFONADO DE LOUCA BRANCA, TIPO POPULAR, COM CAIXA ACOPLADA</t>
  </si>
  <si>
    <t>SI00000086877</t>
  </si>
  <si>
    <t>0003146</t>
  </si>
  <si>
    <t>FITA VEDA ROSCA EM ROLOS DE 18 MM X 10 M (L X C)</t>
  </si>
  <si>
    <t>0037329</t>
  </si>
  <si>
    <t>REJUNTE EPOXI, QUALQUER COR</t>
  </si>
  <si>
    <t>0004351</t>
  </si>
  <si>
    <t>PARAFUSO NIQUELADO 3 1/2" COM ACABAMENTO CROMADO PARA FIXAR PECA SANITARIA, INCLUI PORCA CEGA, ARRUELA E BUCHA DE NYLON TAMANHO S-8</t>
  </si>
  <si>
    <t>SI00000086906</t>
  </si>
  <si>
    <t>TORNEIRA CROMADA DE MESA, 1/2 OU 3/4, PARA LAVATÓRIO, PADRÃO POPULAR - FORNECIMENTO E INSTALAÇÃO. AF_01/2020</t>
  </si>
  <si>
    <t>0013415</t>
  </si>
  <si>
    <t>TORNEIRA CROMADA DE MESA PARA LAVATORIO, PADRAO POPULAR, 1/2 " OU 3/4 " (REF 1193)</t>
  </si>
  <si>
    <t>SI00000095545</t>
  </si>
  <si>
    <t>SABONETEIRA DE PAREDE EM METAL CROMADO, INCLUSO FIXAÇÃO. AF_01/2020</t>
  </si>
  <si>
    <t>0011757</t>
  </si>
  <si>
    <t>SABONETEIRA DE PAREDE EM METAL CROMADO</t>
  </si>
  <si>
    <t>18.016.0105-A</t>
  </si>
  <si>
    <t>BARRA DE APOIO EM ACO INOXIDAVEL AISI 304,TUBO DE 1.1/4",INCLUSIVE FIXACAO COM PARAFUSOS INOXIDAVEIS E BUCHAS PLASTICAS, COM 50CM,PARA PESSOAS COM NECESSIDADES ESPECIFICAS.FORNECIMENTO E COLOCACAO (OBS.:3%-DESGASTE DE FERRAMENTAS E EPI).</t>
  </si>
  <si>
    <t>13146</t>
  </si>
  <si>
    <t>BARRA DE APOIO, EM ACO INOXIDAVEL AISI 304, TUBO DE 1.1/4", COM 50CM</t>
  </si>
  <si>
    <t>SI00000086919</t>
  </si>
  <si>
    <t>TANQUE DE LOUÇA BRANCA COM COLUNA, 30L OU EQUIVALENTE, INCLUSO SIFÃO FLEXÍVEL EM PVC, VÁLVULA METÁLICA E TORNEIRA DE METAL CROMADO PADRÃO MÉDIO - FORNECIMENTO E INSTALAÇÃO. AF_01/2020</t>
  </si>
  <si>
    <t>SI00000086914</t>
  </si>
  <si>
    <t>SI00000086914 TORNEIRA CROMADA 1/2 OU 3/4 PARA TANQUE, PADRÃO MÉDIO - FORNECIMENTO E INSTALAÇÃO. AF_01/2020</t>
  </si>
  <si>
    <t>SI00000086883</t>
  </si>
  <si>
    <t>SI00000086883 SIFÃO DO TIPO FLEXÍVEL EM PVC 1  X 1.1/2  - FORNECIMENTO E INSTALAÇÃO. AF_01/2020</t>
  </si>
  <si>
    <t>SI00000086877 VÁLVULA EM METAL CROMADO 1.1/2 X 1.1/2 PARA TANQUE OU LAVATÓRIO, COM OU SEM LADRÃO - FORNECIMENTO E INSTALAÇÃO. AF_01/2020</t>
  </si>
  <si>
    <t>SI00000086872</t>
  </si>
  <si>
    <t>SI00000086872 TANQUE DE LOUÇA BRANCA COM COLUNA, 30L OU EQUIVALENTE - FORNECIMENTO E INSTALAÇÃO. AF_01/2020</t>
  </si>
  <si>
    <t>SI00000086910</t>
  </si>
  <si>
    <t>TORNEIRA CROMADA TUBO MÓVEL, DE PAREDE, 1/2 OU 3/4, PARA PIA DE COZINHA, PADRÃO MÉDIO - FORNECIMENTO E INSTALAÇÃO. AF_01/2020</t>
  </si>
  <si>
    <t>0011773</t>
  </si>
  <si>
    <t>TORNEIRA CROMADA DE PAREDE PARA COZINHA BICA MOVEL COM AREJADOR 1/2 " OU 3/4 " (REF 1168)</t>
  </si>
  <si>
    <t>SI00000086916</t>
  </si>
  <si>
    <t>TORNEIRA PLÁSTICA 3/4 PARA TANQUE - FORNECIMENTO E INSTALAÇÃO. AF_01/2020</t>
  </si>
  <si>
    <t>0011831</t>
  </si>
  <si>
    <t>TORNEIRA PLASTICA PARA TANQUE 1/2 " OU 3/4 " COM BICO PARA MANGUEIRA</t>
  </si>
  <si>
    <t>CUBA DE ACO INOXIDAVEL,MEDINDO APROXIMADAMENTE (500X400X200)MM,EM CHAPA 20.304,VALVULA DE ESCOAMENTO TIPO AMERICANA 1623 ,SIFAO 1680 1.1/2" X 1.1/2",EXCLUSIVE TORNEIRA.FORNECIMENTOE COLOCACAO (OBS.:3%-DESGASTE DE FERRAMENTAS E EPI).</t>
  </si>
  <si>
    <t>02593</t>
  </si>
  <si>
    <t>VALVULA DE ESCOAMENTO, P/PIA DE COZINHA,1623, EM METAL CROMADO, DE 1.1/2"X3.3/4"</t>
  </si>
  <si>
    <t>02592</t>
  </si>
  <si>
    <t>CUBA DE ACO INOXIDAVEL, CHAPA 20/304, SIMPLES, MEDINDO APROXIMADAMENTE (500X400X200)MM, CHAPA 20/304</t>
  </si>
  <si>
    <t>02356</t>
  </si>
  <si>
    <t>SIFAO EM METAL CROMADO, DE 1.1/2"X1.1/2"</t>
  </si>
  <si>
    <t>SI00000086900</t>
  </si>
  <si>
    <t>CUBA DE EMBUTIR RETANGULAR DE AÇO INOXIDÁVEL, 46 X 30 X 12 CM - FORNECIMENTO E INSTALAÇÃO. AF_01/2020</t>
  </si>
  <si>
    <t>0004823</t>
  </si>
  <si>
    <t>MASSA PLASTICA PARA MARMORE/GRANITO</t>
  </si>
  <si>
    <t>0001743</t>
  </si>
  <si>
    <t>CUBA ACO INOX (AISI 304) DE EMBUTIR COM VALVULA 3 1/2 ", DE *46 X 30 X 12* CM</t>
  </si>
  <si>
    <t>SI00000088274</t>
  </si>
  <si>
    <t>MARMORISTA/GRANITEIRO COM ENCARGOS COMPLEMENTARES</t>
  </si>
  <si>
    <t>18.016.0040-0</t>
  </si>
  <si>
    <t>18.082.0020-A</t>
  </si>
  <si>
    <t>BANCA SECA DE GRANITO CINZA ANDORINHA,COM 2CM DE ESPESSURA E 60CM DE LARGURA,SOBRE APOIOS DE ALVENARIA DE MEIA VEZ E VER GA DE CONCRETO,SEM REVESTIMENTO.FORNECIMENTO E COLOCACAO (OBS.:3%-DESGASTE DE FERRAMENTAS E EPI).</t>
  </si>
  <si>
    <t>13357</t>
  </si>
  <si>
    <t>BANCA SECA DE GRANITO CINZA ANDORINHA, COM 2CM DE ESPESSURA E 60CM DE LARGURA</t>
  </si>
  <si>
    <t>30344</t>
  </si>
  <si>
    <t>12.003.0075-B ALVENARIA TIJ. FURADO 10X20X20CM</t>
  </si>
  <si>
    <t>18.070.0005-A</t>
  </si>
  <si>
    <t>PRATELEIRA DE MARMORE BRANCO NACIONAL,COM 30CM DE LARGURA E 2CM DE ESPESSURA,SOBRE CONSOLO DE FERRO.FORNECIMENTO E COLOC ACAO (OBS.:3%-DESGASTE DE FERRAMENTAS E EPI).</t>
  </si>
  <si>
    <t>00391</t>
  </si>
  <si>
    <t>PLACA DE MARMORE BRANCO NACIONAL, POLIDO, COM ESPESSURA DE 2CM</t>
  </si>
  <si>
    <t>SI00000101907</t>
  </si>
  <si>
    <t>EXTINTOR DE INCÊNDIO PORTÁTIL COM CARGA DE CO2 DE 6 KG, CLASSE BC - FORNECIMENTO E INSTALAÇÃO. AF_10/2020_P</t>
  </si>
  <si>
    <t>0010889</t>
  </si>
  <si>
    <t>EXTINTOR DE INCENDIO PORTATIL COM CARGA DE GAS CARBONICO CO2 DE 6 KG, CLASSE BC</t>
  </si>
  <si>
    <t>0004350</t>
  </si>
  <si>
    <t>BUCHA DE NYLON, DIAMETRO DO FURO 8 MM, COMPRIMENTO 40 MM, COM PARAFUSO DE ROSCA SOBERBA, CABECA CHATA, FENDA SIMPLES, 4,8 X 50 MM</t>
  </si>
  <si>
    <t>13.001.0026-A</t>
  </si>
  <si>
    <t>EMBOCO COM ARGAMASSA DE CIMENTO E AREIA,NO TRACO 1:3 COM 2CM DE ESPESSURA,INCLUSIVE CHAPISCO DE CIMENTO E AREIA,NO TRACO 0,04375 (OBS.:3%-DESGASTE DE FERRAMENTAS E EPI).</t>
  </si>
  <si>
    <t>30350</t>
  </si>
  <si>
    <t>13.001.0010-B CHAPISCO SUPERF. CONCR./ALVEN.,COM ARGAMASSA DE CIMENTO E AREIA NO TRACO 1:3</t>
  </si>
  <si>
    <t>M²</t>
  </si>
  <si>
    <r>
      <t>REVESTIMENTO CERAMICO DE PAREDE 30X40CM //</t>
    </r>
    <r>
      <rPr>
        <b/>
        <sz val="11"/>
        <color indexed="8"/>
        <rFont val="Times New Roman"/>
        <family val="1"/>
      </rPr>
      <t xml:space="preserve"> SODIMAC.COM.BR // CNPJ 17.873.677/0001-37</t>
    </r>
  </si>
  <si>
    <r>
      <t>REVESTIMENTO CERAMICO DE PAREDE 30X40CM //</t>
    </r>
    <r>
      <rPr>
        <b/>
        <sz val="11"/>
        <color indexed="8"/>
        <rFont val="Times New Roman"/>
        <family val="1"/>
      </rPr>
      <t xml:space="preserve"> QUEROQUERO.COM.BR // CNPJ 96.418.264/0218-02</t>
    </r>
  </si>
  <si>
    <t>TOTAL MÉDIO</t>
  </si>
  <si>
    <r>
      <t>REVESTIMENTO CERAMICO DE PAREDE 30X40CM //</t>
    </r>
    <r>
      <rPr>
        <b/>
        <sz val="11"/>
        <color indexed="8"/>
        <rFont val="Times New Roman"/>
        <family val="1"/>
      </rPr>
      <t xml:space="preserve"> LEROYMERLIN.COM.BR // CNPJ  01.438.784/0048-60</t>
    </r>
  </si>
  <si>
    <t>COTAÇÃO</t>
  </si>
  <si>
    <t>SI00000087270 (COTAÇÃO)</t>
  </si>
  <si>
    <t>13.030.0257-A</t>
  </si>
  <si>
    <t>REVESTIMENTO DE PAREDES COM LADRILHOS CERAMICOS,CORES ECONOMICAS(BRANCO,CINZA,BEGE,AZUL,VERDE,MARROM E PRETO),COM MEDIDA S EM TORNO DE (10X10)CM,ASSENTE CONFORME ITEM 13.025.0058 (OBS.:3%-DESGASTE DE FERRAMENTAS E EPI).</t>
  </si>
  <si>
    <t>07798</t>
  </si>
  <si>
    <t>ARGAMASSA PARA REJUNTAMENTO PIGMENTADA,EMBALAGEM DE 5KG</t>
  </si>
  <si>
    <t>07797</t>
  </si>
  <si>
    <t>ARGAMASSA COLANTE, PARA USO EXTERNO, EMBALAGEM DE 20 KG</t>
  </si>
  <si>
    <t>07796</t>
  </si>
  <si>
    <t>REVESTIMENTO CERAMICO, MED. EM TORNO DE(10X10)CM, CORES ECONOMICAS (BRANCO, BEGE, CINZA, AZUL, VERDE, MARROM E PRETO)</t>
  </si>
  <si>
    <t>06013</t>
  </si>
  <si>
    <t>MASSA UNICA COM ARGAMASSA DE CIMENTO E AREIA TERMOTRATADA, EM SACOS DE 50KG</t>
  </si>
  <si>
    <r>
      <t>REVESTIMENTO CERÂMICO PARA PISO COM PLACAS TIPO ESMALTADA EXTRA DE DIMENSÕES</t>
    </r>
    <r>
      <rPr>
        <b/>
        <sz val="11"/>
        <color indexed="8"/>
        <rFont val="Times New Roman"/>
        <family val="1"/>
      </rPr>
      <t xml:space="preserve"> (40X40) </t>
    </r>
    <r>
      <rPr>
        <sz val="11"/>
        <color indexed="8"/>
        <rFont val="Times New Roman"/>
        <family val="1"/>
      </rPr>
      <t>CM APLICADA EM AMBIENTES DE ÁREA MENOR QUE 5 M2. AF_06/2014</t>
    </r>
  </si>
  <si>
    <r>
      <t xml:space="preserve">SI00000087246 </t>
    </r>
    <r>
      <rPr>
        <b/>
        <sz val="11"/>
        <rFont val="Times New Roman"/>
        <family val="1"/>
      </rPr>
      <t>(MODIFICADO)</t>
    </r>
  </si>
  <si>
    <r>
      <t xml:space="preserve">13.348.0075-A </t>
    </r>
    <r>
      <rPr>
        <b/>
        <sz val="11"/>
        <rFont val="Times New Roman"/>
        <family val="1"/>
      </rPr>
      <t>(MODIDICADO)</t>
    </r>
  </si>
  <si>
    <t>SOLEIRA EM GRANITO CINZA ANDORINHA,ESPESSURA DE 2CM,COM 2 POLIMENTOS,LARGURA DE 17CM,ASSENTADO COM ARGAMASSA DE CIMENTO, SAIBRO E AREIA, NO TRACO 1:2:2, E REJUNTAMENTO COM CIMENTOBRANCO E CORANTE (OBS.:3%-DESGASTE DE FERRAMENTAS E EPI).</t>
  </si>
  <si>
    <t>13.348.0050-A</t>
  </si>
  <si>
    <t>PEITORIL EM GRANITO CINZA ANDORINHA,ESPESSURA DE 2CM,LARGURA 15 A 18CM,ASSENTADO COM NATA DE CIMENTO SOBRE ARGAMASSA DE CIMENTO,SAIBRO E AREIA,NO TRACO 1:3:3 E REJUNTAMENTO COM CIMENTO BRANCO (OBS.:3%-DESGASTE DE FERRAMENTAS E EPI).</t>
  </si>
  <si>
    <t>11200</t>
  </si>
  <si>
    <t>PEITORIL GRANITO CINZA ANDORINHA, 18X2CM</t>
  </si>
  <si>
    <t>MERCADO</t>
  </si>
  <si>
    <t>COBOGÓ 39X39CM // LEROY MERLIN // CNPJ: 01.438.784/0048-60</t>
  </si>
  <si>
    <t>COBOGÓ 39X39CM // IRMÃOS OLIVEIRA ARTEFATOS DE CIMENTO // CNPJ: 10.914.121/0001-00</t>
  </si>
  <si>
    <t>COBOGÓ 39X39CM // FERREIRA COSTA // CNPJ:10.230.480/0001-60</t>
  </si>
  <si>
    <t>MÉDIA TOTAL</t>
  </si>
  <si>
    <t>ESQUADIRAS</t>
  </si>
  <si>
    <t>SI00000100866</t>
  </si>
  <si>
    <t>BARRA DE APOIO RETA, EM ACO INOX POLIDO, COMPRIMENTO 60CM, FIXADA NA PAREDE - FORNECIMENTO E INSTALAÇÃO. AF_01/2020</t>
  </si>
  <si>
    <t>0036204</t>
  </si>
  <si>
    <t>BARRA DE APOIO RETA, EM ACO INOX POLIDO, COMPRIMENTO 60CM, DIAMETRO MINIMO 3 CM</t>
  </si>
  <si>
    <t>SI00000090822 + SI00000100866</t>
  </si>
  <si>
    <t>PORTA DE MADEIRA PARA PINTURA, SEMI-OCA (LEVE OU MÉDIA), 80X210CM, ESPESSURA DE 3,5CM, INCLUSO DOBRADIÇAS E BARRA DE APOIO PNE - FORNECIMENTO E INSTALAÇÃO. AF_12/2019</t>
  </si>
  <si>
    <t>30361</t>
  </si>
  <si>
    <t>13.200.0015-B REVESTIMENTO CHAPA LAMIN. ESP. 1MM</t>
  </si>
  <si>
    <t>14.008.0095-A (MODIFICADO)</t>
  </si>
  <si>
    <t>PORTA LISA, SEMI-OCA PARA PINTURA, DE (60X160X3,5)CM</t>
  </si>
  <si>
    <t>14.007.0258-A</t>
  </si>
  <si>
    <t>FECHADURA PARA PORTAS INTERNAS DE MADEIRA,TIPO GORGE,TRINCO REVERSIVEL EM LATAO,ACABAMENTO CROMADO,COM MACANETA TIPO ALA VANCA EM ZAMAK,ACABAMENTO CROMADO,ENTRADA E ROSETA CIRCULARES,EM LATAO LAMINADO COM ACABAMENTO CROMADO.FORNECIMENTO</t>
  </si>
  <si>
    <t>07803</t>
  </si>
  <si>
    <t>FECHADURA DE EMBUTIR EM LATAO CROMADO, P/PORTA INT., MACANETA TIPO ALAVANCA EM ZAMAK, DIST. 55MM E PROFUND. 80MM</t>
  </si>
  <si>
    <t>SI00000091305</t>
  </si>
  <si>
    <t>FECHADURA DE EMBUTIR PARA PORTA DE BANHEIRO, COMPLETA, ACABAMENTO PADRÃO POPULAR, INCLUSO EXECUÇÃO DE FURO - FORNECIMENTO E INSTALAÇÃO. AF_12/2019</t>
  </si>
  <si>
    <t>0003097</t>
  </si>
  <si>
    <t>FECHADURA ROSETA REDONDA PARA PORTA DE BANHEIRO, EM ACO INOX (MAQUINA, TESTA E CONTRA-TESTA) E EM ZAMAC (MACANETA, LINGUETA E TRINCOS) COM ACABAMENTO CROMADO, MAQUINA DE 40 MM, INCLUINDO CHAVE TIPO TRANQUETA</t>
  </si>
  <si>
    <t>CJ</t>
  </si>
  <si>
    <t>14.003.0076-A</t>
  </si>
  <si>
    <t>JANELA BASCULANTE DE ALUMINIO ANODIZADO AO NATURAL,COM 2 ORDENS SENDO A INFERIOR FIXA,EM PERFIS SERIE 28.FORNECIMENTO E COLOCACAO (OBS.:3%-DESGASTE DE FERRAMENTAS E EPI 23%-ANODIZACAO E ACESSORIOS).</t>
  </si>
  <si>
    <t>00022</t>
  </si>
  <si>
    <t>ALUMINIO EM PERFIL TUBULAR EXTRUDADO, LIGA COMUM</t>
  </si>
  <si>
    <t>14.003.0061-A</t>
  </si>
  <si>
    <t>JANELA DE ALUMINIO ANODIZADO AO NATURAL,TIPO PIVOTANTE,COM PAINEL PIVOTANTE VERTICAL,EM PERFIS SERIE 28. FORNECIMENTO E COLOCACAO (OBS.:3%-DESGASTE DE FERRAMENTAS E EPI 40%-ANODIZACAO E ACESSORIOS).</t>
  </si>
  <si>
    <t>14.003.0028-A</t>
  </si>
  <si>
    <t>JANELA DE ALUMINIO ANODIZADO AO NATURAL DE CORRER,COM DUAS FOLHAS FIXAS E DUAS FOLHAS DE CORRER,EM PERFIS SERIE 28.FORNE CIMENTO E COLOCACAO (OBS.:3%-DESGASTE DE FERRAMENTAS E EPI 29%-ANODIZACAO E ACESSORIOS).</t>
  </si>
  <si>
    <t>0039961</t>
  </si>
  <si>
    <t>SILICONE ACETICO USO GERAL INCOLOR 280 G</t>
  </si>
  <si>
    <t>05.005.0054-A</t>
  </si>
  <si>
    <t>TELA EM POLIETILENO DE ALTA DENSIDADE,100% VIRGEM,COM MALHA DE (5X5)CM,FIO DE 2,5MM,COM RESISTENCIA DE 350KG/M2.FORNECIM ENTO E COLOCACAO (OBS.:3%-DESGASTE DE FERRAMENTAS E EPI).</t>
  </si>
  <si>
    <t>10905</t>
  </si>
  <si>
    <t>TELA POLIETILENO DE ALTA DENSIDADE, MALHA DE (5X5)CM, ESTABILIZADO CONTRA RAIOSULTRA-VIOLETA</t>
  </si>
  <si>
    <t>SI00000102179</t>
  </si>
  <si>
    <t>INSTALAÇÃO DE VIDRO TEMPERADO, E = 6 MM, ENCAIXADO EM PERFIL U. AF_01/2021_P</t>
  </si>
  <si>
    <t>0039432</t>
  </si>
  <si>
    <t>FITA DE PAPEL REFORCADA COM LAMINA DE METAL PARA REFORCO DE CANTOS DE CHAPA DE GESSO PARA DRYWALL</t>
  </si>
  <si>
    <t>0034360</t>
  </si>
  <si>
    <t>PERFIL DE ALUMINIO ANODIZADO</t>
  </si>
  <si>
    <t>0011950</t>
  </si>
  <si>
    <t>BUCHA DE NYLON SEM ABA S6, COM PARAFUSO DE 4,20 X 40 MM EM ACO ZINCADO COM ROSCA SOBERBA, CABECA CHATA E FENDA PHILLIPS</t>
  </si>
  <si>
    <t>0010505</t>
  </si>
  <si>
    <t>VIDRO TEMPERADO INCOLOR E = 6 MM, SEM COLOCACAO</t>
  </si>
  <si>
    <t>SI00000088325</t>
  </si>
  <si>
    <t>VIDRACEIRO COM ENCARGOS COMPLEMENTARES</t>
  </si>
  <si>
    <t>14.004.0100-A</t>
  </si>
  <si>
    <t>ESPELHO DE CRISTAL,4MM DE ESPESSURA.COM MOLDURA DE MADEIRA.FORNECIMENTO E COLOCACAO (OBS.:3%-DESGASTE DE FERRAMENTAS E EPI).</t>
  </si>
  <si>
    <t>05909</t>
  </si>
  <si>
    <t>PARAFUSO FERRO, ROSCA SOBERBA, CABECA CHATA, DE (5,5X50)MM</t>
  </si>
  <si>
    <t>05881</t>
  </si>
  <si>
    <t>BUCHA DE NYLON, TIPO S-06</t>
  </si>
  <si>
    <t>02259</t>
  </si>
  <si>
    <t>ALIZAR EM MADEIRA DE LEI, DE (5X2)CM, GRUPO V</t>
  </si>
  <si>
    <t>01342</t>
  </si>
  <si>
    <t>ESPELHO DE CRISTAL, DE 4MM</t>
  </si>
  <si>
    <t>2.0</t>
  </si>
  <si>
    <t>3.0</t>
  </si>
  <si>
    <t>4.0</t>
  </si>
  <si>
    <t>4.1</t>
  </si>
  <si>
    <t>4.2</t>
  </si>
  <si>
    <t>4.3</t>
  </si>
  <si>
    <t>4.4</t>
  </si>
  <si>
    <t>4.5</t>
  </si>
  <si>
    <t>4.6</t>
  </si>
  <si>
    <t>4.7</t>
  </si>
  <si>
    <t>4.8</t>
  </si>
  <si>
    <t>4.9</t>
  </si>
  <si>
    <t>4.10</t>
  </si>
  <si>
    <t>4.11</t>
  </si>
  <si>
    <t>4.12</t>
  </si>
  <si>
    <t>4.13</t>
  </si>
  <si>
    <t>4.14</t>
  </si>
  <si>
    <t>4.15</t>
  </si>
  <si>
    <t>4.16</t>
  </si>
  <si>
    <t>4.19</t>
  </si>
  <si>
    <t>4.17</t>
  </si>
  <si>
    <t>4.18</t>
  </si>
  <si>
    <t>4.20</t>
  </si>
  <si>
    <t>13.416.0010-A</t>
  </si>
  <si>
    <t>PISO TATIL DE BORRACHA,DIRECIONAL,PARA PESSOAS COM NECESSIDADES ESPECIFICAS,25X25CM,ESPESSURA DE 5MM,NA COR PRETA,COLADO SOBRE BASE EXISTENTE.FORNECIMENTO E COLOCACAO</t>
  </si>
  <si>
    <t>11196</t>
  </si>
  <si>
    <t>PISO TATIL BORRACHA DIRECIONAL, 25X25CM,ESP.5MM, NA COR PRETA, PARA PESSOAS COMNECESSIDADES ESPECIAIS</t>
  </si>
  <si>
    <t>00135</t>
  </si>
  <si>
    <t>COLA PARA PISOS DE BORRACHA</t>
  </si>
  <si>
    <t>13.416.0015-A</t>
  </si>
  <si>
    <t>PISO TATIL DE BORRACHA,ALERTA,PARA PESSOAS COM NECESSIDADES ESPECIFICAS,25X25CM, ESPESSURA DE 5MM, NA COR PRETA, COLADO SOBRE BASE EXISTENTE.FORNECIMENTO E COLOCACAO</t>
  </si>
  <si>
    <t>11197</t>
  </si>
  <si>
    <t>PISO TATIL BORRACHA ALERTA, 25X25CM, ESPESSURA DE 5MM, NA COR PRETA, PARA PESSOAS COM NECESSIDADES ESPECIAIS</t>
  </si>
  <si>
    <t>4.21</t>
  </si>
  <si>
    <t>4.22</t>
  </si>
  <si>
    <t>5.0</t>
  </si>
  <si>
    <t>5.1</t>
  </si>
  <si>
    <t>5.2</t>
  </si>
  <si>
    <t>5.3</t>
  </si>
  <si>
    <t>5.4</t>
  </si>
  <si>
    <t>5.6</t>
  </si>
  <si>
    <t>5.7</t>
  </si>
  <si>
    <t>5.8</t>
  </si>
  <si>
    <t>5.9</t>
  </si>
  <si>
    <t>5.10</t>
  </si>
  <si>
    <t>5.11</t>
  </si>
  <si>
    <t>5.12</t>
  </si>
  <si>
    <t>5.14</t>
  </si>
  <si>
    <t>5.15</t>
  </si>
  <si>
    <t>5.16</t>
  </si>
  <si>
    <t>6.0</t>
  </si>
  <si>
    <t>6.1</t>
  </si>
  <si>
    <t>6.2</t>
  </si>
  <si>
    <t>6.4</t>
  </si>
  <si>
    <t>7.1</t>
  </si>
  <si>
    <t>7.2</t>
  </si>
  <si>
    <t>7.3</t>
  </si>
  <si>
    <t>7.4</t>
  </si>
  <si>
    <t>7.5</t>
  </si>
  <si>
    <t>7.6</t>
  </si>
  <si>
    <t>7.7</t>
  </si>
  <si>
    <t>TUBO PVC-PBA,CLASSE 15(EB-183),PARA ADUCAO E DISTRIBUICAO DE AGUAS,COM DIAMETRO NOMINAL DE 60MM, INCLUSIVE ANEL DE BORRA CHA. FORNECIMENTO</t>
  </si>
  <si>
    <t>So0036376</t>
  </si>
  <si>
    <t>TUBO PVC PBA JEI, CLASSE 15, DN 60 MM, PARA REDE DE AGUA (NBR 5647)</t>
  </si>
  <si>
    <r>
      <t xml:space="preserve">06.270.0001-A </t>
    </r>
    <r>
      <rPr>
        <b/>
        <sz val="11"/>
        <rFont val="Times New Roman"/>
        <family val="1"/>
      </rPr>
      <t>(MODIFICADO)</t>
    </r>
  </si>
  <si>
    <t xml:space="preserve">CAIXA/TORRE RESERVARÓRIO METALICO COMPLETA 25.000L </t>
  </si>
  <si>
    <t>CAIXA/TORRE RESERVARÓRIO METALICO COMPLETA 25.000L // TANK METALURGICA  // CNPJ: 26.314.109/0001-97</t>
  </si>
  <si>
    <t>CAIXA/TORRE RESERVARÓRIO METALICO COMPLETA 25.000L // L&amp;E RESERVATÓRIOS METÁLICOS  // CNPJ: 26.385.261/0001-60</t>
  </si>
  <si>
    <t>CAIXA/TORRE RESERVARÓRIO METALICO COMPLETA 25.000L // FAZFORTE  // CNPJ: 02.723.191/0001-54</t>
  </si>
  <si>
    <t>MÉDIO</t>
  </si>
  <si>
    <t>BOMBA HIDRAULICA CENTRIFUGA,COM MOTOR ELETRICO,POTENCIA DE 3/4CV,EXCLUSIVE ACESSORIOS.FORNECIMENTO E COLOCACAO (OBS.:3%-DESGASTE DE FERRAMENTAS E EPI).</t>
  </si>
  <si>
    <t>00463</t>
  </si>
  <si>
    <t>PARAFUSO DE ACO GALVANIZADO A FOGO CONFORME NBR 7675, PARA JUNTAS COM FLANGES, PN 10, MEDINDO (16X80)MM</t>
  </si>
  <si>
    <t>00286</t>
  </si>
  <si>
    <t>FIO C/ISOLAMENTO TERMOPLASTICO ANTICHAMADE 750V, DE 01,5MM2</t>
  </si>
  <si>
    <t>00973</t>
  </si>
  <si>
    <t>BOMBA HIDRAULICA CENTRIFUGA, COM MOTOR ELETRICO, DE 0,75CV-110/220V</t>
  </si>
  <si>
    <t>18.029.0012-A</t>
  </si>
  <si>
    <t>0009830</t>
  </si>
  <si>
    <t>TUBO PVC, FLEXIVEL, CORRUGADO, PERFURADO, DN 65 MM, PARA DRENAGEM, SISTEMA IRRIGACAO</t>
  </si>
  <si>
    <t>15.004.0500-A</t>
  </si>
  <si>
    <t>CALHA DE PISO NORMAL,EM PVC,DN 130,INCLUSIVE ESCAVACAO MANUAL E CAMADA DE CONCRETO PARA ASSENTAMENTO.FORNECIMENTO E COLO CACAO (OBS.:3%-DESGASTE DE FERRAMENTAS E EPI).</t>
  </si>
  <si>
    <t>14724</t>
  </si>
  <si>
    <t>CALHA DE PISO NORMAL, EM PVC, MEDINDO(130X2500)MM</t>
  </si>
  <si>
    <t>30276</t>
  </si>
  <si>
    <t>11.003.0001-B CONCRETO FCK 10MPA INCL. MAT.,PREP.,LANC</t>
  </si>
  <si>
    <t>30003</t>
  </si>
  <si>
    <t>03.001.0001-B ESCAVACAO MAN. 1¦CAT., ATE 1,50M</t>
  </si>
  <si>
    <t>SI00000091792</t>
  </si>
  <si>
    <t>(COMPOSIÇÃO REPRESENTATIVA) DO SERVIÇO DE INSTALAÇÃO DE TUBO DE PVC, SÉRIE NORMAL, ESGOTO PREDIAL, DN 40 MM (INSTALADO EM RAMAL DE DESCARGA OU RAMAL DE ESGOTO SANITÁRIO), INCLUSIVE CONEXÕES, CORTES E FIXAÇÕES, PARA PRÉDIOS. AF_10/2015</t>
  </si>
  <si>
    <t>SI00000091190</t>
  </si>
  <si>
    <t>SI00000091190 CHUMBAMENTO PONTUAL EM PASSAGEM DE TUBO COM DIÂMETRO MENOR OU IGUAL A 40 MM. AF_05/2015</t>
  </si>
  <si>
    <t>SI00000091185</t>
  </si>
  <si>
    <t>SI00000091185 FIXAÇÃO DE TUBOS HORIZONTAIS DE PVC, CPVC OU COBRE DIÂMETROS MENORES OU IGUAIS A 40 MM COM ABRAÇADEIRA METÁLICA FLEXÍVEL 18 MM, FIXADA DIRETAMENTE NA LAJE. AF_05/2015</t>
  </si>
  <si>
    <t>SI00000090466</t>
  </si>
  <si>
    <t>SI00000090466 CHUMBAMENTO LINEAR EM ALVENARIA PARA RAMAIS/DISTRIBUIÇÃO COM DIÂMETROS MENORES OU IGUAIS A 40 MM. AF_05/2015</t>
  </si>
  <si>
    <t>SI00000090453</t>
  </si>
  <si>
    <t>SI00000090453 PASSANTE TIPO TUBO DE DIÂMETRO MENOR OU IGUAL A 40 MM, FIXADO EM LAJE. AF_05/2015</t>
  </si>
  <si>
    <t>SI00000090443</t>
  </si>
  <si>
    <t>SI00000090443 RASGO EM ALVENARIA PARA RAMAIS/ DISTRIBUIÇÃO COM DIAMETROS MENORES OU IGUAIS A 40 MM. AF_05/2015</t>
  </si>
  <si>
    <t>SI00000090436</t>
  </si>
  <si>
    <t>SI00000090436 FURO EM ALVENARIA PARA DIÂMETROS MENORES OU IGUAIS A 40 MM. AF_05/2015</t>
  </si>
  <si>
    <t>SI00000089783</t>
  </si>
  <si>
    <t>SI00000089783 JUNÇÃO SIMPLES, PVC, SERIE NORMAL, ESGOTO PREDIAL, DN 40 MM, JUNTA SOLDÁVEL, FORNECIDO E INSTALADO EM RAMAL DE DESCARGA OU RAMAL DE ESGOTO SANITÁRIO. AF_12/2014</t>
  </si>
  <si>
    <t>SI00000089752</t>
  </si>
  <si>
    <t>SI00000089752 LUVA SIMPLES, PVC, SERIE NORMAL, ESGOTO PREDIAL, DN 40 MM, JUNTA SOLDÁVEL, FORNECIDO E INSTALADO EM RAMAL DE DESCARGA OU RAMAL DE ESGOTO SANITÁRIO. AF_12/2014</t>
  </si>
  <si>
    <t>SI00000089726</t>
  </si>
  <si>
    <t>SI00000089726 JOELHO 45 GRAUS, PVC, SERIE NORMAL, ESGOTO PREDIAL, DN 40 MM, JUNTA SOLDÁVEL, FORNECIDO E INSTALADO EM RAMAL DE DESCARGA OU RAMAL DE ESGOTO SANITÁRIO. AF_12/2014</t>
  </si>
  <si>
    <t>SI00000089724</t>
  </si>
  <si>
    <t>SI00000089724 JOELHO 90 GRAUS, PVC, SERIE NORMAL, ESGOTO PREDIAL, DN 40 MM, JUNTA SOLDÁVEL, FORNECIDO E INSTALADO EM RAMAL DE DESCARGA OU RAMAL DE ESGOTO SANITÁRIO. AF_12/2014</t>
  </si>
  <si>
    <t>SI00000089711</t>
  </si>
  <si>
    <t>SI00000089711 TUBO PVC, SERIE NORMAL, ESGOTO PREDIAL, DN 40 MM, FORNECIDO E INSTALADO EM RAMAL DE DESCARGA OU RAMAL DE ESGOTO SANITÁRIO. AF_12/2014</t>
  </si>
  <si>
    <t>SI00000091793</t>
  </si>
  <si>
    <t>(COMPOSIÇÃO REPRESENTATIVA) DO SERVIÇO DE INSTALAÇÃO DE TUBO DE PVC, SÉRIE NORMAL, ESGOTO PREDIAL, DN 50 MM (INSTALADO EM RAMAL DE DESCARGA OU RAMAL DE ESGOTO SANITÁRIO), INCLUSIVE CONEXÕES, CORTES E FIXAÇÕES PARA, PRÉDIOS. AF_10/2015</t>
  </si>
  <si>
    <t>SI00000091222</t>
  </si>
  <si>
    <t>SI00000091222 RASGO EM ALVENARIA PARA RAMAIS/ DISTRIBUIÇÃO COM DIÂMETROS MAIORES QUE 40 MM E MENORES OU IGUAIS A 75 MM. AF_05/2015</t>
  </si>
  <si>
    <t>SI00000091191</t>
  </si>
  <si>
    <t>SI00000091191 CHUMBAMENTO PONTUAL EM PASSAGEM DE TUBO COM DIÂMETROS ENTRE 40 MM E 75 MM. AF_05/2015</t>
  </si>
  <si>
    <t>SI00000091186</t>
  </si>
  <si>
    <t>SI00000091186 FIXAÇÃO DE TUBOS HORIZONTAIS DE PVC, CPVC OU COBRE DIÂMETROS MAIORES QUE 40 MM E MENORES OU IGUAIS A 75 MM COM ABRAÇADEIRA METÁLICA FLEXÍVEL 18 MM, FIXADA DIRETAMENTE NA LAJE. AF_05/2015</t>
  </si>
  <si>
    <t>SI00000090467</t>
  </si>
  <si>
    <t>SI00000090467 CHUMBAMENTO LINEAR EM ALVENARIA PARA RAMAIS/DISTRIBUIÇÃO COM DIÂMETROS MAIORES QUE 40 MM E MENORES OU IGUAIS A 75 MM. AF_05/2015</t>
  </si>
  <si>
    <t>SI00000090454</t>
  </si>
  <si>
    <t>SI00000090454 PASSANTE TIPO TUBO DE DIÂMETRO MAIORES QUE 40 MM E MENORES OU IGUAIS A 75 MM, FIXADO EM LAJE. AF_05/2015</t>
  </si>
  <si>
    <t>SI00000090437</t>
  </si>
  <si>
    <t>SI00000090437 FURO EM ALVENARIA PARA DIÂMETROS MAIORES QUE 40 MM E MENORES OU IGUAIS A 75 MM. AF_05/2015</t>
  </si>
  <si>
    <t>SI00000089813</t>
  </si>
  <si>
    <t>SI00000089813 LUVA SIMPLES, PVC, SERIE NORMAL, ESGOTO PREDIAL, DN 50 MM, JUNTA ELÁSTICA, FORNECIDO E INSTALADO EM PRUMADA DE ESGOTO SANITÁRIO OU VENTILAÇÃO. AF_12/2014</t>
  </si>
  <si>
    <t>SI00000089784</t>
  </si>
  <si>
    <t>SI00000089784 TE, PVC, SERIE NORMAL, ESGOTO PREDIAL, DN 50 X 50 MM, JUNTA ELÁSTICA, FORNECIDO E INSTALADO EM RAMAL DE DESCARGA OU RAMAL DE ESGOTO SANITÁRIO. AF_12/2014</t>
  </si>
  <si>
    <t>SI00000089753</t>
  </si>
  <si>
    <t>SI00000089753 LUVA SIMPLES, PVC, SERIE NORMAL, ESGOTO PREDIAL, DN 50 MM, JUNTA ELÁSTICA, FORNECIDO E INSTALADO EM RAMAL DE DESCARGA OU RAMAL DE ESGOTO SANITÁRIO. AF_12/2014</t>
  </si>
  <si>
    <t>SI00000089732</t>
  </si>
  <si>
    <t>SI00000089732 JOELHO 45 GRAUS, PVC, SERIE NORMAL, ESGOTO PREDIAL, DN 50 MM, JUNTA ELÁSTICA, FORNECIDO E INSTALADO EM RAMAL DE DESCARGA OU RAMAL DE ESGOTO SANITÁRIO. AF_12/2014</t>
  </si>
  <si>
    <t>SI00000089731</t>
  </si>
  <si>
    <t>SI00000089731 JOELHO 90 GRAUS, PVC, SERIE NORMAL, ESGOTO PREDIAL, DN 50 MM, JUNTA ELÁSTICA, FORNECIDO E INSTALADO EM RAMAL DE DESCARGA OU RAMAL DE ESGOTO SANITÁRIO. AF_12/2014</t>
  </si>
  <si>
    <t>SI00000089712</t>
  </si>
  <si>
    <t>SI00000089712 TUBO PVC, SERIE NORMAL, ESGOTO PREDIAL, DN 50 MM, FORNECIDO E INSTALADO EM RAMAL DE DESCARGA OU RAMAL DE ESGOTO SANITÁRIO. AF_12/2014</t>
  </si>
  <si>
    <t>SI00000091794</t>
  </si>
  <si>
    <t>(COMPOSIÇÃO REPRESENTATIVA) DO SERVIÇO DE INST. TUBO PVC, SÉRIE N, ESGOTO PREDIAL, DN 75 MM, (INST. EM RAMAL DE DESCARGA, RAMAL DE ESG. SANITÁRIO, PRUMADA DE ESG. SANITÁRIO OU VENTILAÇÃO), INCL. CONEXÕES, CORTES E FIXAÇÕES, P/ PRÉDIOS. AF_10/2015</t>
  </si>
  <si>
    <t>SI00000089807</t>
  </si>
  <si>
    <t>SI00000089807 CURVA CURTA 90 GRAUS, PVC, SERIE NORMAL, ESGOTO PREDIAL, DN 75 MM, JUNTA ELÁSTICA, FORNECIDO E INSTALADO EM PRUMADA DE ESGOTO SANITÁRIO OU VENTILAÇÃO. AF_12/2014</t>
  </si>
  <si>
    <t>SI00000089737</t>
  </si>
  <si>
    <t>SI00000089737 JOELHO 90 GRAUS, PVC, SERIE NORMAL, ESGOTO PREDIAL, DN 75 MM, JUNTA ELÁSTICA, FORNECIDO E INSTALADO EM RAMAL DE DESCARGA OU RAMAL DE ESGOTO SANITÁRIO. AF_12/2014</t>
  </si>
  <si>
    <t>SI00000089739</t>
  </si>
  <si>
    <t>SI00000089739 JOELHO 45 GRAUS, PVC, SERIE NORMAL, ESGOTO PREDIAL, DN 75 MM, JUNTA ELÁSTICA, FORNECIDO E INSTALADO EM RAMAL DE DESCARGA OU RAMAL DE ESGOTO SANITÁRIO. AF_12/2014</t>
  </si>
  <si>
    <t>SI00000089774</t>
  </si>
  <si>
    <t>SI00000089774 LUVA SIMPLES, PVC, SERIE NORMAL, ESGOTO PREDIAL, DN 75 MM, JUNTA ELÁSTICA, FORNECIDO E INSTALADO EM RAMAL DE DESCARGA OU RAMAL DE ESGOTO SANITÁRIO. AF_12/2014</t>
  </si>
  <si>
    <t>SI00000089786</t>
  </si>
  <si>
    <t>SI00000089786 TE, PVC, SERIE NORMAL, ESGOTO PREDIAL, DN 75 X 75 MM, JUNTA ELÁSTICA, FORNECIDO E INSTALADO EM RAMAL DE DESCARGA OU RAMAL DE ESGOTO SANITÁRIO. AF_12/2014</t>
  </si>
  <si>
    <t>SI00000089795</t>
  </si>
  <si>
    <t>SI00000089795 JUNÇÃO SIMPLES, PVC, SERIE NORMAL, ESGOTO PREDIAL, DN 75 X 75 MM, JUNTA ELÁSTICA, FORNECIDO E INSTALADO EM RAMAL DE DESCARGA OU RAMAL DE ESGOTO SANITÁRIO. AF_12/2014</t>
  </si>
  <si>
    <t>SI00000089713</t>
  </si>
  <si>
    <t>SI00000089713 TUBO PVC, SERIE NORMAL, ESGOTO PREDIAL, DN 75 MM, FORNECIDO E INSTALADO EM RAMAL DE DESCARGA OU RAMAL DE ESGOTO SANITÁRIO. AF_12/2014</t>
  </si>
  <si>
    <t>SI00000089806</t>
  </si>
  <si>
    <t>SI00000089806 JOELHO 45 GRAUS, PVC, SERIE NORMAL, ESGOTO PREDIAL, DN 75 MM, JUNTA ELÁSTICA, FORNECIDO E INSTALADO EM PRUMADA DE ESGOTO SANITÁRIO OU VENTILAÇÃO. AF_12/2014</t>
  </si>
  <si>
    <t>SI00000089817</t>
  </si>
  <si>
    <t>SI00000089817 LUVA SIMPLES, PVC, SERIE NORMAL, ESGOTO PREDIAL, DN 75 MM, JUNTA ELÁSTICA, FORNECIDO E INSTALADO EM PRUMADA DE ESGOTO SANITÁRIO OU VENTILAÇÃO. AF_12/2014</t>
  </si>
  <si>
    <t>SI00000089829</t>
  </si>
  <si>
    <t>SI00000089829 TE, PVC, SERIE NORMAL, ESGOTO PREDIAL, DN 75 X 75 MM, JUNTA ELÁSTICA, FORNECIDO E INSTALADO EM PRUMADA DE ESGOTO SANITÁRIO OU VENTILAÇÃO. AF_12/2014</t>
  </si>
  <si>
    <t>SI00000089830</t>
  </si>
  <si>
    <t>SI00000089830 JUNÇÃO SIMPLES, PVC, SERIE NORMAL, ESGOTO PREDIAL, DN 75 X 75 MM, JUNTA ELÁSTICA, FORNECIDO E INSTALADO EM PRUMADA DE ESGOTO SANITÁRIO OU VENTILAÇÃO. AF_12/2014</t>
  </si>
  <si>
    <t>SI00000089799 TUBO PVC, SERIE NORMAL, ESGOTO PREDIAL, DN 75 MM, FORNECIDO E INSTALADO EM PRUMADA DE ESGOTO SANITÁRIO OU VENTILAÇÃO. AF_12/2014</t>
  </si>
  <si>
    <t>SI00000091796</t>
  </si>
  <si>
    <t>(COMPOSIÇÃO REPRESENTATIVA) DO SERVIÇO DE INSTALAÇÃO DE TUBO DE PVC, SÉRIE NORMAL, ESGOTO PREDIAL, DN 150 MM (INSTALADO EM SUB-COLETOR AÉREO), INCLUSIVE CONEXÕES, CORTES E FIXAÇÕES, PARA PRÉDIOS. AF_10/2015</t>
  </si>
  <si>
    <t>SI00000091192</t>
  </si>
  <si>
    <t>SI00000091192 CHUMBAMENTO PONTUAL EM PASSAGEM DE TUBO COM DIÂMETRO MAIOR QUE 75 MM. AF_05/2015</t>
  </si>
  <si>
    <t>SI00000091189</t>
  </si>
  <si>
    <t>SI00000091189 CHUMBAMENTO PONTUAL DE ABERTURA EM LAJE COM PASSAGEM DE MAIS DE 1 TUBO DE  DIAMETRO EQUIVALENTE IGUAL À  50 MM. AF_05/2015</t>
  </si>
  <si>
    <t>SI00000090438</t>
  </si>
  <si>
    <t>SI00000090438 FURO EM ALVENARIA PARA DIÂMETROS MAIORES QUE 75 MM. AF_05/2015</t>
  </si>
  <si>
    <t>SI00000089855</t>
  </si>
  <si>
    <t>SI00000089855 JOELHO 45 GRAUS, PVC, SERIE NORMAL, ESGOTO PREDIAL, DN 150 MM, JUNTA ELÁSTICA, FORNECIDO E INSTALADO EM SUBCOLETOR AÉREO DE ESGOTO SANITÁRIO. AF_12/2014</t>
  </si>
  <si>
    <t>SI00000089849</t>
  </si>
  <si>
    <t>SI00000089849 TUBO PVC, SERIE NORMAL, ESGOTO PREDIAL, DN 150 MM, FORNECIDO E INSTALADO EM SUBCOLETOR AÉREO DE ESGOTO SANITÁRIO. AF_12/2014</t>
  </si>
  <si>
    <t>SI00000091795</t>
  </si>
  <si>
    <t>(COMPOSIÇÃO REPRESENTATIVA) DO SERVIÇO DE INST. TUBO PVC, SÉRIE N, ESGOTO PREDIAL, 100 MM (INST. RAMAL DESCARGA, RAMAL DE ESG. SANIT., PRUMADA ESG. SANIT., VENTILAÇÃO OU SUB-COLETOR AÉREO), INCL. CONEXÕES E CORTES, FIXAÇÕES, P/ PRÉDIOS. AF_10/2015</t>
  </si>
  <si>
    <t>SI00000089834</t>
  </si>
  <si>
    <t>SI00000089834 JUNÇÃO SIMPLES, PVC, SERIE NORMAL, ESGOTO PREDIAL, DN 100 X 100 MM, JUNTA ELÁSTICA, FORNECIDO E INSTALADO EM PRUMADA DE ESGOTO SANITÁRIO OU VENTILAÇÃO. AF_12/2014</t>
  </si>
  <si>
    <t>SI00000089746</t>
  </si>
  <si>
    <t>SI00000089746 JOELHO 45 GRAUS, PVC, SERIE NORMAL, ESGOTO PREDIAL, DN 100 MM, JUNTA ELÁSTICA, FORNECIDO E INSTALADO EM RAMAL DE DESCARGA OU RAMAL DE ESGOTO SANITÁRIO. AF_12/2014</t>
  </si>
  <si>
    <t>SI00000089748</t>
  </si>
  <si>
    <t>SI00000089748 CURVA CURTA 90 GRAUS, PVC, SERIE NORMAL, ESGOTO PREDIAL, DN 100 MM, JUNTA ELÁSTICA, FORNECIDO E INSTALADO EM RAMAL DE DESCARGA OU RAMAL DE ESGOTO SANITÁRIO. AF_12/2014</t>
  </si>
  <si>
    <t>SI00000089778</t>
  </si>
  <si>
    <t>SI00000089778 LUVA SIMPLES, PVC, SERIE NORMAL, ESGOTO PREDIAL, DN 100 MM, JUNTA ELÁSTICA, FORNECIDO E INSTALADO EM RAMAL DE DESCARGA OU RAMAL DE ESGOTO SANITÁRIO. AF_12/2014</t>
  </si>
  <si>
    <t>SI00000089796</t>
  </si>
  <si>
    <t>SI00000089796 TE, PVC, SERIE NORMAL, ESGOTO PREDIAL, DN 100 X 100 MM, JUNTA ELÁSTICA, FORNECIDO E INSTALADO EM RAMAL DE DESCARGA OU RAMAL DE ESGOTO SANITÁRIO. AF_12/2014</t>
  </si>
  <si>
    <t>SI00000089797</t>
  </si>
  <si>
    <t>SI00000089797 JUNÇÃO SIMPLES, PVC, SERIE NORMAL, ESGOTO PREDIAL, DN 100 X 100 MM, JUNTA ELÁSTICA, FORNECIDO E INSTALADO EM RAMAL DE DESCARGA OU RAMAL DE ESGOTO SANITÁRIO. AF_12/2014</t>
  </si>
  <si>
    <t>SI00000089800</t>
  </si>
  <si>
    <t>SI00000089800 TUBO PVC, SERIE NORMAL, ESGOTO PREDIAL, DN 100 MM, FORNECIDO E INSTALADO EM PRUMADA DE ESGOTO SANITÁRIO OU VENTILAÇÃO. AF_12/2014</t>
  </si>
  <si>
    <t>SI00000089810</t>
  </si>
  <si>
    <t>SI00000089810 JOELHO 45 GRAUS, PVC, SERIE NORMAL, ESGOTO PREDIAL, DN 100 MM, JUNTA ELÁSTICA, FORNECIDO E INSTALADO EM PRUMADA DE ESGOTO SANITÁRIO OU VENTILAÇÃO. AF_12/2014</t>
  </si>
  <si>
    <t>SI00000089714</t>
  </si>
  <si>
    <t>SI00000089714 TUBO PVC, SERIE NORMAL, ESGOTO PREDIAL, DN 100 MM, FORNECIDO E INSTALADO EM RAMAL DE DESCARGA OU RAMAL DE ESGOTO SANITÁRIO. AF_12/2014</t>
  </si>
  <si>
    <t>SI00000089833</t>
  </si>
  <si>
    <t>SI00000089833 TE, PVC, SERIE NORMAL, ESGOTO PREDIAL, DN 100 X 100 MM, JUNTA ELÁSTICA, FORNECIDO E INSTALADO EM PRUMADA DE ESGOTO SANITÁRIO OU VENTILAÇÃO. AF_12/2014</t>
  </si>
  <si>
    <t>SI00000089848</t>
  </si>
  <si>
    <t>SI00000089848 TUBO PVC, SERIE NORMAL, ESGOTO PREDIAL, DN 100 MM, FORNECIDO E INSTALADO EM SUBCOLETOR AÉREO DE ESGOTO SANITÁRIO. AF_12/2014</t>
  </si>
  <si>
    <t>SI00000089851</t>
  </si>
  <si>
    <t>SI00000089851 JOELHO 45 GRAUS, PVC, SERIE NORMAL, ESGOTO PREDIAL, DN 100 MM, JUNTA ELÁSTICA, FORNECIDO E INSTALADO EM SUBCOLETOR AÉREO DE ESGOTO SANITÁRIO. AF_12/2014</t>
  </si>
  <si>
    <t>SI00000089856</t>
  </si>
  <si>
    <t>SI00000089856 LUVA SIMPLES, PVC, SERIE NORMAL, ESGOTO PREDIAL, DN 100 MM, JUNTA ELÁSTICA, FORNECIDO E INSTALADO EM SUBCOLETOR AÉREO DE ESGOTO SANITÁRIO. AF_12/2014</t>
  </si>
  <si>
    <t>SI00000089861</t>
  </si>
  <si>
    <t>SI00000089861 JUNÇÃO SIMPLES, PVC, SERIE NORMAL, ESGOTO PREDIAL, DN 100 X 100 MM, JUNTA ELÁSTICA, FORNECIDO E INSTALADO EM SUBCOLETOR AÉREO DE ESGOTO SANITÁRIO. AF_12/2014</t>
  </si>
  <si>
    <t>SI00000090455</t>
  </si>
  <si>
    <t>SI00000090455 PASSANTE TIPO TUBO DE DIÂMETRO MAIOR QUE 75 MM, FIXADO EM LAJE. AF_05/2015</t>
  </si>
  <si>
    <t>SI00000091187</t>
  </si>
  <si>
    <t>SI00000091187 FIXAÇÃO DE TUBOS HORIZONTAIS DE PVC, CPVC OU COBRE DIÂMETROS MAIORES QUE 75 MM COM ABRAÇADEIRA METÁLICA FLEXÍVEL 18 MM, FIXADA DIRETAMENTE NA LAJE. AF_05/2015</t>
  </si>
  <si>
    <t>SI00000089821</t>
  </si>
  <si>
    <t>SI00000089821 LUVA SIMPLES, PVC, SERIE NORMAL, ESGOTO PREDIAL, DN 100 MM, JUNTA ELÁSTICA, FORNECIDO E INSTALADO EM PRUMADA DE ESGOTO SANITÁRIO OU VENTILAÇÃO. AF_12/2014</t>
  </si>
  <si>
    <t>02580</t>
  </si>
  <si>
    <t>VASO SANITARIO INFANTIL DE LOUCA BRANCA</t>
  </si>
  <si>
    <t>02581</t>
  </si>
  <si>
    <t>ASSENTO PLASTICO, PARA VASO SANITARIO, TIPO INFANTIL</t>
  </si>
  <si>
    <r>
      <t xml:space="preserve">18.002.0065-A </t>
    </r>
    <r>
      <rPr>
        <b/>
        <sz val="11"/>
        <rFont val="Times New Roman"/>
        <family val="1"/>
      </rPr>
      <t>(COMPOSIÇÃO)</t>
    </r>
  </si>
  <si>
    <r>
      <t xml:space="preserve">VASO SANITARIO DE LOUCA BRANCA,TIPO POPULAR,COM CAIXA ACOPLADA,COMPLETO,C/MEDIDAS EM TORNO DE (35X65X35)CM,INCLUSIVE ASS ENTO PLASTICO TIPO POPULAR,BOLSA DE LIGACAO,RABICHO EM PVC EACESSORIOS DE FIXACAO.FORNECIMENTO </t>
    </r>
    <r>
      <rPr>
        <b/>
        <sz val="11"/>
        <color indexed="8"/>
        <rFont val="Times New Roman"/>
        <family val="1"/>
      </rPr>
      <t>(INFANTIL)</t>
    </r>
  </si>
  <si>
    <t>VASO SANITARIO DE LOUCA BRANCA OU BRANCO GELO,PARA PESSOAS COM NECESSIDADES ESPECIFICAS,INCLUSIVE ASSENTO ESPECIAL,BOLSA DE LIGACAO E ACESSORIOS DE FIXACAO.FORNECIMENTO</t>
  </si>
  <si>
    <t>13104</t>
  </si>
  <si>
    <t>VASO SANITARIO, DE LOUCA BRANCA, P/PESSOAS C/NECESSIDADES ESPECIFICAS, INCLUSIVEASSENTO ESPECIAL</t>
  </si>
  <si>
    <r>
      <t xml:space="preserve">18.002.0090-A </t>
    </r>
    <r>
      <rPr>
        <b/>
        <sz val="11"/>
        <rFont val="Times New Roman"/>
        <family val="1"/>
      </rPr>
      <t>(MODIFICADO)</t>
    </r>
  </si>
  <si>
    <t>18.007.0051-0</t>
  </si>
  <si>
    <t>DUCHINHA MANUAL,COM REGISTRO DE PRESSAO 1/2" CROMADO,RABICHO CROMADO,SUPORTE BRANCO,PISTOLA BRANCA,BUCHAS E PARAFUSOS PA RA FIXACAO.FORNECIMENTO</t>
  </si>
  <si>
    <t>02988</t>
  </si>
  <si>
    <t>DUCHINHA MANUAL, COM MANGUEIRA CROMADA DE 1/2"</t>
  </si>
  <si>
    <t>SI00000086904</t>
  </si>
  <si>
    <t>LAVATÓRIO LOUÇA BRANCA SUSPENSO, 29,5 X 39CM OU EQUIVALENTE, PADRÃO POPULAR - FORNECIMENTO E INSTALAÇÃO. AF_01/2020</t>
  </si>
  <si>
    <t>0010425</t>
  </si>
  <si>
    <t>LAVATORIO DE LOUCA BRANCA, SUSPENSO (SEM COLUNA), DIMENSOES *40 X 30* CM</t>
  </si>
  <si>
    <t>05780</t>
  </si>
  <si>
    <t>JOELHO 90§ DE PVC SOLDAVEL COM BUCHA DELATAO, DE 25MMX1/2"</t>
  </si>
  <si>
    <t>05734</t>
  </si>
  <si>
    <t>JOELHO 90§ DE PVC SOLDAVEL, DE 025MM</t>
  </si>
  <si>
    <t>05732</t>
  </si>
  <si>
    <t>TE 90§ DE PVC RIGIDO SOLDAVEL, DE 025MM</t>
  </si>
  <si>
    <t>05103</t>
  </si>
  <si>
    <t>SOLVENTE (SOLUCAO LIMPADORA) P/CONEXOESDE PVC, EM FRASCOS PLASTICOS DE 1000CM3</t>
  </si>
  <si>
    <t>05024</t>
  </si>
  <si>
    <t>LUVA DE PVC RIGIDO SOLDADO, DE REDUCAO,DE 25MMX3/4" E COM BUCHA DE LATAO</t>
  </si>
  <si>
    <t>02385</t>
  </si>
  <si>
    <t>LIXA D'AGUA N§ 100</t>
  </si>
  <si>
    <t>SI00000086937</t>
  </si>
  <si>
    <t>CUBA DE EMBUTIR OVAL EM LOUÇA BRANCA, 35 X 50CM OU EQUIVALENTE, INCLUSO VÁLVULA EM METAL CROMADO E SIFÃO FLEXÍVEL EM PVC - FORNECIMENTO E INSTALAÇÃO. AF_01/2020</t>
  </si>
  <si>
    <t>SI00000086901</t>
  </si>
  <si>
    <t>SI00000086901 CUBA DE EMBUTIR OVAL EM LOUÇA BRANCA, 35 X 50CM OU EQUIVALENTE - FORNECIMENTO E INSTALAÇÃO. AF_01/2020</t>
  </si>
  <si>
    <t>SI00000095547</t>
  </si>
  <si>
    <t>SABONETEIRA PLASTICA TIPO DISPENSER PARA SABONETE LIQUIDO COM RESERVATORIO 800 A 1500 ML, INCLUSO FIXAÇÃO. AF_01/2020</t>
  </si>
  <si>
    <t>0011758</t>
  </si>
  <si>
    <t>SABONETEIRA PLASTICA TIPO DISPENSER PARA SABONETE LIQUIDO COM RESERVATORIO 800 A 1500 ML</t>
  </si>
  <si>
    <t>INSTALACAO E ASSENTAMENTO DE BANHEIRA(EXCLUSIVE FORNECIMENTO DO APARELHO),COMPREENDENDO:3,00M DE TUBO PVC DE 25MM,3,00M DE TUBO DE PVC DE 40MM E CONEXOES (OBS.:3%-DESGASTE DE FERRAMENTAS E EPI).</t>
  </si>
  <si>
    <t>05791</t>
  </si>
  <si>
    <t>JOELHO 90§ DE PVC, PARA ESGOTO, DE 040MM</t>
  </si>
  <si>
    <t>BANHEIRA DE BEBE RIGIDA PVC // AMAZON // CNPJ : 15.436.940/0001-03</t>
  </si>
  <si>
    <t>BANHEIRA DE BEBE RIGIDA PVC // PONTO FRIO // CNPJ : 33.041.260/0652-90</t>
  </si>
  <si>
    <t>MEDIO</t>
  </si>
  <si>
    <t>BANHEIRA DE BEBE RIGIDA PVC // MAGAZINE LUIZA // CNPJ : 47.960.950/1088-36</t>
  </si>
  <si>
    <t>SI00000100860</t>
  </si>
  <si>
    <t>CHUVEIRO ELÉTRICO COMUM CORPO PLÁSTICO, TIPO DUCHA  FORNECIMENTO E INSTALAÇÃO. AF_01/2020</t>
  </si>
  <si>
    <t>0001368</t>
  </si>
  <si>
    <t>CHUVEIRO COMUM EM PLASTICO BRANCO, COM CANO, 3 TEMPERATURAS, 5500 W (110/220 V)</t>
  </si>
  <si>
    <t>MANGUEIRA PARA CHUVEIRO // AMAZON // CNPJ : 15.436.940/0001-03</t>
  </si>
  <si>
    <t>MANGUEIRA PARA CHUVEIRO //  MAGAZINE LUIZA // CNPJ : 47.960.950/1088-36</t>
  </si>
  <si>
    <t>MANGUEIRA PARA CHUVEIRO // CASAS BAHIA // CNPJ: 33.041.260/0652-90</t>
  </si>
  <si>
    <t>15.004.0063-A</t>
  </si>
  <si>
    <t>INSTALACAO E ASSENTAMENTO DE LAVATORIO DE UMA TORNEIRA(EXCLUSIVE FORNECIMENTO DO APARELHO),COMPREENDENDO:3,00M DE TUBO D E PVC DE 25MM,2,00M DE TUBO DE PVC DE 40MM E CONEXOES (OBS.:3%-DESGASTE DE FERRAMENTAS E EPI).</t>
  </si>
  <si>
    <t>TORNEIRA ELÉTRICA // AMAZON // CNPJ : 15.436.940/0001-03</t>
  </si>
  <si>
    <t>TORNEIRA ELÉTRICA //  MAGAZINE LUIZA // CNPJ : 47.960.950/1088-36</t>
  </si>
  <si>
    <t>TORNEIRA ELÉTRICA// CASAS BAHIA // CNPJ: 33.041.260/0652-90</t>
  </si>
  <si>
    <t>QUADRO DE DISTRIBUIÇÃO DE ENERGIA EM PVC, DE EMBUTIR, SEM BARRAMENTO, PARA 8 DISJUNTORES - FORNECIMENTO E INSTALAÇÃO. AF_10/2020</t>
  </si>
  <si>
    <t>0039804</t>
  </si>
  <si>
    <t>QUADRO DE DISTRIBUICAO, COM BARRAMENTO TERRA / NEUTRO, DE EMBUTIR, PARA 8 DISJUNTORES DIN</t>
  </si>
  <si>
    <t>15.007.0410-A</t>
  </si>
  <si>
    <t>QUADRO DE DISTRIBUICAO DE ENERGIA PARA DISJUNTORES TERMO-MAGNETICOS UNIPOLARES,DE SOBREPOR,COM PORTA E BARRAMENTOS DE FA SE,NEUTRO E TERRA,PARA INSTALACAO DE ATE 12 DISJUNTORES SEMDISPOSITIVO PARA CHAVE GERAL.FORNECIMENTO E COLOCACAO (OBS.:3%-DESGASTE DE FERRAMENTAS E EPI).</t>
  </si>
  <si>
    <t>11858</t>
  </si>
  <si>
    <t>QUADRO DE DISTRIBUICAO DE ENERGIA,DE SOBREPOR,BARRAMENTO NEUTRO,SEM DISP.P/CHAVEGERAL,P/ATE 12 DISJUNTORES</t>
  </si>
  <si>
    <t>15.007.0420-A</t>
  </si>
  <si>
    <t>QUADRO DE DISTRIBUICAO DE ENERGIA,100A,PARA DISJUNTORES TERMO-MAGNETICOS UNIPOLARES,DE SOBREPOR,COM PORTA E BARRAMENTOS DE FASE,NEUTRO E TERRA,TRIFASICO,PARA INSTALACAO DE ATE 24 DISJUNTORES COM DISPOSITIVO PARA CHAVE GERAL.FORNECIMENTO E C OLOCACAO (OBS.:3%-DESGASTE DE FERRAMENTAS E EPI).</t>
  </si>
  <si>
    <t>11860</t>
  </si>
  <si>
    <t>QUADRO DE DISTRIBUICAO DE ENERGIA,100A,DE SOBREPOR,BARRAMENTO TRIFASICO E NEUTRO,DISP.P/CHAVE GERAL,P/ATE 24 DISJUNTORES</t>
  </si>
  <si>
    <t>QUADRO DE COMANDO PARA 2 BOMBAS // MERITO COMERCIAL // CNPJ:  01.582.892/0001-49</t>
  </si>
  <si>
    <t>QUADRO DE COMANDO PARA 2 BOMBAS // MAGAZINE LUIZA // CNPJ:  47.960.950/1088-36</t>
  </si>
  <si>
    <t>QUADRO DE COMANDO PARA 2 BOMBAS //ACQUAFORT // CNPJ: 022.642.560.001-31</t>
  </si>
  <si>
    <t>TOTAL MEDIO</t>
  </si>
  <si>
    <t>SI00000091860</t>
  </si>
  <si>
    <t>ELETRODUTO FLEXÍVEL CORRUGADO, PEAD, DN 40 MM (1 1/4"), PARA CIRCUITOS TERMINAIS, INSTALADO EM PAREDE - FORNECIMENTO E INSTALAÇÃO. AF_12/2015</t>
  </si>
  <si>
    <t>0039247</t>
  </si>
  <si>
    <t>ELETRODUTODUTO PEAD FLEXIVEL PAREDE SIMPLES, CORRUGACAO HELICOIDAL, COR PRETA, SEM ROSCA, DE 1 1/4",  PARA CABEAMENTO SUBTERRANEO (NBR 15715)</t>
  </si>
  <si>
    <t>SI00000097667</t>
  </si>
  <si>
    <t>ELETRODUTO FLEXÍVEL CORRUGADO, PEAD, DN 50 (1 ½)  - FORNECIMENTO E INSTALAÇÃO. AF_04/2016</t>
  </si>
  <si>
    <t>0039246</t>
  </si>
  <si>
    <t>ELETRODUTODUTO PEAD FLEXIVEL PAREDE SIMPLES, CORRUGACAO HELICOIDAL, COR PRETA, SEM ROSCA, DE 1 1/2",  PARA CABEAMENTO SUBTERRANEO (NBR 15715)</t>
  </si>
  <si>
    <t>SI00000097668</t>
  </si>
  <si>
    <t>ELETRODUTO FLEXÍVEL CORRUGADO, PEAD, DN 63 (2")  - FORNECIMENTO E INSTALAÇÃO. AF_04/2016</t>
  </si>
  <si>
    <t>0002446</t>
  </si>
  <si>
    <t>ELETRODUTO/DUTO PEAD FLEXIVEL PAREDE SIMPLES, CORRUGACAO HELICOIDAL, COR PRETA, SEM ROSCA, DE 2",  PARA CABEAMENTO SUBTERRANEO (NBR 15715)</t>
  </si>
  <si>
    <t>15.034.0024-A</t>
  </si>
  <si>
    <t>ELETRODUTO DE FERRO GALVANIZADO,TIPO MEDIO,DIAMETRO DE 2",INCLUSIVE CONEXOES E EMENDAS,EXCLUSIVE ABERTURA E FECHAMENTO D E RASGO.FORNECIMENTO E ASSENTAMENTO (OBS.:3%-DESGASTE DE FERRAMENTAS E EPI 10%-CONEXOES E EMENDAS).</t>
  </si>
  <si>
    <t>04001</t>
  </si>
  <si>
    <t>ELETRODUTO DE FERRO GALVANIZADO, MEDIO,GALVANIZACAO A FOGO, NBR 5624, EM BARRASDE 3M, DE 2"</t>
  </si>
  <si>
    <t>SI00000091944</t>
  </si>
  <si>
    <t>CAIXA RETANGULAR 4" X 4" BAIXA (0,30 M DO PISO), PVC, INSTALADA EM PAREDE - FORNECIMENTO E INSTALAÇÃO. AF_12/2015</t>
  </si>
  <si>
    <t>0001873</t>
  </si>
  <si>
    <t>CAIXA DE PASSAGEM, EM PVC, DE 4" X 4", PARA ELETRODUTO FLEXIVEL CORRUGADO</t>
  </si>
  <si>
    <t>SI00000088629</t>
  </si>
  <si>
    <t>SI00000088629 ARGAMASSA TRAÇO 1:3 (EM VOLUME DE CIMENTO E AREIA MÉDIA ÚMIDA), PREPARO MANUAL. AF_08/2019</t>
  </si>
  <si>
    <t>SI00000091926</t>
  </si>
  <si>
    <t>CABO DE COBRE FLEXÍVEL ISOLADO, 2,5 MM², ANTI-CHAMA 450/750 V, PARA CIRCUITOS TERMINAIS - FORNECIMENTO E INSTALAÇÃO. AF_12/2015</t>
  </si>
  <si>
    <t>0001014</t>
  </si>
  <si>
    <t>CABO DE COBRE, FLEXIVEL, CLASSE 4 OU 5, ISOLACAO EM PVC/A, ANTICHAMA BWF-B, 1 CONDUTOR, 450/750 V, SECAO NOMINAL 2,5 MM2</t>
  </si>
  <si>
    <t>SI00000091997</t>
  </si>
  <si>
    <t>TOMADA MÉDIA DE EMBUTIR (1 MÓDULO), 2P+T 20 A, INCLUINDO SUPORTE E PLACA - FORNECIMENTO E INSTALAÇÃO. AF_12/2015</t>
  </si>
  <si>
    <t>SI00000091995</t>
  </si>
  <si>
    <t>SI00000091995 TOMADA MÉDIA DE EMBUTIR (1 MÓDULO), 2P+T 20 A, SEM SUPORTE E SEM PLACA - FORNECIMENTO E INSTALAÇÃO. AF_12/2015</t>
  </si>
  <si>
    <t>SI00000091953</t>
  </si>
  <si>
    <t>INTERRUPTOR SIMPLES (1 MÓDULO), 10A/250V, INCLUINDO SUPORTE E PLACA - FORNECIMENTO E INSTALAÇÃO. AF_12/2015</t>
  </si>
  <si>
    <t>SI00000091952</t>
  </si>
  <si>
    <t>SI00000091952 INTERRUPTOR SIMPLES (1 MÓDULO), 10A/250V, SEM SUPORTE E SEM PLACA - FORNECIMENTO E INSTALAÇÃO. AF_12/2015</t>
  </si>
  <si>
    <t>SI00000091967</t>
  </si>
  <si>
    <t>INTERRUPTOR SIMPLES (3 MÓDULOS), 10A/250V, INCLUINDO SUPORTE E PLACA - FORNECIMENTO E INSTALAÇÃO. AF_12/2015</t>
  </si>
  <si>
    <t>SI00000091966</t>
  </si>
  <si>
    <t>SI00000091966 INTERRUPTOR SIMPLES (3 MÓDULOS), 10A/250V, SEM SUPORTE E SEM PLACA - FORNECIMENTO E INSTALAÇÃO. AF_12/2015</t>
  </si>
  <si>
    <t>SI00000091955</t>
  </si>
  <si>
    <t>INTERRUPTOR PARALELO (1 MÓDULO), 10A/250V, INCLUINDO SUPORTE E PLACA - FORNECIMENTO E INSTALAÇÃO. AF_12/2015</t>
  </si>
  <si>
    <t>SI00000091954</t>
  </si>
  <si>
    <t>SI00000091954 INTERRUPTOR PARALELO (1 MÓDULO), 10A/250V, SEM SUPORTE E SEM PLACA - FORNECIMENTO E INSTALAÇÃO. AF_12/2015</t>
  </si>
  <si>
    <t>TOMADA MÉDIA DE EMBUTIR (1 MÓDULO), 3P 20 A, INCLUINDO SUPORTE E PLACA - FORNECIMENTO E INSTALAÇÃO. AF_12/2015</t>
  </si>
  <si>
    <r>
      <t>SI00000091997</t>
    </r>
    <r>
      <rPr>
        <b/>
        <sz val="11"/>
        <rFont val="Times New Roman"/>
        <family val="1"/>
      </rPr>
      <t xml:space="preserve"> (MODIFICADO)</t>
    </r>
  </si>
  <si>
    <t>TOMADA UNIVERSAL, 3P, 20A/250V // MADVILLE // CNPJ: 07.062.174/0001-28</t>
  </si>
  <si>
    <t>TOMADA UNIVERSAL, 3P, 20A/250V // LOJA ELÉTRICA LTDA // CNPJ: 17.155.342/0010-74</t>
  </si>
  <si>
    <t>TOMADA UNIVERSAL, 3P, 20A/250V // WERMAR HOME CENTER // CNPJ: 29.843.174/0001-06</t>
  </si>
  <si>
    <t xml:space="preserve">TOTAL </t>
  </si>
  <si>
    <t>MÉDIA</t>
  </si>
  <si>
    <r>
      <t xml:space="preserve">18.027.0434-A </t>
    </r>
    <r>
      <rPr>
        <b/>
        <sz val="11"/>
        <rFont val="Times New Roman"/>
        <family val="1"/>
      </rPr>
      <t>(COMPOSIÇÃO)</t>
    </r>
  </si>
  <si>
    <t xml:space="preserve">LUMINARIA TIPO SPOT   BALIZADOR DE EMBUTIR NA PAREDE COM 12W EM LED, COM VIDRO BLINDADO.                                                     ,DIRECIONAL,EXCLUSIVE LAMPADA.             </t>
  </si>
  <si>
    <t>13242</t>
  </si>
  <si>
    <t>LUMINARIA TIPO SPOT, DIRECIONAL, EXCLUSIVE LAMPADA</t>
  </si>
  <si>
    <t xml:space="preserve">LUMINARIA TIPO SPOT   BALIZADOR DE EMBUTIR NA PAREDE COM 12W EM LED, COM VIDRO BLINDADO.     </t>
  </si>
  <si>
    <t>LUMINARIA TIPO SPOT   BALIZADOR DE EMBUTIR NA PAREDE COM 12W EM LED // SUSTENTALED.COM.BR // CNPJ: 33.779.899/0001-41</t>
  </si>
  <si>
    <t>LUMINARIA TIPO SPOT   BALIZADOR DE EMBUTIR NA PAREDE COM 12W EM LED // ILUMUNIM.COM.BR // CNPJ: 23.429.903/0001-98</t>
  </si>
  <si>
    <t>LUMINARIA TIPO SPOT   BALIZADOR DE EMBUTIR NA PAREDE COM 12W EM LED // MAGAZINELUIZA.COM.BR // CNPJ: 47.960.950/1088-36</t>
  </si>
  <si>
    <t>VALOR MÉDIO</t>
  </si>
  <si>
    <t>18.027.0408-A</t>
  </si>
  <si>
    <t>LUMINARIA FLUORESCENTE TUBULAR DE SOBREPOR,2X32W(INCLUSIVE LAMPADAS),COM ALETAS,CORPO EM CHAPA DE ACO TRATADA E PINTURA ELETROSTATICA BRANCA,REFLETOR EM ALUMINIO DE ALTO BRILHO,COMREATOR DE ALTO FATOR DE POTENCIA,BI-VOLT.FORNECIMENTO E COL OCACAO (OBS.:3%-DESGASTE DE FERRAMENTAS E EPI).</t>
  </si>
  <si>
    <t>13232</t>
  </si>
  <si>
    <t>LUMINARIA SOBREPOR P/ 2 LAMPADAS TUBULARES DE 1200MM C/ REFLETOR EM ALUMINIO ALTO BRILHO EM CHAPA DE ACO COM ALETAS</t>
  </si>
  <si>
    <t>ARANDELA EM ALUMINIO E VIDRO,COM BASE PARA FIXACAO,EXCLUSIVE LAMPADA.FORNECIMENTO E COLOCACAO (OBS.:3%-DESGASTE DE FERRAMENTAS E EPI).</t>
  </si>
  <si>
    <t>05512</t>
  </si>
  <si>
    <t>ARANDELA EM ALUMINIO E VIDRO, USO INTERNO E EXTERNO, EXCLUSIVE LAMPADA, COM BASEPARA FIXACAO</t>
  </si>
  <si>
    <t>07088</t>
  </si>
  <si>
    <t>LAMPADA MISTA, DE 160W-220V</t>
  </si>
  <si>
    <r>
      <t xml:space="preserve">SI00000091942 </t>
    </r>
    <r>
      <rPr>
        <b/>
        <sz val="11"/>
        <rFont val="Times New Roman"/>
        <family val="1"/>
      </rPr>
      <t>(COMPOSIÇÃO)</t>
    </r>
  </si>
  <si>
    <t>CAIXA RETANGULAR 4" X 4"  INSTALADA EM PISO, DE ALUMÍNIO          ALTA (2,00 M DO PISO), PVC, INSTALADA EM PAREDE - FORNECIMENTO E INSTALAÇÃO. AF_12/2015</t>
  </si>
  <si>
    <t>Caixa de passagem em alumínio para piso, 4" x 4".</t>
  </si>
  <si>
    <t>Caixa de passagem em alumínio para piso, 4" x 4". // FERREIRACOSTA.COM // CNPJ : 10.230.480/0019-60</t>
  </si>
  <si>
    <t>Caixa de passagem em alumínio para piso, 4" x 4". // AMERICANAS.COM.BR // CNPJ: 00.776.574/0006-60</t>
  </si>
  <si>
    <t>Caixa de passagem em alumínio para piso, 4" x 4". // CASASBAHIA.COM.BR // CNPJ: 33.041.260/0652-90</t>
  </si>
  <si>
    <t>15.019.0090-A</t>
  </si>
  <si>
    <t>TOMADA TIPO RJ45,DE SOBREPOR,COMPLETA,PARA LOGICA.FORNECIMENTO E COLOCACAO (OBS.:3%-DESGASTE DE FERRAMENTAS E EPI).</t>
  </si>
  <si>
    <t>12747</t>
  </si>
  <si>
    <t>TOMADA TIPO RJ45, SOBREPOR, COMPLETA, PARA LOGICA</t>
  </si>
  <si>
    <t>15.019.0100-A</t>
  </si>
  <si>
    <t>TOMADA COAXIAL,DE SOBREPOR,COMPLETA,PARA ANTENA DE TV.FORNECIMENTO E COLOCACAO (OBS.:3%-DESGASTE DE FERRAMENTAS E EPI).</t>
  </si>
  <si>
    <t>12749</t>
  </si>
  <si>
    <t>TOMADA COAXIAL, DE SOBREPOR, COMPLETA, PARA ANTENA DE TV</t>
  </si>
  <si>
    <t>15.002.0120-A</t>
  </si>
  <si>
    <t>CAIXA ENTERRADA PARA INSTALACOES TELEFONICAS,TIPO R1,MEDINDO 0,60X0,35X0,50M,EM BLOCOS DE CONCRETO ESTRUTURAL DE 0,10X0, 20X0,40M,ASSENTADOS COM ARGAMASSA DE CIMENTO E AREIA,NO TRACO 1:4 E REVESTIDA INTERNAMENTE COM A MESMA ARGAMASSA,COM TAM PA DE CONCRETO ARMADO COM 5CM DE ESPESSURA E FUNDO DE CONCRETO SIMPLES COM 5CM (OBS.:3%-DESGASTE DE FERRAMENTAS E EPI).</t>
  </si>
  <si>
    <t>05844</t>
  </si>
  <si>
    <t>ACO CA-50, ESTIRADO, PRECO DE REVENDEDOR, NO DIAMETRO DE 06,3MM</t>
  </si>
  <si>
    <t>00004</t>
  </si>
  <si>
    <t>ARAME RECOZIDO N§ 18</t>
  </si>
  <si>
    <t>30353</t>
  </si>
  <si>
    <t>13.001.0030-B EMBOCO ARG. CIM. E AREIA TRACO 1:4</t>
  </si>
  <si>
    <t>30347</t>
  </si>
  <si>
    <t>12.005.0130-B ALVENARIA CXS.ENTERRADAS 0,80M, BL.CONCR</t>
  </si>
  <si>
    <t>06.016.0030-A</t>
  </si>
  <si>
    <t>TAMPAO COMPLETO DE F§F§,PARA CAIXA R1,PADRAO TELEBRAS,CARGA MINIMA PARA TESTE 6T,RESISTENCIA MAXIMA DE ROMPIMENTO 7,5T E FLECHA RESIDUAL MAXIMA DE 17MM,ASSENTADO COM ARGAMASSA DE CIMENTO E AREIA,NO TRACO DE 1:4 EM VOLUME.FORNECIMENTO E ASSE NTAMENTO (OBS.:3% - DESGASTE DE FERRAMENTAS E EPI).</t>
  </si>
  <si>
    <t>03996</t>
  </si>
  <si>
    <t>TAMPAO DE FERRO FUNDIDO, PADRAO TELE-BRAS, P/CAIXA TIPO R1</t>
  </si>
  <si>
    <t>15.018.0136-A</t>
  </si>
  <si>
    <t>CAIXA DE PASSAGEM N§1 PARA TELEFONE,CONFORME ESPECIFICACAO DA TELEBRAS,NAS DIMENSOES DE 10X10X5CM.FORNECIMENTO E COLOCAC AO (OBS.:3%-DESGASTE DE FERRAMENTAS E EPI).</t>
  </si>
  <si>
    <t>05751</t>
  </si>
  <si>
    <t>CAIXA DE LUZ DE PVC, DE 4"x4"</t>
  </si>
  <si>
    <t>SI00000100560</t>
  </si>
  <si>
    <t>QUADRO DE DISTRIBUIÇÃO PARA TELEFONE N.2, 20X20X12CM EM CHAPA METALICA, DE EMBUTIR, SEM ACESSORIOS, PADRÃO TELEBRAS, FORNECIMENTO E INSTALAÇÃO. AF_11/2019</t>
  </si>
  <si>
    <t>0011250</t>
  </si>
  <si>
    <t>CAIXA DE PASSAGEM/ LUZ / TELEFONIA, DE EMBUTIR,  EM CHAPA DE ACO GALVANIZADO, DIMENSOES 20 X 20 X *12* CM (PADRAO CONCESSIONARIA LOCAL)</t>
  </si>
  <si>
    <t>15.034.0021-A</t>
  </si>
  <si>
    <t>ELETRODUTO DE FERRO GALVANIZADO,TIPO MEDIO,DIAMETRO DE 1",INCLUSIVE CONEXOES E EMENDAS,EXCLUSIVE ABERTURA E FECHAMENTO D E RASGO.FORNECIMENTO E ASSENTAMENTO (OBS.:3%-DESGASTE DE FERRAMENTAS E EPI 10%-CONEXOES E EMENDAS).</t>
  </si>
  <si>
    <t>04752</t>
  </si>
  <si>
    <t>ELETRODUTO DE FERRO GALVANIZADO, MEDIO,GALVANIZACAO A FOGO, NBR 5624, EM BARRASDE 3M, DE 1"</t>
  </si>
  <si>
    <t>15.018.0467-A</t>
  </si>
  <si>
    <t>ELETROCALHA PERFURADA,SEM TAMPA,TIPO "U",100X50MM,TRATAMENTO SUPERFICIAL PRE-ZINCADO A QUENTE,INCLUSIVE CONEXOES,ACESSOR IOS E FIXACAO SUPERIOR.FORNECIMENTO E COLOCACAO (OBS.:3%-DESGASTE DE FERRAMENTAS E EPI 20%-CONEXOES).</t>
  </si>
  <si>
    <t>13874</t>
  </si>
  <si>
    <t>SUPORTE SUSPENSAO OMEGA P/ELETROCALHA PERFURADA OU LISA 100X50MM (LARGURA X ABA)</t>
  </si>
  <si>
    <t>11944</t>
  </si>
  <si>
    <t>ELETROCALHA PERFURADA, SEM VIROLA, MED.(100X50X3000)MM, PRE-ZINCADA, SEM TAMPA</t>
  </si>
  <si>
    <t>07641</t>
  </si>
  <si>
    <t>ARRUELA LISA DE DIAMETRO INTERNO, DE 1/4"</t>
  </si>
  <si>
    <t>07639</t>
  </si>
  <si>
    <t>PROLONGADOR PARA TIRANTE ROSQUEADO, DE 1/4"</t>
  </si>
  <si>
    <t>07637</t>
  </si>
  <si>
    <t>TIRANTE ROSQUEADO, DE 1/4"X3000MM</t>
  </si>
  <si>
    <t>05568</t>
  </si>
  <si>
    <t>PORCA ALTA, DE 1/4"</t>
  </si>
  <si>
    <t>05565</t>
  </si>
  <si>
    <t>PINO COM ROSCA, EM CAIXAS COM 100 PECAS,NO DIAMETRO DE 1/4", DE (30X20)MM</t>
  </si>
  <si>
    <t>15.007.0210-A</t>
  </si>
  <si>
    <t>PARA-RAIO DE TELHADO,TIPO FRANKLIN,EM LATAO CROMADO,H=37,5CM,COMPREENDENDO:30,00M DE CORDOALHA DE COBRE 16MM2,HASTE DE T ERRA E DEMAIS MATERIAIS NECESSARIOS.FORNECIMENTO E COLOCACAO (OBS.:3%-DESGASTE DE FERRAMENTAS E EPI 5%-CAIXA DE ATERRAMENTO,PARAFUSOS E OUTROS MATERIAIS).</t>
  </si>
  <si>
    <t>08020</t>
  </si>
  <si>
    <t>CONECTOR PARAFUSO FENDIDO, TIPO SPLIP BOLT, FABRICADO EM COBRE, PARA CABO DE 016MM2</t>
  </si>
  <si>
    <t>05269</t>
  </si>
  <si>
    <t>ABRACADEIRA TIPO COPO, DE 3/4"</t>
  </si>
  <si>
    <t>03977</t>
  </si>
  <si>
    <t>HASTE TERRA, TIPO CANTONEIRA GALVANIZADA, DE 2,00M</t>
  </si>
  <si>
    <t>02341</t>
  </si>
  <si>
    <t>ELETRODUTO DE PVC PRETO, RIGIDO ROSQUEAVEL, COM ROSCA EM AMBAS EXTREMIDADES, EMBARRAS DE 3 METROS, DE 3/4"</t>
  </si>
  <si>
    <t>00302</t>
  </si>
  <si>
    <t>CAPTOR TIPO FRANKLIN, C/ALTURA DE H=245MM, UMA DESCIDA, EM LATAO CROMADO</t>
  </si>
  <si>
    <t>00289</t>
  </si>
  <si>
    <t>CABO SOLIDO DE COBRE ELETROLITICO NU, TEMPERA MOLE, CLASSE 2, SECAO CIRCULAR DE10,0 A 500,0MM2</t>
  </si>
  <si>
    <t>INSTALAÇÃO DE GÁS</t>
  </si>
  <si>
    <t>15.001.0057-A</t>
  </si>
  <si>
    <t>ABRIGO P/8 BOTIJOES GAS DE 45KG,EXCLUSIVE LIGACOES,NAS DIM.(2,60X1,05X1,90)M,ALVENARIA TIJOLOS MACICOS (7X10X20CM),PARED ES DE MEIA VEZ,REVESTIDAS COM ARGAMASSA DE CIMENTO E SAIBRO,NO TRACO 1:6,PISO COM ESPESSURA DE 10CM E COBERTURA COM ESPE SSURA DE 6CM,AMBAS EM CONCRETO ARMADO,FCK=15MPA,COM ACABAMENTO DE CIMENTADO,TRACO 1:4,CONFORME PROJETO TIPO N§2639/EMOP (OBS.:3%-DESGASTE DE FERRAMENTAS E EPI).</t>
  </si>
  <si>
    <t>05502</t>
  </si>
  <si>
    <t>DOBRADICA EM FERRO GALVANIZADO, COM PINOE BOLAS DE LATAO, DE 3"X3"</t>
  </si>
  <si>
    <t>31020</t>
  </si>
  <si>
    <t>11.009.0050-B BARRA DE ACO CA-25,REDONDA,SEM SALIENCIAOU MOSSA,DIAMETRO IGUAL A 6,3MM</t>
  </si>
  <si>
    <t>30178</t>
  </si>
  <si>
    <t>07.006.0020-B ARGAMASSA CIM.,SAIBRO TRACO 1:6,PREPAROMECANICO</t>
  </si>
  <si>
    <t>30260</t>
  </si>
  <si>
    <t>11.002.0023-B LANCAMENTO CONC.C/ARM.2,0M3/H,HORIZ/VERT</t>
  </si>
  <si>
    <t>30340</t>
  </si>
  <si>
    <t>12.002.0035-B ALVENARIA TIJ. MACICO 7X10X20CM</t>
  </si>
  <si>
    <t>SI00000092688</t>
  </si>
  <si>
    <t>TUBO DE AÇO GALVANIZADO COM COSTURA, CLASSE MÉDIA, CONEXÃO ROSQUEADA, DN 20 (3/4"), INSTALADO EM RAMAIS E SUB-RAMAIS DE GÁS - FORNECIMENTO E INSTALAÇÃO. AF_10/2020</t>
  </si>
  <si>
    <t>SI00000097599</t>
  </si>
  <si>
    <t>0011756</t>
  </si>
  <si>
    <t>REGISTRO OU REGULADOR DE GAS COZINHA, VAZAO DE 2 KG/H, 2,8 KPA</t>
  </si>
  <si>
    <t>VALVULA ESFERA 3/4" NPT 300</t>
  </si>
  <si>
    <t>VALVULA ESFERA 3/4" NPT 300 // AMERICANAS // CNPJ:00.776.574/0006-60</t>
  </si>
  <si>
    <t>VALVULA ESFERA 3/4" NPT 300 // CONSIGAS // CNPJ: 01.597.589/0009-77</t>
  </si>
  <si>
    <t>VALVULA ESFERA 3/4" NPT 300 // MAGAZINE LUIZA // CNPJ:47.960.950/0449-27</t>
  </si>
  <si>
    <t>REGISTRO DO 1° ESTAGIO COM MANOMETRO</t>
  </si>
  <si>
    <t>REGISTRO DO 1° ESTAGIO COM MANOMETRO // AMAZON //CNPJ: 15.436.940/0001-03</t>
  </si>
  <si>
    <t>REGISTRO DO 1° ESTAGIO COM MANOMETRO // AMERICANAS // CNPJ // 00.776.574/0006-60</t>
  </si>
  <si>
    <t>REGISTRO DO 1° ESTAGIO COM MANOMETRO // MAGAZINE LUIZA // CNPJ:47.960.950/0449-27</t>
  </si>
  <si>
    <t>REGISTRO DO 2° ESTAGIO COM MANOMETRO</t>
  </si>
  <si>
    <t>REGISTRO DO 2° ESTAGIO COM MANOMETRO // MAGAZINE LUIZA // CNPJ:47.960.950/0449-27</t>
  </si>
  <si>
    <t>REGISTRO DO 2° ESTAGIO COM MANOMETRO // AMERICANAS // CNPJ: 00.776.574/0006-60</t>
  </si>
  <si>
    <t>REGISTRO DO 2° ESTAGIO COM MANOMETRO // SUBMARINO // CNPJ: 00.776.574/0006-60</t>
  </si>
  <si>
    <t xml:space="preserve">MANÔMETRO ATÉ 300 PSI // TECNO FERRAMENTAS //CNPJ: 09.353.055/0001-50 </t>
  </si>
  <si>
    <t>SI00000101909</t>
  </si>
  <si>
    <t>EXTINTOR DE INCÊNDIO PORTÁTIL COM CARGA DE PQS DE 6 KG, CLASSE BC - FORNECIMENTO E INSTALAÇÃO. AF_10/2020_P</t>
  </si>
  <si>
    <t>0010892</t>
  </si>
  <si>
    <t>EXTINTOR DE INCENDIO PORTATIL COM CARGA DE PO QUIMICO SECO (PQS) DE 6 KG, CLASSE BC</t>
  </si>
  <si>
    <t>EXTINTORES E PROTEÇÃO</t>
  </si>
  <si>
    <t>05.054.0102-A</t>
  </si>
  <si>
    <t>PLACA FOTOLUMINESCENTE DE SINALIZACAO DE SEGURANCA CONTRA INCENDIO,PARA SAIDA DE EMERGENCIA,EM PVC ANTICHAMA,DIMENSOES A PROXIMADAS DE (20X40)CM, DE ACORDO COM A NORMA NBR 13434-2.FORNECIMENTO E COLOCACAO (OBS.:3%-DESGASTE DE FERRAMENTAS E EPI).</t>
  </si>
  <si>
    <t>14732</t>
  </si>
  <si>
    <t>PLACA FOTOLUMINESCENTE SINALIZACAO SEG.INCENDIO, SAIDA DE EMERGENCIA,APROX. (20X40)CM NBR 13434-2</t>
  </si>
  <si>
    <t>05.054.0110-A</t>
  </si>
  <si>
    <t>PLACA FOTOLUMINESCENTE DE SINALIZACAO DE SEGURANCA CONTRA INCENDIO,PARA EQUIPAMENTOS DE COMBATE A INCENDIO E ALARME,EM P VC ANTICHAMA,DIMENSOES APROXIMADAS DE (30X30)CM,DE ACORDO COM A NORMA NBR 13434-2.FORNECIMENTO E COLOCACAO (OBS.:3%-DESGASTE DE FERRAMENTAS E EPI).</t>
  </si>
  <si>
    <t>14720</t>
  </si>
  <si>
    <t>PLACA FOTOLUMINESCENTE SINALIZACAO,SEG.INCENDIO,EQUIPAMENTO DE COMBATE A INCENDIO E ALARME,APROX.(30X30)CM,NBR 13434-2</t>
  </si>
  <si>
    <t>LUMINÁRIA DE EMERGÊNCIA, COM 30 LÂMPADAS LED DE 2 W, SEM REATOR - FORNECIMENTO E INSTALAÇÃO. AF_02/2020</t>
  </si>
  <si>
    <t>0038774</t>
  </si>
  <si>
    <t>LUMINARIA DE EMERGENCIA 30 LEDS, POTENCIA 2 W, BATERIA DE LITIO, AUTONOMIA DE 6 HORAS</t>
  </si>
  <si>
    <t>MANÔMETRO ATÉ 300 PSI // MAGAZINE LUIZA // CNPJ:47.960.950/0449-27</t>
  </si>
  <si>
    <t>MANÔMETRO ATÉ 300 PSI // SUBMARINO // CNPJ: 00.776.574/0006-60</t>
  </si>
  <si>
    <t xml:space="preserve">MANÔMETRO ATÉ 300 PSI </t>
  </si>
  <si>
    <t>2.1</t>
  </si>
  <si>
    <t>2.2</t>
  </si>
  <si>
    <t>2.3</t>
  </si>
  <si>
    <t>2.4</t>
  </si>
  <si>
    <t>TOTAL 2.0</t>
  </si>
  <si>
    <t>X</t>
  </si>
  <si>
    <t>0043132</t>
  </si>
  <si>
    <t>ARAME RECOZIDO 16 BWG, D = 1,65 MM (0,016 KG/M) OU 18 BWG, D = 1,25 MM (0,01 KG/M)</t>
  </si>
  <si>
    <t>0039017</t>
  </si>
  <si>
    <t>ESPACADOR / DISTANCIADOR CIRCULAR COM ENTRADA LATERAL, EM PLASTICO, PARA VERGALHAO *4,2 A 12,5* MM, COBRIMENTO 20 MM</t>
  </si>
  <si>
    <t>SI00000088245</t>
  </si>
  <si>
    <t>ARMADOR COM ENCARGOS COMPLEMENTARES</t>
  </si>
  <si>
    <t>SI00000088238</t>
  </si>
  <si>
    <t>AJUDANTE DE ARMADOR COM ENCARGOS COMPLEMENTARES</t>
  </si>
  <si>
    <t>SI00000092794</t>
  </si>
  <si>
    <t>SI00000092794 CORTE E DOBRA DE AÇO CA-50, DIÂMETRO DE 10,0 MM, UTILIZADO EM ESTRUTURAS DIVERSAS, EXCETO LAJES. AF_12/2015</t>
  </si>
  <si>
    <t>SI00000092795</t>
  </si>
  <si>
    <t>SI00000092795 CORTE E DOBRA DE AÇO CA-50, DIÂMETRO DE 12,5 MM, UTILIZADO EM ESTRUTURAS DIVERSAS, EXCETO LAJES. AF_12/2015</t>
  </si>
  <si>
    <t>00018</t>
  </si>
  <si>
    <t>ACO CA-50, ESTIRADO, PRECO DE REVENDEDOR, NO DIAMETRO DE 12,5MM</t>
  </si>
  <si>
    <t>SI00000092791</t>
  </si>
  <si>
    <t>SI00000092791 CORTE E DOBRA DE AÇO CA-60, DIÂMETRO DE 5,0 MM, UTILIZADO EM ESTRUTURAS DIVERSAS, EXCETO LAJES. AF_12/2015</t>
  </si>
  <si>
    <t>00014</t>
  </si>
  <si>
    <t>ACO CA-60, ESTIRADO, PRECO DE REVENDEDOR, NO DIAMETRO DE 05,0MM</t>
  </si>
  <si>
    <r>
      <t xml:space="preserve">ARMAÇÃO DE BLOCO, VIGA BALDRAME E SAPATA UTILIZANDO AÇO CA-60 DE 5 MM - MONTAGEM. AF_06/2017 </t>
    </r>
    <r>
      <rPr>
        <b/>
        <sz val="11"/>
        <color indexed="8"/>
        <rFont val="Times New Roman"/>
        <family val="1"/>
      </rPr>
      <t>(SAPATAS ISOLADAS)</t>
    </r>
  </si>
  <si>
    <r>
      <t xml:space="preserve">ARMAÇÃO DE BLOCO, VIGA BALDRAME OU SAPATA UTILIZANDO AÇO CA-50 DE 12,5 MM - MONTAGEM. AF_06/2017 </t>
    </r>
    <r>
      <rPr>
        <b/>
        <sz val="11"/>
        <color indexed="8"/>
        <rFont val="Times New Roman"/>
        <family val="1"/>
      </rPr>
      <t>(SAPATAS ISOLADAS)</t>
    </r>
  </si>
  <si>
    <r>
      <t>ARMAÇÃO DE BLOCO, VIGA BALDRAME OU SAPATA UTILIZANDO AÇO CA-50 DE 10 MM - MONTAGEM. AF_06/2017</t>
    </r>
    <r>
      <rPr>
        <b/>
        <sz val="11"/>
        <color indexed="8"/>
        <rFont val="Times New Roman"/>
        <family val="1"/>
      </rPr>
      <t xml:space="preserve"> (SAPATAS ISOLADAS)</t>
    </r>
  </si>
  <si>
    <r>
      <t xml:space="preserve">SI00000096543 </t>
    </r>
    <r>
      <rPr>
        <b/>
        <sz val="11"/>
        <rFont val="Times New Roman"/>
        <family val="1"/>
      </rPr>
      <t>(COMPOSIÇÃO)</t>
    </r>
  </si>
  <si>
    <r>
      <t xml:space="preserve">SI00000096546 </t>
    </r>
    <r>
      <rPr>
        <b/>
        <sz val="11"/>
        <rFont val="Times New Roman"/>
        <family val="1"/>
      </rPr>
      <t>(COMPOSIÇÃO)</t>
    </r>
  </si>
  <si>
    <r>
      <t xml:space="preserve">SI00000096547 </t>
    </r>
    <r>
      <rPr>
        <b/>
        <sz val="11"/>
        <rFont val="Times New Roman"/>
        <family val="1"/>
      </rPr>
      <t>(COMPOSIÇÃO)</t>
    </r>
  </si>
  <si>
    <t>SI00000092793</t>
  </si>
  <si>
    <t>SI00000092793 CORTE E DOBRA DE AÇO CA-50, DIÂMETRO DE 8,0 MM, UTILIZADO EM ESTRUTURAS DIVERSAS, EXCETO LAJES. AF_12/2015</t>
  </si>
  <si>
    <t>00030</t>
  </si>
  <si>
    <t>ACO CA-25, ESTIRADO, PRECO DE REVENDEDOR, NO DIAMETRO DE 08,0MM</t>
  </si>
  <si>
    <r>
      <t xml:space="preserve">ARMAÇÃO DE PILAR OU VIGA DE UMA ESTRUTURA CONVENCIONAL DE CONCRETO ARMADO EM UMA EDIFICAÇÃO TÉRREA OU SOBRADO UTILIZANDO AÇO CA-50 DE 12,5 MM - MONTAGEM. AF_12/2015 </t>
    </r>
    <r>
      <rPr>
        <b/>
        <sz val="11"/>
        <color indexed="8"/>
        <rFont val="Times New Roman"/>
        <family val="1"/>
      </rPr>
      <t>(VIGAS E PILARES)</t>
    </r>
  </si>
  <si>
    <r>
      <t xml:space="preserve">ARMAÇÃO DE PILAR OU VIGA DE UMA ESTRUTURA CONVENCIONAL DE CONCRETO ARMADO EM UMA EDIFICAÇÃO TÉRREA OU SOBRADO UTILIZANDO AÇO CA-50 DE 10,0 MM - MONTAGEM. AF_12/2015 </t>
    </r>
    <r>
      <rPr>
        <b/>
        <sz val="11"/>
        <color indexed="8"/>
        <rFont val="Times New Roman"/>
        <family val="1"/>
      </rPr>
      <t>(VIGAS E PILARES)</t>
    </r>
  </si>
  <si>
    <r>
      <t>ARMAÇÃO DE PILAR OU VIGA DE UMA ESTRUTURA CONVENCIONAL DE CONCRETO ARMADO EM UMA EDIFICAÇÃO TÉRREA OU SOBRADO UTILIZANDO AÇO CA-50 DE 8,0 MM - MONTAGEM. AF_12/2015</t>
    </r>
    <r>
      <rPr>
        <b/>
        <sz val="11"/>
        <color indexed="8"/>
        <rFont val="Times New Roman"/>
        <family val="1"/>
      </rPr>
      <t xml:space="preserve"> (VIGAS E PILARES)</t>
    </r>
  </si>
  <si>
    <r>
      <t xml:space="preserve">SI00000092775 </t>
    </r>
    <r>
      <rPr>
        <b/>
        <sz val="11"/>
        <rFont val="Times New Roman"/>
        <family val="1"/>
      </rPr>
      <t>(COMPOSIÇÃO)</t>
    </r>
  </si>
  <si>
    <r>
      <t xml:space="preserve">ARMAÇÃO DE PILAR OU VIGA DE UMA ESTRUTURA CONVENCIONAL DE CONCRETO ARMADO EM UMA EDIFICAÇÃO TÉRREA OU SOBRADO UTILIZANDO AÇO CA-60 DE 5,0 MM - MONTAGEM. AF_12/2015 </t>
    </r>
    <r>
      <rPr>
        <b/>
        <sz val="11"/>
        <color indexed="8"/>
        <rFont val="Times New Roman"/>
        <family val="1"/>
      </rPr>
      <t>(VIGAS E PILARES)</t>
    </r>
  </si>
  <si>
    <t>3.1</t>
  </si>
  <si>
    <t>3.2</t>
  </si>
  <si>
    <t>3.3</t>
  </si>
  <si>
    <t>3.4</t>
  </si>
  <si>
    <t>3.5</t>
  </si>
  <si>
    <t>3.6</t>
  </si>
  <si>
    <t>3.7</t>
  </si>
  <si>
    <t>SI00000092720</t>
  </si>
  <si>
    <t>CONCRETAGEM DE PILARES, FCK = 25 MPA, COM USO DE BOMBA EM EDIFICAÇÃO COM SEÇÃO MÉDIA DE PILARES MENOR OU IGUAL A 0,25 M² - LANÇAMENTO, ADENSAMENTO E ACABAMENTO. AF_12/2015</t>
  </si>
  <si>
    <t>0001527</t>
  </si>
  <si>
    <t>CONCRETO USINADO BOMBEAVEL, CLASSE DE RESISTENCIA C25, COM BRITA 0 E 1, SLUMP = 100 +/- 20 MM, INCLUI SERVICO DE BOMBEAMENTO (NBR 8953)</t>
  </si>
  <si>
    <t>SI00000090587</t>
  </si>
  <si>
    <t>SI00000090587 VIBRADOR DE IMERSÃO, DIÂMETRO DE PONTEIRA 45MM, MOTOR ELÉTRICO TRIFÁSICO POTÊNCIA DE 2 CV - CHI DIURNO. AF_06/2015</t>
  </si>
  <si>
    <t>SI00000090586</t>
  </si>
  <si>
    <t>SI00000090586 VIBRADOR DE IMERSÃO, DIÂMETRO DE PONTEIRA 45MM, MOTOR ELÉTRICO TRIFÁSICO POTÊNCIA DE 2 CV - CHP DIURNO. AF_06/2015</t>
  </si>
  <si>
    <t>SI00000092723</t>
  </si>
  <si>
    <t>CONCRETAGEM DE VIGAS E LAJES, FCK=20 MPA, PARA LAJES PREMOLDADAS COM USO DE BOMBA EM EDIFICAÇÃO COM ÁREA MÉDIA DE LAJES MENOR OU IGUAL A 20 M² - LANÇAMENTO, ADENSAMENTO E ACABAMENTO. AF_12/2015</t>
  </si>
  <si>
    <t>0001524</t>
  </si>
  <si>
    <t>CONCRETO USINADO BOMBEAVEL, CLASSE DE RESISTENCIA C20, COM BRITA 0 E 1, SLUMP = 100 +/- 20 MM, INCLUI SERVICO DE BOMBEAMENTO (NBR 8953)</t>
  </si>
  <si>
    <t>3.8</t>
  </si>
  <si>
    <t>3.9</t>
  </si>
  <si>
    <t>SI00000096558</t>
  </si>
  <si>
    <t>CONCRETAGEM DE SAPATAS, FCK 30 MPA, COM USO DE BOMBA  LANÇAMENTO, ADENSAMENTO E ACABAMENTO. AF_11/2016</t>
  </si>
  <si>
    <t>0001525</t>
  </si>
  <si>
    <t>CONCRETO USINADO BOMBEAVEL, CLASSE DE RESISTENCIA C30, COM BRITA 0 E 1, SLUMP = 100 +/- 20 MM, INCLUI SERVICO DE BOMBEAMENTO (NBR 8953)</t>
  </si>
  <si>
    <t>3.10</t>
  </si>
  <si>
    <t>30408</t>
  </si>
  <si>
    <t>17.025.0040-B PINTURA C/EMULSAO OLEOSA</t>
  </si>
  <si>
    <t>3.11</t>
  </si>
  <si>
    <t>SI00000092801</t>
  </si>
  <si>
    <t>CORTE E DOBRA DE AÇO CA-50, DIÂMETRO DE 6,3 MM, UTILIZADO EM LAJE. AF_12/2015</t>
  </si>
  <si>
    <t>0000032</t>
  </si>
  <si>
    <t>ACO CA-50, 6,3 MM, VERGALHAO</t>
  </si>
  <si>
    <t>SI00000092802</t>
  </si>
  <si>
    <t>CORTE E DOBRA DE AÇO CA-50, DIÂMETRO DE 8,0 MM, UTILIZADO EM LAJE. AF_12/2015</t>
  </si>
  <si>
    <t>0000033</t>
  </si>
  <si>
    <t>ACO CA-50, 8,0 MM, VERGALHAO</t>
  </si>
  <si>
    <t>SI00000092803</t>
  </si>
  <si>
    <t>CORTE E DOBRA DE AÇO CA-50, DIÂMETRO DE 10,0 MM, UTILIZADO EM LAJE. AF_12/2015</t>
  </si>
  <si>
    <t>0000034</t>
  </si>
  <si>
    <t>ACO CA-50, 10,0 MM, VERGALHAO</t>
  </si>
  <si>
    <t>SI00000092800</t>
  </si>
  <si>
    <t>CORTE E DOBRA DE AÇO CA-60, DIÂMETRO DE 5,0 MM, UTILIZADO EM LAJE. AF_12/2015</t>
  </si>
  <si>
    <t>0043059</t>
  </si>
  <si>
    <t>ACO CA-60, 4,2 MM, OU 5,0 MM, OU 6,0 MM, OU 7,0 MM, VERGALHAO</t>
  </si>
  <si>
    <t>SI00000092792</t>
  </si>
  <si>
    <t>SI00000092792 CORTE E DOBRA DE AÇO CA-50, DIÂMETRO DE 6,3 MM, UTILIZADO EM ESTRUTURAS DIVERSAS, EXCETO LAJES. AF_12/2015</t>
  </si>
  <si>
    <r>
      <t xml:space="preserve">ARMAÇÃO DE PILAR OU VIGA DE UMA ESTRUTURA CONVENCIONAL DE CONCRETO ARMADO EM UMA EDIFICAÇÃO TÉRREA OU SOBRADO UTILIZANDO AÇO CA-50 DE 6,3 MM - MONTAGEM. AF_12/2015 </t>
    </r>
    <r>
      <rPr>
        <b/>
        <sz val="11"/>
        <color indexed="8"/>
        <rFont val="Times New Roman"/>
        <family val="1"/>
      </rPr>
      <t>(VIGAS E PILARES)</t>
    </r>
  </si>
  <si>
    <t>3.12</t>
  </si>
  <si>
    <t>06211</t>
  </si>
  <si>
    <t>ACO CA-50, ESTIRADO, PRECO DE FABRICA, NO DIAMETRO DE 06,3MM</t>
  </si>
  <si>
    <t>3.13</t>
  </si>
  <si>
    <t>3.14</t>
  </si>
  <si>
    <t>3.15</t>
  </si>
  <si>
    <t>3.16</t>
  </si>
  <si>
    <t>11.004.0021-B</t>
  </si>
  <si>
    <t>FORMAS DE MADEIRA DE 3¦ PARA MOLDAGEM DE PECAS DE CONCRETO ARMADO COM PARAMENTOS PLANOS,EM LAJES,VIGAS,PAREDES,ETC,SERVI NDO A MADEIRA 2 VEZES,INCLUSIVE DESMOLDAGEM,EXCLUSIVE ESCORAMENTO (OBS.:3%-DESGASTE DE FERRAMENTAS E EPI).</t>
  </si>
  <si>
    <t>TOTAL 3.0</t>
  </si>
  <si>
    <t>TOTAL 4.0</t>
  </si>
  <si>
    <t>TOTAL 6.0</t>
  </si>
  <si>
    <t>TOTAL 5.0</t>
  </si>
  <si>
    <t>PORTA DE MADEIRA, LISA, COMPENSADO,DE 60X160X3CM, REVESTIDA DE CHAPA DE LAMINADO MELAMINICO, 1MM DE ESPESSURA, EXCLUSIVE ADUELA,ALIZAR E FERRAGENS.FORNECIMENTO E COLOCACAO (OBS.:3%-DESGASTE DE FERRAMENTAS E EPI).</t>
  </si>
  <si>
    <t>14.003.0025-A</t>
  </si>
  <si>
    <t>JANELA DE ALUMINIO ANODIZADO AO NATURAL DE CORRER,COM DUAS FOLHAS DE CORRER,EM PERFIS SERIE 28.FORNECIMENTO E COLOCACAO (OBS.:3%-DESGASTE DE FERRAMENTAS E EPI 33%-ANODIZACAO E ACESSORIOS).</t>
  </si>
  <si>
    <t>14.003.0020-A</t>
  </si>
  <si>
    <t>JANELA DE ALUMINIO ANODIZADO AO NATURAL DE CORRER,DUAS FOLHAS FIXAS E DUAS DE CORRER E BANDEIRA DE 0,50M DE ALTURA COM 2 PAINEIS FIXOS E 2 BASCULANTES, EM PERFIS SERIE 28. FORNECIMENTO E COLOCACAO (OBS.:3%-DESGASTE DE FERRAMENTAS E EPI 31%-ANODIZACAO E ACESSORIOS).</t>
  </si>
  <si>
    <t>COBERTURA</t>
  </si>
  <si>
    <t>SI00000091835</t>
  </si>
  <si>
    <t>ELETRODUTO FLEXÍVEL CORRUGADO REFORÇADO, PVC, DN 25 MM (3/4"), PARA CIRCUITOS TERMINAIS, INSTALADO EM FORRO - FORNECIMENTO E INSTALAÇÃO. AF_12/2015</t>
  </si>
  <si>
    <t>0039244</t>
  </si>
  <si>
    <t>ELETRODUTO PVC FLEXIVEL CORRUGADO, REFORCADO, COR LARANJA, DE 25 MM, PARA LAJES E PISOS</t>
  </si>
  <si>
    <t>SI00000092004</t>
  </si>
  <si>
    <t>TOMADA MÉDIA DE EMBUTIR (2 MÓDULOS), 2P+T 10 A, INCLUINDO SUPORTE E PLACA - FORNECIMENTO E INSTALAÇÃO. AF_12/2015</t>
  </si>
  <si>
    <t>SI00000092002</t>
  </si>
  <si>
    <t>SI00000092002 TOMADA MÉDIA DE EMBUTIR (2 MÓDULOS), 2P+T 10 A, SEM SUPORTE E SEM PLACA - FORNECIMENTO E INSTALAÇÃO. AF_12/2015</t>
  </si>
  <si>
    <t>SI00000092009</t>
  </si>
  <si>
    <t>TOMADA BAIXA DE EMBUTIR (2 MÓDULOS), 2P+T 20 A, INCLUINDO SUPORTE E PLACA - FORNECIMENTO E INSTALAÇÃO. AF_12/2015</t>
  </si>
  <si>
    <t>SI00000092007</t>
  </si>
  <si>
    <t>SI00000092007 TOMADA BAIXA DE EMBUTIR (2 MÓDULOS), 2P+T 20 A, SEM SUPORTE E SEM PLACA - FORNECIMENTO E INSTALAÇÃO. AF_12/2015</t>
  </si>
  <si>
    <t>SI00000092001</t>
  </si>
  <si>
    <t>TOMADA BAIXA DE EMBUTIR (1 MÓDULO), 2P+T 20 A, INCLUINDO SUPORTE E PLACA - FORNECIMENTO E INSTALAÇÃO. AF_12/2015</t>
  </si>
  <si>
    <t>SI00000091999</t>
  </si>
  <si>
    <t>SI00000091999 TOMADA BAIXA DE EMBUTIR (1 MÓDULO), 2P+T 20 A, SEM SUPORTE E SEM PLACA - FORNECIMENTO E INSTALAÇÃO. AF_12/2015</t>
  </si>
  <si>
    <t>SI00000091992</t>
  </si>
  <si>
    <t>TOMADA ALTA DE EMBUTIR (1 MÓDULO), 2P+T 10 A, INCLUINDO SUPORTE E PLACA - FORNECIMENTO E INSTALAÇÃO. AF_12/2015</t>
  </si>
  <si>
    <t>SI00000091990</t>
  </si>
  <si>
    <t>SI00000091990 TOMADA ALTA DE EMBUTIR (1 MÓDULO), 2P+T 10 A, SEM SUPORTE E SEM PLACA - FORNECIMENTO E INSTALAÇÃO. AF_12/2015</t>
  </si>
  <si>
    <r>
      <t xml:space="preserve">18.027.0445-A </t>
    </r>
    <r>
      <rPr>
        <b/>
        <sz val="11"/>
        <rFont val="Times New Roman"/>
        <family val="1"/>
      </rPr>
      <t>(COMPOSIÇÃO)</t>
    </r>
  </si>
  <si>
    <t>EXECUÇÃO DE PASSEIO (CALÇADA) OU PISO DE CONCRETO COM CONCRETO MOLDADO IN LOCO, FEITO EM OBRA, ACABAMENTO CONVENCIONAL, NÃO ARMADO. AF_07/2016</t>
  </si>
  <si>
    <t>0004517</t>
  </si>
  <si>
    <t>SARRAFO *2,5 X 7,5* CM EM PINUS, MISTA OU EQUIVALENTE DA REGIAO - BRUTA</t>
  </si>
  <si>
    <t>0004460</t>
  </si>
  <si>
    <t>SARRAFO NAO APARELHADO *2,5 X 10* CM, EM MACARANDUBA, ANGELIM OU EQUIVALENTE DA REGIAO -  BRUTA</t>
  </si>
  <si>
    <t>SI00000094964</t>
  </si>
  <si>
    <t>SI00000094964 CONCRETO FCK = 20MPA, TRAÇO 1:2,7:3 (EM MASSA SECA DE CIMENTO/ AREIA MÉDIA/ BRITA 1) - PREPARO MECÂNICO COM BETONEIRA 400 L. AF_05/2021</t>
  </si>
  <si>
    <t>LASTRO DE CONCRETO MAGRO, APLICADO EM PISOS, LAJES SOBRE SOLO OU RADIERS, ESPESSURA DE 3 CM. AF_07/2016</t>
  </si>
  <si>
    <t>SI00000094968</t>
  </si>
  <si>
    <t>SI00000094968 CONCRETO MAGRO PARA LASTRO, TRAÇO 1:4,5:4,5 (EM MASSA SECA DE CIMENTO/ AREIA MÉDIA/ BRITA 1) - PREPARO MECÂNICO COM BETONEIRA 600 L. AF_05/2021</t>
  </si>
  <si>
    <t>SI00000095241</t>
  </si>
  <si>
    <r>
      <t xml:space="preserve">SI00000094990 </t>
    </r>
    <r>
      <rPr>
        <b/>
        <sz val="11"/>
        <rFont val="Times New Roman"/>
        <family val="1"/>
      </rPr>
      <t>(MODIFICADO)</t>
    </r>
  </si>
  <si>
    <t>SI00000092401</t>
  </si>
  <si>
    <t>EXECUÇÃO DE VIA EM PISO INTERTRAVADO, COM BLOCO RETANGULAR DE 20 X 10 CM, ESPESSURA 10 CM. AF_12/2015</t>
  </si>
  <si>
    <t>0040524</t>
  </si>
  <si>
    <t>BLOQUETE/PISO INTERTRAVADO DE CONCRETO - MODELO ONDA/16 FACES/RETANGULAR/TIJOLINHO/PAVER/HOLANDES/PARALELEPIPEDO, 20 CM X 10 CM, E = 10 CM, RESISTENCIA DE 35 MPA (NBR 9781), COR NATURAL</t>
  </si>
  <si>
    <t>0004741</t>
  </si>
  <si>
    <t>0000370</t>
  </si>
  <si>
    <t>SI00000088260</t>
  </si>
  <si>
    <t>SI00000091285</t>
  </si>
  <si>
    <t>SI00000091285 CORTADORA DE PISO COM MOTOR 4 TEMPOS A GASOLINA, POTÊNCIA DE 13 HP, COM DISCO DE CORTE DIAMANTADO SEGMENTADO PARA CONCRETO, DIÂMETRO DE 350 MM, FURO DE 1" (14 X 1") - CHI DIURNO. AF_08/2015</t>
  </si>
  <si>
    <t>SI00000091283</t>
  </si>
  <si>
    <t>SI00000091283 CORTADORA DE PISO COM MOTOR 4 TEMPOS A GASOLINA, POTÊNCIA DE 13 HP, COM DISCO DE CORTE DIAMANTADO SEGMENTADO PARA CONCRETO, DIÂMETRO DE 350 MM, FURO DE 1" (14 X 1") - CHP DIURNO. AF_08/2015</t>
  </si>
  <si>
    <t>SI00000091278</t>
  </si>
  <si>
    <t>SI00000091278 PLACA VIBRATÓRIA REVERSÍVEL COM MOTOR 4 TEMPOS A GASOLINA, FORÇA CENTRÍFUGA DE 25 KN (2500 KGF), POTÊNCIA 5,5 CV - CHI DIURNO. AF_08/2015</t>
  </si>
  <si>
    <t>SI00000091277</t>
  </si>
  <si>
    <t>SI00000091277 PLACA VIBRATÓRIA REVERSÍVEL COM MOTOR 4 TEMPOS A GASOLINA, FORÇA CENTRÍFUGA DE 25 KN (2500 KGF), POTÊNCIA 5,5 CV - CHP DIURNO. AF_08/2015</t>
  </si>
  <si>
    <t>13.370.0055-A</t>
  </si>
  <si>
    <t>PAVIMENTACAO COM PLACAS DE CONCRETO PRE-MOLDADAS,40X40X6CM FCK=10MPA,COM INTERSTICIOS DE 5CM,ASSENTE COM ARGAMASSA DE CI MENTO E AREIA,NO TRACO 1:8,EXCLUSIVE TOMADA DE JUNTAS E PREPARO DO TERRENO (OBS.:3%-DESGASTE DE FERRAMENTAS E EPI).</t>
  </si>
  <si>
    <t>30265</t>
  </si>
  <si>
    <t>11.002.0029-B LANCAMENTO CONC.S/ARM.2,0M3/H/HORIZ/VERT</t>
  </si>
  <si>
    <t>30167</t>
  </si>
  <si>
    <t>07.002.0045-B ARGAMASSA CIM.,AREIA TRACO 1:8,PREPAROMECANICO</t>
  </si>
  <si>
    <t>GRADIL</t>
  </si>
  <si>
    <t>TRANSPORTE E BOTA-FORA</t>
  </si>
  <si>
    <r>
      <t xml:space="preserve">SI00000092335 </t>
    </r>
    <r>
      <rPr>
        <b/>
        <sz val="11"/>
        <rFont val="Times New Roman"/>
        <family val="1"/>
      </rPr>
      <t>(COMPOSIÇÃO)</t>
    </r>
  </si>
  <si>
    <t>0007698</t>
  </si>
  <si>
    <t>TUBO ACO GALVANIZADO COM COSTURA, CLASSE MEDIA, DN 1.1/4", E = *3,25* MM, PESO *3,14* KG/M (NBR 5580)</t>
  </si>
  <si>
    <t>TUBO DE AÇO GALVANIZADO COM COSTURA, CLASSE MÉDIA, CONEXÃO RANHURADA, DN 1.1/2", INSTALADO EM PRUMADAS - FORNECIMENTO E INSTALAÇÃO. AF_10/2020</t>
  </si>
  <si>
    <t>TUBO DE AÇO GALVANIZADO COM COSTURA, CLASSE MÉDIA, CONEXÃO RANHURADA, DN 1.1/4", INSTALADO EM PRUMADAS - FORNECIMENTO E INSTALAÇÃO. AF_10/2020</t>
  </si>
  <si>
    <r>
      <t xml:space="preserve">SI00000090740 </t>
    </r>
    <r>
      <rPr>
        <b/>
        <sz val="11"/>
        <rFont val="Times New Roman"/>
        <family val="1"/>
      </rPr>
      <t>(COMPOSIÇÃO)</t>
    </r>
  </si>
  <si>
    <t>ASSENTAMENTO DE TUBO DE PVC CORRUGADO DE DUPLA PAREDE PARA REDE COLETORA DE ESGOTO, DN 75 MM, JUNTA ELÁSTICA (NÃO INCLUI FORNECIMENTO). AF_01/2021</t>
  </si>
  <si>
    <r>
      <t xml:space="preserve">SI00000083716 </t>
    </r>
    <r>
      <rPr>
        <b/>
        <sz val="11"/>
        <rFont val="Times New Roman"/>
        <family val="1"/>
      </rPr>
      <t>(MODIFICADO)</t>
    </r>
  </si>
  <si>
    <r>
      <t xml:space="preserve">GRELHA FF </t>
    </r>
    <r>
      <rPr>
        <b/>
        <sz val="11"/>
        <color indexed="8"/>
        <rFont val="Times New Roman"/>
        <family val="1"/>
      </rPr>
      <t>40X40CM</t>
    </r>
    <r>
      <rPr>
        <sz val="11"/>
        <color indexed="8"/>
        <rFont val="Times New Roman"/>
        <family val="1"/>
      </rPr>
      <t>, 135KG, P/ CX RALO COM ASSENTAMENTO DE ARGAMASSA CIMENTO/AREIA 1:4 - FORNECIMENTO E INSTALAÇÃO</t>
    </r>
  </si>
  <si>
    <t>SI00000097905</t>
  </si>
  <si>
    <t>CAIXA ENTERRADA HIDRÁULICA RETANGULAR, EM ALVENARIA COM BLOCOS DE CONCRETO, DIMENSÕES INTERNAS: 0,4X0,4X0,4 M PARA REDE DE ESGOTO. AF_12/2020</t>
  </si>
  <si>
    <t>SI00000097734</t>
  </si>
  <si>
    <t>SI00000097734 PEÇA RETANGULAR PRÉ-MOLDADA, VOLUME DE CONCRETO DE 10 A 30 LITROS, TAXA DE AÇO APROXIMADA DE 30KG/M³. AF_01/2018</t>
  </si>
  <si>
    <t>SI00000097882</t>
  </si>
  <si>
    <t>0043430</t>
  </si>
  <si>
    <t>CAIXA DE CONCRETO ARMADO PRE-MOLDADO, SEM FUNDO, QUADRADA, DIMENSOES DE 0,40 X 0,40 X 0,40 M</t>
  </si>
  <si>
    <t>SI00000101619</t>
  </si>
  <si>
    <t>SI00000101619 PREPARO DE FUNDO DE VALA COM LARGURA MENOR QUE 1,5 M, COM CAMADA DE BRITA, LANÇAMENTO MANUAL. AF_08/2020</t>
  </si>
  <si>
    <t>CAIXA ENTERRADA RETANGULAR, EM CONCRETO PRÉ-MOLDADO, FUNDO COM BRITA, DIMENSÕES INTERNAS: 0,4X0,4X0,4 M. AF_12/2020</t>
  </si>
  <si>
    <t>SI00000089491</t>
  </si>
  <si>
    <t>0011714</t>
  </si>
  <si>
    <t>0000298</t>
  </si>
  <si>
    <t>SI00000097904</t>
  </si>
  <si>
    <t>CAIXA ENTERRADA HIDRÁULICA RETANGULAR EM ALVENARIA COM TIJOLOS CERÂMICOS MACIÇOS, DIMENSÕES INTERNAS: 1X1X0,6 M PARA REDE DE ESGOTO. AF_12/2020</t>
  </si>
  <si>
    <t>SI00000101617</t>
  </si>
  <si>
    <t>SI00000101617 PREPARO DE FUNDO DE VALA COM LARGURA MAIOR OU IGUAL A 1,5 M E MENOR QUE 2,5 M (ACERTO DO SOLO NATURAL). AF_08/2020</t>
  </si>
  <si>
    <t>SI00000097736</t>
  </si>
  <si>
    <t>SI00000097736 PEÇA RETANGULAR PRÉ-MOLDADA, VOLUME DE CONCRETO ACIMA DE 100 LITROS, TAXA DE AÇO APROXIMADA DE 30KG/M³. AF_01/2018</t>
  </si>
  <si>
    <t>15.002.0086-A</t>
  </si>
  <si>
    <t>CAIXA DE GORDURA ESPECIAL EM ALVENARIA DE TIJOLOS MACICOS(7X10X20CM),EM PAREDES DE UMA VEZ(0,20M),MEDINDO 1,20X1,20X0,90 M,INCLUSIVE REVESTIMENTO INTERNO EM ARGAMASSA DE CIMENTO E AREIA,NO TRACO 1:3,COM ESPESSURA DE 1,5CM,EXCLUSIVE TAMPAO DE FERRO FUNDIDO (OBS.:3%-DESGASTE DE FERRAMENTAS E EPI).</t>
  </si>
  <si>
    <t>18.006.0050-A</t>
  </si>
  <si>
    <t>PAPELEIRA,SEM PROTETOR,DE SOBREPOR,EM METAL CROMADO.FORNECIMENTO E COLOCACAO (OBS.:3%-DESGASTE DE FERRAMENTAS E EPI).</t>
  </si>
  <si>
    <t>07895</t>
  </si>
  <si>
    <t>PAPELEIRA, SEM PROTETOR, DE SOBREPOR, EMMETAL CROMADO</t>
  </si>
  <si>
    <t>PAVIMENTAÇÃO / EXTERNO</t>
  </si>
  <si>
    <t>TESOURA COMPLETA EM MADEIRA SERRADA.FORNECIMENTO E COLOCACAO (OBS.:3%-DESGASTE DE FERRAMENTAS E EPI).</t>
  </si>
  <si>
    <r>
      <t xml:space="preserve">PEITORIL </t>
    </r>
    <r>
      <rPr>
        <b/>
        <sz val="11"/>
        <color indexed="8"/>
        <rFont val="Times New Roman"/>
        <family val="1"/>
      </rPr>
      <t>(CHAPIM)</t>
    </r>
    <r>
      <rPr>
        <sz val="11"/>
        <color indexed="8"/>
        <rFont val="Times New Roman"/>
        <family val="1"/>
      </rPr>
      <t xml:space="preserve"> EM GRANITO CINZA ANDORINHA,ESPESSURA DE 2CM,LARGURA DE 28CM,ASSENTADO COM NATA DE CIMENTO SOBRE ARGAMASSA DE CI MENTO,SAIBRO E AREIA,NO TRACO 1:3:3 E REJUNTAMENTO COM CIMENTO BRANCO (OBS.:3%-DESGASTE DE FERRAMENTAS E EPI).</t>
    </r>
  </si>
  <si>
    <t>GRADIL FIXO ELETROFUNDIDO, MALHA 65 X 132 MM FIOS HORIZONTAIS 4,76 MM DE DIÂMETRO E BARRAS CHATAS VERTICAIS DE 25 X 2,0 MM DE ESPESSURA NAS MEDIDAS DE 1650 DE LARGURA X 2114 MM DE ALTURA. FIXADO COM MONTENTE EM BARRA CHATA 76 X 8 MM CHUMBADO</t>
  </si>
  <si>
    <t>GRADIL FIXO ELETROFUNDIDO, MALHA 65 X 132 MM FIOS HORIZONTAIS 4,76 MM DE DIÂMETRO E BARRAS CHATAS VERTICAIS DE 25 X 2,0 MM DE ESPESSURA NAS MEDIDAS DE 1650 DE LARGURA X 2114 MM DE ALTURA. FIXADO COM MONTENTE EM BARRA CHATA 76 X 8 MM CHUMBADO // GRADISA SOLUÇÕES EM FERRO LTDA // CNPJ: 24.583.673/001-80</t>
  </si>
  <si>
    <t>TOTAL MÉDIA</t>
  </si>
  <si>
    <r>
      <t xml:space="preserve">14.002.0199-A </t>
    </r>
    <r>
      <rPr>
        <b/>
        <sz val="11"/>
        <rFont val="Times New Roman"/>
        <family val="1"/>
      </rPr>
      <t>(COMPOSIÇÃO)</t>
    </r>
  </si>
  <si>
    <t xml:space="preserve">GRADIL FIXO ELETROFUNDIDO, MALHA 65 X 132 MM FIOS HORIZONTAIS 4,76 MM DE DIÂMETRO E BARRAS CHATAS VERTICAIS DE 25 X 2,0 MM DE ESPESSURA NAS MEDIDAS DE 1650 DE LARGURA X 2114 MM DE ALTURA. FIXADO COM MONTENTE EM BARRA CHATA 76 X 8 MM CHUMBADO </t>
  </si>
  <si>
    <t>PORTÃO DE CORRER EM GRADIL METÁLICO, CONFORME PROJETO DE ESQUADRIAS, INCLUSIVE FERRAGENS</t>
  </si>
  <si>
    <t xml:space="preserve">GRADIL FIXO ELETROFUNDIDO, MALHA 65 X 132 MM FIOS HORIZONTAIS 4,76 MM DE DIÂMETRO E BARRAS CHATAS VERTICAIS DE 25 X 2,0 MM DE ESPESSURA NAS MEDIDAS DE 1650 DE LARGURA X 2114 MM DE ALTURA. FIXADO COM MONTENTE EM BARRA CHATA 76 X 8 MM CHUMBADO // METALGRADE PISOS INDUSTRIAIS S.A. // CNPJ: 46.307.989/0001-81 </t>
  </si>
  <si>
    <t>GRADIL FIXO ELETROFUNDIDO, MALHA 65 X 132 MM FIOS HORIZONTAIS 4,76 MM DE DIÂMETRO E BARRAS CHATAS VERTICAIS DE 25 X 2,0 MM DE ESPESSURA NAS MEDIDAS DE 1650 DE LARGURA X 2114 MM DE ALTURA. FIXADO COM MONTENTE EM BARRA CHATA 76 X 8 MM CHUMBADO // GRADEMAX GRADIL ELETROFUNDIDO // CNPJ:  18.092.508/0001-22</t>
  </si>
  <si>
    <t>MAO-DE-OBRA DE SERVENTE DA CONSTRUCAO CIVIL, INCLUSIVE ENCARGOS SOCIAIS DESONERADOS // GRADISA SOLUÇÕES EM FERRO LTDA // CNPJ: 24.583.673/001-80</t>
  </si>
  <si>
    <t xml:space="preserve">PORTÃO DE CORRER EM GRADIL METÁLICO, CONFORME PROJETO DE ESQUADRIAS, INCLUSIVE FERRAGENS  // METALGRADE PISOS INDUSTRIAIS S.A. // CNPJ: 46.307.989/0001-81 </t>
  </si>
  <si>
    <t xml:space="preserve">PORTÃO DE CORRER EM GRADIL METÁLICO, CONFORME PROJETO DE ESQUADRIAS, INCLUSIVE FERRAGENS </t>
  </si>
  <si>
    <t>15.018.0140-A</t>
  </si>
  <si>
    <t>CAIXA DE PASSAGEM N§2 PARA TELEFONE,CONFORME ESPECIFICACAO DA TELEBRAS,NAS DIMENSOES DE 20X20X13,5CM.FORNECIMENTO E COLO CACAO (OBS.:3%-DESGASTE DE FERRAMENTAS E EPI).</t>
  </si>
  <si>
    <t>02705</t>
  </si>
  <si>
    <t>CAIXA DE PASSAGEM PARA TELEFONE PADRAO TELEBRAS, DE (020X020X13,5)CM</t>
  </si>
  <si>
    <t>SI00000098110</t>
  </si>
  <si>
    <t>CAIXA DE GORDURA PEQUENA (CAPACIDADE: 19 L), CIRCULAR, EM PVC, DIÂMETRO INTERNO= 0,3 M. AF_12/2020</t>
  </si>
  <si>
    <t>0035277</t>
  </si>
  <si>
    <t>CAIXA DE GORDURA EM PVC, DIAMETRO MINIMO 300 MM, DIAMETRO DE SAIDA 100 MM, CAPACIDADE  APROXIMADA 18 LITROS, COM TAMPA</t>
  </si>
  <si>
    <t>SI00000101618</t>
  </si>
  <si>
    <t>SI00000101618 PREPARO DE FUNDO DE VALA COM LARGURA MENOR QUE 1,5 M, COM CAMADA DE AREIA, LANÇAMENTO MANUAL. AF_08/2020</t>
  </si>
  <si>
    <t>12.005.0140-B</t>
  </si>
  <si>
    <t>00104</t>
  </si>
  <si>
    <t>BLOCO DE CONCRETO PRENSADO, PARA ALVENARIA, DE (20X20X40)CM</t>
  </si>
  <si>
    <t>30247</t>
  </si>
  <si>
    <t>11.001.0006-B CONCRETO FCK 20MPA</t>
  </si>
  <si>
    <r>
      <t xml:space="preserve">ALVENARIA PARA CAIXAS ENTERRADAS,ATE 3,00M DE PROFUNDIDADE,COM BLOCOS DE CONCRETO DE 20X20X40CM,COM ARGAMASSA DE CIMENTO E AREIA,NO TRACO 1:4 E CONCRETO 20MPA,PARA PREENCHIMENTO DOSFUROS DOS MESMOS,EM PAREDES DE UMA VEZ(0,20M) (OBS.:3%-DESGASTE DE FERRAMENTAS E EPI). </t>
    </r>
    <r>
      <rPr>
        <b/>
        <sz val="11"/>
        <color indexed="8"/>
        <rFont val="Times New Roman"/>
        <family val="1"/>
      </rPr>
      <t>(SUMIDOURO)</t>
    </r>
  </si>
  <si>
    <t>12.005.0135-B</t>
  </si>
  <si>
    <r>
      <t xml:space="preserve">ALVENARIA PARA CAIXAS ENTERRADAS,ATE 1,60M DE PROFUNDIDADE,COM BLOCOS DE CONCRETO DE 20X20X40CM,COM ARGAMASSA DE CIMENTO E AREIA,NO TRACO 1:4 E CONCRETO 20MPA,PARA PREENCHIMENTO DOSFUROS DOS MESMOS,EM PAREDES DE UMA VEZ(0,20M) (OBS.:3%-DESGASTE DE FERRAMENTAS E EPI). </t>
    </r>
    <r>
      <rPr>
        <b/>
        <sz val="11"/>
        <color indexed="8"/>
        <rFont val="Times New Roman"/>
        <family val="1"/>
      </rPr>
      <t>(VISITA)</t>
    </r>
  </si>
  <si>
    <r>
      <t xml:space="preserve">ALVENARIA PARA CAIXAS ENTERRADAS,ATE 3,00M DE PROFUNDIDADE,COM BLOCOS DE CONCRETO DE 20X20X40CM,COM ARGAMASSA DE CIMENTO E AREIA,NO TRACO 1:4 E CONCRETO 20MPA,PARA PREENCHIMENTO DOSFUROS DOS MESMOS,EM PAREDES DE UMA VEZ(0,20M) (OBS.:3%-DESGASTE DE FERRAMENTAS E EPI). </t>
    </r>
    <r>
      <rPr>
        <b/>
        <sz val="11"/>
        <color indexed="8"/>
        <rFont val="Times New Roman"/>
        <family val="1"/>
      </rPr>
      <t>(FILTRO ANAERÓBICO)</t>
    </r>
  </si>
  <si>
    <r>
      <t xml:space="preserve">ALVENARIA PARA CAIXAS ENTERRADAS,ATE 3,00M DE PROFUNDIDADE,COM BLOCOS DE CONCRETO DE 20X20X40CM,COM ARGAMASSA DE CIMENTO E AREIA,NO TRACO 1:4 E CONCRETO 20MPA,PARA PREENCHIMENTO DOSFUROS DOS MESMOS,EM PAREDES DE UMA VEZ(0,20M) (OBS.:3%-DESGASTE DE FERRAMENTAS E EPI). </t>
    </r>
    <r>
      <rPr>
        <b/>
        <sz val="11"/>
        <color indexed="8"/>
        <rFont val="Times New Roman"/>
        <family val="1"/>
      </rPr>
      <t>(FOSSA SEPTICA)</t>
    </r>
  </si>
  <si>
    <t>PLACA FOTOLUMINESCENTE DE SINALIZACAO DE SEGURANCA CONTRA INCENDIO,PARA SAIDA ,EM PVC ANTICHAMA,DIMENSOES A PROXIMADAS DE (20X40)CM, DE ACORDO COM A NORMA NBR 13434-2.FORNECIMENTO E COLOCACAO (OBS.:3%-DESGASTE DE FERRAMENTAS E EPI).</t>
  </si>
  <si>
    <t>17.040.0050-A</t>
  </si>
  <si>
    <t>PINTURA DE SINALIZACAO DE SOLO PARA EQUIPAMENTOS DE COMBATE A INCENDIO (EXTINTORES E HIDRANTES),EM QUADRADOS VERMELHOS D E (0,70X0,70)M E BORDAS AMARELAS DE 0,15M DE LARGURA,CONFORME ABNT NBR 16820 (OBS.:3%-DESGASTE DE FERRAMENTAS E EPI).</t>
  </si>
  <si>
    <t>06029</t>
  </si>
  <si>
    <t>FITA CREPE, EM ROLO DE 25MMX50,00M</t>
  </si>
  <si>
    <t>02992</t>
  </si>
  <si>
    <t>TINTA A BASE DE RESINA ACRILICA, PARA SINALIZACAO HORIZONTAL, P/2 ANOS DE DURACAO, EM BALDES DE 18 LITROS</t>
  </si>
  <si>
    <t>PEITORIL EM GRANITO CINZA ANDORINHA,ESPESSURA DE 2CM,LARGURA DE 45CM,ASSENTADO COM NATA DE CIMENTO SOBRE ARGAMASSA DE CI MENTO,SAIBRO E AREIA,NO TRACO 1:3:3 E REJUNTAMENTO COM CIMENTO BRANCO (OBS.:3%-DESGASTE DE FERRAMENTAS E EPI).</t>
  </si>
  <si>
    <r>
      <t xml:space="preserve">13.348.0055-A </t>
    </r>
    <r>
      <rPr>
        <b/>
        <sz val="11"/>
        <rFont val="Times New Roman"/>
        <family val="1"/>
      </rPr>
      <t>(MODIFICADO)</t>
    </r>
  </si>
  <si>
    <t>5.13</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</si>
  <si>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</si>
  <si>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</si>
  <si>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</si>
  <si>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</si>
  <si>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</si>
  <si>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</si>
  <si>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</si>
  <si>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</si>
  <si>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</si>
  <si>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</si>
  <si>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</si>
  <si>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</si>
  <si>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</si>
  <si>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</si>
  <si>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</si>
  <si>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</si>
  <si>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</si>
  <si>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</si>
  <si>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</si>
  <si>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</si>
  <si>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</si>
  <si>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</si>
  <si>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</si>
  <si>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</si>
  <si>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</si>
  <si>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</si>
  <si>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</si>
  <si>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</si>
  <si>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</si>
  <si>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</si>
  <si>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</si>
  <si>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</si>
  <si>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</si>
  <si>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</si>
  <si>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</si>
  <si>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</si>
  <si>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</si>
  <si>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</si>
  <si>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</si>
  <si>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</si>
  <si>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</si>
  <si>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</si>
  <si>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</si>
  <si>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</si>
  <si>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</si>
  <si>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</si>
  <si>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</si>
  <si>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</si>
  <si>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</si>
  <si>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</si>
  <si>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</si>
  <si>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</si>
  <si>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</si>
  <si>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</si>
  <si>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</si>
  <si>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</si>
  <si>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</si>
  <si>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</si>
  <si>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</si>
  <si>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</si>
  <si>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</si>
  <si>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</si>
  <si>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</si>
  <si>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</si>
  <si>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</si>
  <si>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</si>
  <si>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TOTAL 7.0</t>
  </si>
  <si>
    <t>8.0</t>
  </si>
  <si>
    <t>8.1</t>
  </si>
  <si>
    <t>8.2</t>
  </si>
  <si>
    <t>8.3</t>
  </si>
  <si>
    <t>8.4</t>
  </si>
  <si>
    <t>INSTALAÇÃO ELÉTRICA/TELEFONIA</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</si>
  <si>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</si>
  <si>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</si>
  <si>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</si>
  <si>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</si>
  <si>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</si>
  <si>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</si>
  <si>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</si>
  <si>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</si>
  <si>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</si>
  <si>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</si>
  <si>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</si>
  <si>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</si>
  <si>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</si>
  <si>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</si>
  <si>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</si>
  <si>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</si>
  <si>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</si>
  <si>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</si>
  <si>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</si>
  <si>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</si>
  <si>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</si>
  <si>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</si>
  <si>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</si>
  <si>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</si>
  <si>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</si>
  <si>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</si>
  <si>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</si>
  <si>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</si>
  <si>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</si>
  <si>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</si>
  <si>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</si>
  <si>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</si>
  <si>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</si>
  <si>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</si>
  <si>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</si>
  <si>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</si>
  <si>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</si>
  <si>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</si>
  <si>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</si>
  <si>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TOTAL 8.0</t>
  </si>
  <si>
    <t>9.0</t>
  </si>
  <si>
    <t>9.1</t>
  </si>
  <si>
    <t>TOTAL 9.0</t>
  </si>
  <si>
    <t>10.0</t>
  </si>
  <si>
    <t>10.1</t>
  </si>
  <si>
    <t>10.2</t>
  </si>
  <si>
    <t>10.3</t>
  </si>
  <si>
    <t>10.4</t>
  </si>
  <si>
    <t>10.5</t>
  </si>
  <si>
    <t>10.6</t>
  </si>
  <si>
    <t>10.7</t>
  </si>
  <si>
    <t>11.0</t>
  </si>
  <si>
    <t>11.1</t>
  </si>
  <si>
    <t>11.2</t>
  </si>
  <si>
    <t>11.3</t>
  </si>
  <si>
    <t>11.4</t>
  </si>
  <si>
    <t>11.5</t>
  </si>
  <si>
    <t>11.6</t>
  </si>
  <si>
    <t>TOTAL 11.0</t>
  </si>
  <si>
    <t>12.0</t>
  </si>
  <si>
    <t>12.1</t>
  </si>
  <si>
    <t>12.2</t>
  </si>
  <si>
    <t>12.3</t>
  </si>
  <si>
    <t>12.4</t>
  </si>
  <si>
    <t>12.5</t>
  </si>
  <si>
    <t>12.6</t>
  </si>
  <si>
    <t>TOTAL 12.0</t>
  </si>
  <si>
    <t>13.0</t>
  </si>
  <si>
    <t>13.1</t>
  </si>
  <si>
    <t>13.2</t>
  </si>
  <si>
    <t>TOTAL 13.0</t>
  </si>
  <si>
    <t>14.0</t>
  </si>
  <si>
    <t>14.1</t>
  </si>
  <si>
    <t>02.020.0002-0</t>
  </si>
  <si>
    <t>01967</t>
  </si>
  <si>
    <t>MAO-DE-OBRA DE CARPINTEIRO DE ESQUADRIASDE MADEIRA INCLUSIVE ENCARGOS SOCIAIS</t>
  </si>
  <si>
    <t>02.004.0002-1</t>
  </si>
  <si>
    <t>00350</t>
  </si>
  <si>
    <t>54.001.0178-1 PINUS EM PECAS DE 2,50X22,50CM, (1"X9")</t>
  </si>
  <si>
    <t>06913</t>
  </si>
  <si>
    <t>MAO-DE-OBRA DE SERRALHEIRO DA CONSTRUCAOCIVIL, INCLUSIVE ENCARGOS SOCIAIS</t>
  </si>
  <si>
    <t>01983</t>
  </si>
  <si>
    <t>MAO-DE-OBRA DE ELETRICISTA DE CONSTRUCAOCIVIL, INCLUSIVE ENCARGOS SOCIAIS</t>
  </si>
  <si>
    <t>01993</t>
  </si>
  <si>
    <t>MAO-DE-OBRA DE BOMBEIRO HIDRAULICO DA CONSTRUCAO CIVIL, INCLUSIVE ENCARGOS SOCIAIS</t>
  </si>
  <si>
    <t>00365</t>
  </si>
  <si>
    <t>59.003.0010-1 PINUS,PECA 1" X 12" E 1" X 9"</t>
  </si>
  <si>
    <t>01764</t>
  </si>
  <si>
    <t>11.002.0035-1 LANCAMENTO CONC.S/ARM.2,0M3/H, HORIZ.</t>
  </si>
  <si>
    <t>01633</t>
  </si>
  <si>
    <t>11.001.0001-1 CONCRETO FCK 10MPA</t>
  </si>
  <si>
    <t>01635</t>
  </si>
  <si>
    <t>11.001.0005-1 CONCRETO FCK 15MPA</t>
  </si>
  <si>
    <t>01745</t>
  </si>
  <si>
    <t>11.002.0013-1 PREPARO CONCR. BETON. 320L; 2,0M3/H</t>
  </si>
  <si>
    <t>01653</t>
  </si>
  <si>
    <t>13.301.0080-1 PISO CIMENTADO ESP. 1,5CM</t>
  </si>
  <si>
    <t>02.015.0001-0</t>
  </si>
  <si>
    <t>02082</t>
  </si>
  <si>
    <t>15.071.0012-1 LIGACAO AGUAS PLUVIAIS OU DOMICILIARES</t>
  </si>
  <si>
    <t>01605</t>
  </si>
  <si>
    <t>07.002.0025-1 ARGAMASSA CIM.,AREIA TRACO 1:3,PREPAROMECANICO</t>
  </si>
  <si>
    <t>02.016.0001-0</t>
  </si>
  <si>
    <t>So00000099059</t>
  </si>
  <si>
    <t>So0010567</t>
  </si>
  <si>
    <t>So0007356</t>
  </si>
  <si>
    <t>So0005068</t>
  </si>
  <si>
    <t>So0004433</t>
  </si>
  <si>
    <t>So0004417</t>
  </si>
  <si>
    <t>So00000088262</t>
  </si>
  <si>
    <t>So00000088239</t>
  </si>
  <si>
    <t>So00000099062</t>
  </si>
  <si>
    <t>So00000099062 MARCAÇÃO DE PONTOS EM GABARITO OU CAVALETE. AF_10/2018</t>
  </si>
  <si>
    <t>So00000094974</t>
  </si>
  <si>
    <t>So00000094974 CONCRETO MAGRO PARA LASTRO, TRAÇO 1:4,5:4,5 (EM MASSA SECA DE CIMENTO/ AREIA MÉDIA/ BRITA 1) - PREPARO MANUAL. AF_05/2021</t>
  </si>
  <si>
    <t>So00000091693</t>
  </si>
  <si>
    <t>So00000091693 SERRA CIRCULAR DE BANCADA COM MOTOR ELÉTRICO POTÊNCIA DE 5HP, COM COIFA PARA DISCO 10" - CHI DIURNO. AF_08/2015</t>
  </si>
  <si>
    <t>So00000091692</t>
  </si>
  <si>
    <t>So00000091692 SERRA CIRCULAR DE BANCADA COM MOTOR ELÉTRICO POTÊNCIA DE 5HP, COM COIFA PARA DISCO 10" - CHP DIURNO. AF_08/2015</t>
  </si>
  <si>
    <t>03.009.0005-0</t>
  </si>
  <si>
    <t>02028</t>
  </si>
  <si>
    <t>19.004.0012-4 CAMINHAO BASCUL. NO TOCO, 5M3 (CI)</t>
  </si>
  <si>
    <t>02026</t>
  </si>
  <si>
    <t>19.004.0012-2 CAMINHAO BASCUL. NO TOCO, 5M3 (CP)</t>
  </si>
  <si>
    <t>03.001.0001-1</t>
  </si>
  <si>
    <t>So00000100576</t>
  </si>
  <si>
    <t>So00000093244</t>
  </si>
  <si>
    <t>So00000093244 ROLO COMPACTADOR VIBRATÓRIO PÉ DE CARNEIRO PARA SOLOS, POTÊNCIA 80 HP, PESO OPERACIONAL SEM/COM LASTRO 7,4 / 8,8 T, LARGURA DE TRABALHO 1,68 M - CHI DIURNO. AF_02/2016</t>
  </si>
  <si>
    <t>So00000073436</t>
  </si>
  <si>
    <t>So00000073436 ROLO COMPACTADOR VIBRATÓRIO PÉ DE CARNEIRO PARA SOLOS, POTÊNCIA 80 HP, PESO OPERACIONAL SEM/COM LASTRO 7,4 / 8,8 T, LARGURA DE TRABALHO 1,68 M - CHP DIURNO. AF_02/2016</t>
  </si>
  <si>
    <t>So00000096995</t>
  </si>
  <si>
    <t>So0043132</t>
  </si>
  <si>
    <t>So0039017</t>
  </si>
  <si>
    <t>So00000088245</t>
  </si>
  <si>
    <t>So00000088238</t>
  </si>
  <si>
    <t>So00000092791</t>
  </si>
  <si>
    <t>So00000092791 CORTE E DOBRA DE AÇO CA-60, DIÂMETRO DE 5,0 MM, UTILIZADO EM ESTRUTURAS DIVERSAS, EXCETO LAJES. AF_12/2015</t>
  </si>
  <si>
    <r>
      <t xml:space="preserve">So00000096543 </t>
    </r>
    <r>
      <rPr>
        <b/>
        <sz val="11"/>
        <rFont val="Times New Roman"/>
        <family val="1"/>
      </rPr>
      <t>(COMPOSIÇÃO)</t>
    </r>
  </si>
  <si>
    <t>So00000092794</t>
  </si>
  <si>
    <t>So00000092794 CORTE E DOBRA DE AÇO CA-50, DIÂMETRO DE 10,0 MM, UTILIZADO EM ESTRUTURAS DIVERSAS, EXCETO LAJES. AF_12/2015</t>
  </si>
  <si>
    <t>So00000092795</t>
  </si>
  <si>
    <t>So00000092795 CORTE E DOBRA DE AÇO CA-50, DIÂMETRO DE 12,5 MM, UTILIZADO EM ESTRUTURAS DIVERSAS, EXCETO LAJES. AF_12/2015</t>
  </si>
  <si>
    <r>
      <t xml:space="preserve">So00000096546 </t>
    </r>
    <r>
      <rPr>
        <b/>
        <sz val="11"/>
        <rFont val="Times New Roman"/>
        <family val="1"/>
      </rPr>
      <t>(COMPOSIÇÃO)</t>
    </r>
  </si>
  <si>
    <r>
      <t xml:space="preserve">So00000096547 </t>
    </r>
    <r>
      <rPr>
        <b/>
        <sz val="11"/>
        <rFont val="Times New Roman"/>
        <family val="1"/>
      </rPr>
      <t>(COMPOSIÇÃO)</t>
    </r>
  </si>
  <si>
    <r>
      <t xml:space="preserve">So00000092775 </t>
    </r>
    <r>
      <rPr>
        <b/>
        <sz val="11"/>
        <rFont val="Times New Roman"/>
        <family val="1"/>
      </rPr>
      <t>(COMPOSIÇÃO)</t>
    </r>
  </si>
  <si>
    <t>So00000092792</t>
  </si>
  <si>
    <t>So00000092792 CORTE E DOBRA DE AÇO CA-50, DIÂMETRO DE 6,3 MM, UTILIZADO EM ESTRUTURAS DIVERSAS, EXCETO LAJES. AF_12/2015</t>
  </si>
  <si>
    <r>
      <t xml:space="preserve">ARMAÇÃO DE PILAR OU VIGA DE UMA ESTRUTURA CONVENCIONAL DE CONCRETO ARMADO EM UMA EDIFICAÇÃO TÉRREA OU SOBRADO UTILIZANDO AÇO CA-50 DE 6,3 MM - MONTAGEM. AF_12/2015 </t>
    </r>
    <r>
      <rPr>
        <b/>
        <sz val="11"/>
        <color indexed="8"/>
        <rFont val="Times New Roman"/>
        <family val="1"/>
      </rPr>
      <t>(VIGAS E PILARES)</t>
    </r>
  </si>
  <si>
    <r>
      <t xml:space="preserve">So00000092776 </t>
    </r>
    <r>
      <rPr>
        <b/>
        <sz val="11"/>
        <rFont val="Times New Roman"/>
        <family val="1"/>
      </rPr>
      <t>(COMPOSIÇÃO)</t>
    </r>
  </si>
  <si>
    <r>
      <t xml:space="preserve">SI00000092776 </t>
    </r>
    <r>
      <rPr>
        <b/>
        <sz val="11"/>
        <rFont val="Times New Roman"/>
        <family val="1"/>
      </rPr>
      <t>(COMPOSIÇÃO)</t>
    </r>
  </si>
  <si>
    <t>So00000092793</t>
  </si>
  <si>
    <t>So00000092793 CORTE E DOBRA DE AÇO CA-50, DIÂMETRO DE 8,0 MM, UTILIZADO EM ESTRUTURAS DIVERSAS, EXCETO LAJES. AF_12/2015</t>
  </si>
  <si>
    <r>
      <t xml:space="preserve">ARMAÇÃO DE PILAR OU VIGA DE UMA ESTRUTURA CONVENCIONAL DE CONCRETO ARMADO EM UMA EDIFICAÇÃO TÉRREA OU SOBRADO UTILIZANDO AÇO CA-50 DE 8,0 MM - MONTAGEM. AF_12/2015 </t>
    </r>
    <r>
      <rPr>
        <b/>
        <sz val="11"/>
        <color indexed="8"/>
        <rFont val="Times New Roman"/>
        <family val="1"/>
      </rPr>
      <t>(VIGAS E PILARES)</t>
    </r>
  </si>
  <si>
    <r>
      <t xml:space="preserve">So00000092777 </t>
    </r>
    <r>
      <rPr>
        <b/>
        <sz val="11"/>
        <rFont val="Times New Roman"/>
        <family val="1"/>
      </rPr>
      <t>(COMPOSIÇÃO)</t>
    </r>
  </si>
  <si>
    <r>
      <t xml:space="preserve">ARMAÇÃO DE PILAR OU VIGA DE UMA ESTRUTURA CONVENCIONAL DE CONCRETO ARMADO EM UMA EDIFICAÇÃO TÉRREA OU SOBRADO UTILIZANDO AÇO CA-50 DE 10,0 MM - MONTAGEM. AF_12/2015 </t>
    </r>
    <r>
      <rPr>
        <b/>
        <sz val="11"/>
        <color indexed="8"/>
        <rFont val="Times New Roman"/>
        <family val="1"/>
      </rPr>
      <t>(VIGAS E PILARES)</t>
    </r>
  </si>
  <si>
    <r>
      <t xml:space="preserve">So00000092778 </t>
    </r>
    <r>
      <rPr>
        <b/>
        <sz val="11"/>
        <rFont val="Times New Roman"/>
        <family val="1"/>
      </rPr>
      <t>(COMPOSIÇÃO)</t>
    </r>
  </si>
  <si>
    <r>
      <t xml:space="preserve">SI00000092777 </t>
    </r>
    <r>
      <rPr>
        <b/>
        <sz val="11"/>
        <rFont val="Times New Roman"/>
        <family val="1"/>
      </rPr>
      <t>(COMPOSIÇÃO)</t>
    </r>
  </si>
  <si>
    <r>
      <t xml:space="preserve">SI00000092778 </t>
    </r>
    <r>
      <rPr>
        <b/>
        <sz val="11"/>
        <rFont val="Times New Roman"/>
        <family val="1"/>
      </rPr>
      <t>(COMPOSIÇÃO)</t>
    </r>
  </si>
  <si>
    <r>
      <t xml:space="preserve">SI00000092779 </t>
    </r>
    <r>
      <rPr>
        <b/>
        <sz val="11"/>
        <rFont val="Times New Roman"/>
        <family val="1"/>
      </rPr>
      <t>(COMPOSIÇÃO)</t>
    </r>
  </si>
  <si>
    <t>So00000092779</t>
  </si>
  <si>
    <t>ARMAÇÃO DE PILAR OU VIGA DE UMA ESTRUTURA CONVENCIONAL DE CONCRETO ARMADO EM UMA EDIFICAÇÃO TÉRREA OU SOBRADO UTILIZANDO AÇO CA-50 DE 12,5 MM - MONTAGEM. AF_12/2015</t>
  </si>
  <si>
    <t>So00000092801</t>
  </si>
  <si>
    <t>So0000032</t>
  </si>
  <si>
    <t>So00000092802</t>
  </si>
  <si>
    <t>So0000033</t>
  </si>
  <si>
    <t>So00000092803</t>
  </si>
  <si>
    <t>So0000034</t>
  </si>
  <si>
    <t>So00000092800</t>
  </si>
  <si>
    <t>So0043059</t>
  </si>
  <si>
    <t>So00000092723</t>
  </si>
  <si>
    <t>So0001524</t>
  </si>
  <si>
    <t>So00000088309</t>
  </si>
  <si>
    <t>So00000090587</t>
  </si>
  <si>
    <t>So00000090587 VIBRADOR DE IMERSÃO, DIÂMETRO DE PONTEIRA 45MM, MOTOR ELÉTRICO TRIFÁSICO POTÊNCIA DE 2 CV - CHI DIURNO. AF_06/2015</t>
  </si>
  <si>
    <t>So00000090586</t>
  </si>
  <si>
    <t>So00000090586 VIBRADOR DE IMERSÃO, DIÂMETRO DE PONTEIRA 45MM, MOTOR ELÉTRICO TRIFÁSICO POTÊNCIA DE 2 CV - CHP DIURNO. AF_06/2015</t>
  </si>
  <si>
    <t>So00000092720</t>
  </si>
  <si>
    <t>So0001527</t>
  </si>
  <si>
    <t>So00000096558</t>
  </si>
  <si>
    <t>So0001525</t>
  </si>
  <si>
    <t>11.004.0021-1</t>
  </si>
  <si>
    <t>01990</t>
  </si>
  <si>
    <t>MAO-DE-OBRA DE CARPINTEIRO DE FORMA DE CONCRETO, INCLUSIVE ENCARGOS SOCIAIS</t>
  </si>
  <si>
    <t>01787</t>
  </si>
  <si>
    <t>17.025.0040-1 PINTURA C/EMULSAO OLEOSA</t>
  </si>
  <si>
    <t>12.003.0075-1</t>
  </si>
  <si>
    <t>01613</t>
  </si>
  <si>
    <t>07.006.0025-1 ARGAMASSA CIM.,SAIBRO TRACO 1:8,PREPAROMECANICO</t>
  </si>
  <si>
    <t>12.003.0055-0</t>
  </si>
  <si>
    <t>So00000093201</t>
  </si>
  <si>
    <t>So00000087294</t>
  </si>
  <si>
    <t>So00000087294 ARGAMASSA TRAÇO 1:2:9 (EM VOLUME DE CIMENTO, CAL E AREIA MÉDIA ÚMIDA) PARA EMBOÇO/MASSA ÚNICA/ASSENTAMENTO DE ALVENARIA DE VEDAÇÃO, PREPARO MECÂNICO COM BETONEIRA 600 L. AF_08/2019</t>
  </si>
  <si>
    <t>12.035.0001-0</t>
  </si>
  <si>
    <t>13.001.0026-0</t>
  </si>
  <si>
    <t>03084</t>
  </si>
  <si>
    <t>13.001.0010-1 CHAPISCO SUPERF. CONCR./ALVEN.,COM ARGAMASSA DE CIMENTO E AREIA NO TRACO 1:3</t>
  </si>
  <si>
    <t>So0000665</t>
  </si>
  <si>
    <t>So00000100489</t>
  </si>
  <si>
    <t>So00000100489 ARGAMASSA TRAÇO 1:3 (EM VOLUME DE CIMENTO E AREIA MÉDIA ÚMIDA), PREPARO MECÂNICO COM BETONEIRA 600 L. AF_08/2019</t>
  </si>
  <si>
    <r>
      <t xml:space="preserve">So00000101161 </t>
    </r>
    <r>
      <rPr>
        <b/>
        <sz val="11"/>
        <rFont val="Times New Roman"/>
        <family val="1"/>
      </rPr>
      <t>(COMPOSIÇÃO)</t>
    </r>
  </si>
  <si>
    <t>So00000087630</t>
  </si>
  <si>
    <t>So0007334</t>
  </si>
  <si>
    <t>So0001379</t>
  </si>
  <si>
    <t>So00000087301</t>
  </si>
  <si>
    <t>So00000087301 ARGAMASSA TRAÇO 1:4 (EM VOLUME DE CIMENTO E AREIA MÉDIA ÚMIDA) PARA CONTRAPISO, PREPARO MECÂNICO COM BETONEIRA 400 L. AF_08/2019</t>
  </si>
  <si>
    <t>So0034357</t>
  </si>
  <si>
    <t>So0001381</t>
  </si>
  <si>
    <t>So0000536</t>
  </si>
  <si>
    <t>So00000088256</t>
  </si>
  <si>
    <r>
      <rPr>
        <sz val="11"/>
        <rFont val="Times New Roman"/>
        <family val="1"/>
      </rPr>
      <t xml:space="preserve">So00000087270 </t>
    </r>
    <r>
      <rPr>
        <b/>
        <sz val="11"/>
        <rFont val="Times New Roman"/>
        <family val="1"/>
      </rPr>
      <t>(COMPOSIÇÃO)</t>
    </r>
  </si>
  <si>
    <t>13.030.0257-0</t>
  </si>
  <si>
    <t>01978</t>
  </si>
  <si>
    <t>MAO-DE-OBRA DE LADRILHEIRO, INCLUSIVE ENCARGOS SOCIAIS</t>
  </si>
  <si>
    <t>So0001287</t>
  </si>
  <si>
    <t>REVESTIMENTO CERÂMICO PARA PISO COM PLACAS TIPO ESMALTADA EXTRA DE DIMENSÕES (40X40) CM APLICADA EM AMBIENTES DE ÁREA MENOR QUE 5 M2. AF_06/2014</t>
  </si>
  <si>
    <r>
      <t xml:space="preserve">So00000087246 </t>
    </r>
    <r>
      <rPr>
        <b/>
        <sz val="11"/>
        <rFont val="Times New Roman"/>
        <family val="1"/>
      </rPr>
      <t>(COMPOSIÇÃO)</t>
    </r>
  </si>
  <si>
    <t>11.013.0009-0</t>
  </si>
  <si>
    <t>01998</t>
  </si>
  <si>
    <t>MAO-DE-OBRA DE ARMADOR DE CONCRETO ARMADO, INCLUSIVE ENCARGOS SOCIAIS</t>
  </si>
  <si>
    <t>01751</t>
  </si>
  <si>
    <t>11.002.0022-1 LANCAMENTO CONC.C/ARM.3,5M3/H,HORIZ/VERT</t>
  </si>
  <si>
    <t>01744</t>
  </si>
  <si>
    <t>11.002.0012-1 PREPARO CONCR. BETON. 600L; 3,5 M3/H</t>
  </si>
  <si>
    <t>01644</t>
  </si>
  <si>
    <t>11.008.0004-1 BARRA ACO CA-25 DIAM. MAIOR/IGUAL 10MM</t>
  </si>
  <si>
    <t>00370</t>
  </si>
  <si>
    <t>55.001.0011-1 PINUS, PECA 2,5 X 5CM</t>
  </si>
  <si>
    <t>13.380.0013-0</t>
  </si>
  <si>
    <t>01976</t>
  </si>
  <si>
    <t>MAO-DE-OBRA DE MARMORISTA DE MARMORE E GRANITO, INCLUSIVE ENCARGOS SOCIAIS</t>
  </si>
  <si>
    <t>05.001.0850-0</t>
  </si>
  <si>
    <t>02030</t>
  </si>
  <si>
    <t>19.006.0050-4 MAQUINA POLIDORA 4HP (CI)</t>
  </si>
  <si>
    <t>02029</t>
  </si>
  <si>
    <t>19.006.0050-2 MAQUINA POLIDORA 4HP (CP)</t>
  </si>
  <si>
    <t>13.301.0081-0</t>
  </si>
  <si>
    <t>13.348.0075-0</t>
  </si>
  <si>
    <t>01624</t>
  </si>
  <si>
    <t>07.007.0010-1 ARGAMASSA CIM.,SAIBRO,AREIA 1:2:2,PREPARO MECANICO</t>
  </si>
  <si>
    <r>
      <t xml:space="preserve">13.348.0075-0 </t>
    </r>
    <r>
      <rPr>
        <b/>
        <sz val="11"/>
        <rFont val="Times New Roman"/>
        <family val="1"/>
      </rPr>
      <t>(COMPOSIÇÃO)</t>
    </r>
  </si>
  <si>
    <t>SOLEIRA GRANITO CINZA ANDORINHA, 17X2CM,COM 2 POLIMENTOS</t>
  </si>
  <si>
    <t>13.348.0050-0</t>
  </si>
  <si>
    <t>03429</t>
  </si>
  <si>
    <t>07.001.0130-1 ARGAMASSA CIM.,SAIBRO,AREIA 1:3:3,PREPARO MANUAL</t>
  </si>
  <si>
    <t>03077</t>
  </si>
  <si>
    <t>07.001.0010-1 PASTA DE CIMENTO COMUM</t>
  </si>
  <si>
    <t>13.348.0055-0</t>
  </si>
  <si>
    <t>PEITORIL EM GRANITO CINZA ANDORINHA,ESPESSURA DE 2CM,LARGURA DE 28CM,ASSENTADO COM NATA DE CIMENTO SOBRE ARGAMASSA DE CI MENTO,SAIBRO E AREIA,NO TRACO 1:3:3 E REJUNTAMENTO COM CIMENTO BRANCO (OBS.:3%-DESGASTE DE FERRAMENTAS E EPI).</t>
  </si>
  <si>
    <t>13.333.0010-0</t>
  </si>
  <si>
    <t>13.416.0010-0</t>
  </si>
  <si>
    <t>13.416.0015-0</t>
  </si>
  <si>
    <t>20.115.0015-0</t>
  </si>
  <si>
    <t>So00000090822</t>
  </si>
  <si>
    <t>So0011055</t>
  </si>
  <si>
    <t>So0010555</t>
  </si>
  <si>
    <t>So0002432</t>
  </si>
  <si>
    <t>So00000088261</t>
  </si>
  <si>
    <t>So00000090820</t>
  </si>
  <si>
    <t>So0010553</t>
  </si>
  <si>
    <t>So00000100866</t>
  </si>
  <si>
    <t>So0036204</t>
  </si>
  <si>
    <t>So0004351</t>
  </si>
  <si>
    <t>So00000088267</t>
  </si>
  <si>
    <t>So00000090822 + So00000100866 (COMPOSIÇÃO)</t>
  </si>
  <si>
    <t>14.008.0095-0</t>
  </si>
  <si>
    <t>PORTA DE MADEIRA, LISA, COMPENSADO,DE 60X210X3CM, REVESTIDA DE CHAPA DE LAMINADO MELAMINICO, 1MM DE ESPESSURA, EXCLUSIVE ADUELA,ALIZAR E FERRAGENS.FORNECIMENTO E COLOCACAO (OBS.:3%-DESGASTE DE FERRAMENTAS E EPI).</t>
  </si>
  <si>
    <t>02095</t>
  </si>
  <si>
    <t>13.200.0015-1 REVESTIMENTO CHAPA LAMIN. ESP. 1MM</t>
  </si>
  <si>
    <t>14.007.0258-0</t>
  </si>
  <si>
    <t>So00000091305</t>
  </si>
  <si>
    <t>So0003097</t>
  </si>
  <si>
    <t>So00000091341</t>
  </si>
  <si>
    <t>So0039025</t>
  </si>
  <si>
    <t>So0036888</t>
  </si>
  <si>
    <t>So0007568</t>
  </si>
  <si>
    <t>So0000142</t>
  </si>
  <si>
    <t>14.003.0076-0</t>
  </si>
  <si>
    <t>14.003.0061-0</t>
  </si>
  <si>
    <t>14.003.0025-0</t>
  </si>
  <si>
    <t>14.003.0028-0</t>
  </si>
  <si>
    <t>14.003.0020-0</t>
  </si>
  <si>
    <t>05.005.0054-0</t>
  </si>
  <si>
    <t>So00000102179</t>
  </si>
  <si>
    <t>So0039961</t>
  </si>
  <si>
    <t>So0039432</t>
  </si>
  <si>
    <t>So0034360</t>
  </si>
  <si>
    <t>So0011950</t>
  </si>
  <si>
    <t>So0010505</t>
  </si>
  <si>
    <t>So00000088325</t>
  </si>
  <si>
    <t>14.004.0100-0</t>
  </si>
  <si>
    <t>17.018.0060-0</t>
  </si>
  <si>
    <t>01966</t>
  </si>
  <si>
    <t>MAO-DE-OBRA DE PINTOR, INCLUSIVE ENCARGOS SOCIAIS</t>
  </si>
  <si>
    <t>So00000088489</t>
  </si>
  <si>
    <t>So00000088310</t>
  </si>
  <si>
    <t>So00000088488</t>
  </si>
  <si>
    <t>So00000102208</t>
  </si>
  <si>
    <t>So0007288</t>
  </si>
  <si>
    <t>So0005318</t>
  </si>
  <si>
    <t>6.3</t>
  </si>
  <si>
    <t>So00000094494</t>
  </si>
  <si>
    <t>So0006016</t>
  </si>
  <si>
    <t>So0003148</t>
  </si>
  <si>
    <t>So00000088248</t>
  </si>
  <si>
    <t>So00000094495</t>
  </si>
  <si>
    <t>So0006019</t>
  </si>
  <si>
    <t>So00000094498</t>
  </si>
  <si>
    <t>So0006028</t>
  </si>
  <si>
    <t>So00000094499</t>
  </si>
  <si>
    <t>So0006011</t>
  </si>
  <si>
    <t>So00000089987</t>
  </si>
  <si>
    <t>So0006005</t>
  </si>
  <si>
    <t>18.013.0156-0</t>
  </si>
  <si>
    <t>15.030.0084-0</t>
  </si>
  <si>
    <t>15.036.0037-0</t>
  </si>
  <si>
    <t>15.036.0038-0</t>
  </si>
  <si>
    <t>15.036.0039-0</t>
  </si>
  <si>
    <t>06.270.0001-0</t>
  </si>
  <si>
    <t>0036376</t>
  </si>
  <si>
    <t>TUBO PVC PBA JEI, CLASSE 15, DN 75 MM, PARA REDE DE AGUA (NBR 5647)</t>
  </si>
  <si>
    <r>
      <t xml:space="preserve">06.270.0001-0 </t>
    </r>
    <r>
      <rPr>
        <b/>
        <sz val="11"/>
        <rFont val="Times New Roman"/>
        <family val="1"/>
      </rPr>
      <t>(MODIFICADO)</t>
    </r>
  </si>
  <si>
    <t>06.270.0002-0</t>
  </si>
  <si>
    <t>So00000099635</t>
  </si>
  <si>
    <t>So0010228</t>
  </si>
  <si>
    <t>So00000094796</t>
  </si>
  <si>
    <t>So0011830</t>
  </si>
  <si>
    <t>18.013.0143-0</t>
  </si>
  <si>
    <r>
      <t xml:space="preserve">So00000092335 </t>
    </r>
    <r>
      <rPr>
        <b/>
        <sz val="11"/>
        <rFont val="Times New Roman"/>
        <family val="1"/>
      </rPr>
      <t>(COMPOSIÇÃO)</t>
    </r>
  </si>
  <si>
    <t>So0007697</t>
  </si>
  <si>
    <t>So0007698</t>
  </si>
  <si>
    <t>18.029.0012-0</t>
  </si>
  <si>
    <t>So0009830</t>
  </si>
  <si>
    <t>So00000088246</t>
  </si>
  <si>
    <r>
      <t xml:space="preserve">So00000090740 </t>
    </r>
    <r>
      <rPr>
        <b/>
        <sz val="11"/>
        <rFont val="Times New Roman"/>
        <family val="1"/>
      </rPr>
      <t>(COMPOSIÇÃO)</t>
    </r>
  </si>
  <si>
    <t>So00000090694</t>
  </si>
  <si>
    <t>So0036365</t>
  </si>
  <si>
    <t>So0020078</t>
  </si>
  <si>
    <t>So00000090695</t>
  </si>
  <si>
    <t>So0041936</t>
  </si>
  <si>
    <t>So00000090696</t>
  </si>
  <si>
    <t>So0041930</t>
  </si>
  <si>
    <t>15.003.0192-0</t>
  </si>
  <si>
    <t>So00000097906</t>
  </si>
  <si>
    <t>So0000650</t>
  </si>
  <si>
    <t>So00000101616</t>
  </si>
  <si>
    <t>So00000101616 PREPARO DE FUNDO DE VALA COM LARGURA MENOR QUE 1,5 M (ACERTO DO SOLO NATURAL). AF_08/2020</t>
  </si>
  <si>
    <t>So00000100475</t>
  </si>
  <si>
    <t>So00000100475 ARGAMASSA TRAÇO 1:3 (EM VOLUME DE CIMENTO E AREIA MÉDIA ÚMIDA) COM ADIÇÃO DE IMPERMEABILIZANTE, PREPARO MECÂNICO COM BETONEIRA 400 L. AF_08/2019</t>
  </si>
  <si>
    <t>So00000097735</t>
  </si>
  <si>
    <t>So00000097735 PEÇA RETANGULAR PRÉ-MOLDADA, VOLUME DE CONCRETO DE 30 A 100 LITROS, TAXA DE AÇO APROXIMADA DE 30KG/M³. AF_01/2018</t>
  </si>
  <si>
    <t>So00000094970</t>
  </si>
  <si>
    <t>So00000094970 CONCRETO FCK = 20MPA, TRAÇO 1:2,7:3 (EM MASSA SECA DE CIMENTO/ AREIA MÉDIA/ BRITA 1) - PREPARO MECÂNICO COM BETONEIRA 600 L. AF_05/2021</t>
  </si>
  <si>
    <t>So00000087316</t>
  </si>
  <si>
    <t>So00000087316 ARGAMASSA TRAÇO 1:4 (EM VOLUME DE CIMENTO E AREIA GROSSA ÚMIDA) PARA CHAPISCO CONVENCIONAL, PREPARO MECÂNICO COM BETONEIRA 400 L. AF_08/2019</t>
  </si>
  <si>
    <t>So00000005679</t>
  </si>
  <si>
    <t>So00000005679 RETROESCAVADEIRA SOBRE RODAS COM CARREGADEIRA, TRAÇÃO 4X4, POTÊNCIA LÍQ. 88 HP, CAÇAMBA CARREG. CAP. MÍN. 1 M3, CAÇAMBA RETRO CAP. 0,26 M3, PESO OPERACIONAL MÍN. 6.674 KG, PROFUNDIDADE ESCAVAÇÃO MÁX. 4,37 M - CHI DIURNO. AF_06/2014</t>
  </si>
  <si>
    <t>So00000005678</t>
  </si>
  <si>
    <t>So00000005678 RETROESCAVADEIRA SOBRE RODAS COM CARREGADEIRA, TRAÇÃO 4X4, POTÊNCIA LÍQ. 88 HP, CAÇAMBA CARREG. CAP. MÍN. 1 M3, CAÇAMBA RETRO CAP. 0,26 M3, PESO OPERACIONAL MÍN. 6.674 KG, PROFUNDIDADE ESCAVAÇÃO MÁX. 4,37 M - CHP DIURNO. AF_06/2014</t>
  </si>
  <si>
    <t>20.028.0020-0</t>
  </si>
  <si>
    <t>03059</t>
  </si>
  <si>
    <t>11.002.0043-1 LANCAMENTO CONC.C/ARM. 2,0M3/H, HORIZ.</t>
  </si>
  <si>
    <t>03053</t>
  </si>
  <si>
    <t>11.011.0030-1 CORTE ACO CA-50B DIAM.ENTRE 8MM A 12,5MM</t>
  </si>
  <si>
    <t>03050</t>
  </si>
  <si>
    <t>11.009.0014-1 BARRA ACO CA-50,DIAM.DE 8 A 12,5MM</t>
  </si>
  <si>
    <t>01640</t>
  </si>
  <si>
    <t>11.004.0021-1 FORMAS MADEIRA PARAM. PLANOS, 2 VEZES</t>
  </si>
  <si>
    <t>So00000097905</t>
  </si>
  <si>
    <t>So00000097734</t>
  </si>
  <si>
    <t>So00000097734 PEÇA RETANGULAR PRÉ-MOLDADA, VOLUME DE CONCRETO DE 10 A 30 LITROS, TAXA DE AÇO APROXIMADA DE 30KG/M³. AF_01/2018</t>
  </si>
  <si>
    <t>So0011245</t>
  </si>
  <si>
    <r>
      <t xml:space="preserve">So00000083716 </t>
    </r>
    <r>
      <rPr>
        <b/>
        <sz val="11"/>
        <rFont val="Times New Roman"/>
        <family val="1"/>
      </rPr>
      <t>(MODIFICADO)</t>
    </r>
  </si>
  <si>
    <t>ARGAMASSA TRAÇO 1:4 (EM VOLUME DE CIMENTO E AREIA GROSSA ÚMIDA) PARA CHAPISCO CONVENCIONAL, PREPARO MECÂNICO COM BETONEIRA 400 L. AF_08/2019</t>
  </si>
  <si>
    <t>So00000097882</t>
  </si>
  <si>
    <t>CAIXA ENTERRADA ELÉTRICA RETANGULAR, EM CONCRETO PRÉ-MOLDADO, FUNDO COM BRITA, DIMENSÕES INTERNAS: 0,4X0,4X0,4 M. AF_12/2020</t>
  </si>
  <si>
    <t>So0043430</t>
  </si>
  <si>
    <t>So00000101619</t>
  </si>
  <si>
    <t>So00000101619 PREPARO DE FUNDO DE VALA COM LARGURA MENOR QUE 1,5 M, COM CAMADA DE BRITA, LANÇAMENTO MANUAL. AF_08/2020</t>
  </si>
  <si>
    <t>So00000097974</t>
  </si>
  <si>
    <t>So0043441</t>
  </si>
  <si>
    <t>So0043423</t>
  </si>
  <si>
    <t>So0007258</t>
  </si>
  <si>
    <t>So00000101625</t>
  </si>
  <si>
    <t>So00000101625 PREPARO DE FUNDO DE VALA COM LARGURA MAIOR OU IGUAL A 1,5 M E MENOR QUE 2,5 M, COM CAMADA DE AREIA, LANÇAMENTO MECANIZADO. AF_08/2020</t>
  </si>
  <si>
    <t>So00000097738</t>
  </si>
  <si>
    <t>So00000097738 PEÇA CIRCULAR PRÉ-MOLDADA, VOLUME DE CONCRETO DE 10 A 30 LITROS, TAXA DE FIBRA DE POLIPROPILENO APROXIMADA DE 6 KG/M³. AF_01/2018_P</t>
  </si>
  <si>
    <t>So00000098114</t>
  </si>
  <si>
    <t>So0011301</t>
  </si>
  <si>
    <t>15.004.0500-0</t>
  </si>
  <si>
    <t>03032</t>
  </si>
  <si>
    <t>03.001.0001-1 ESCAVACAO MAN. 1¦CAT., ATE 1,50M</t>
  </si>
  <si>
    <t>01647</t>
  </si>
  <si>
    <t>11.003.0001-1 CONCRETO FCK 10MPA INCL. MAT.,PREP.,LANC</t>
  </si>
  <si>
    <t>So00000089482</t>
  </si>
  <si>
    <t>So0038383</t>
  </si>
  <si>
    <t>So0020085</t>
  </si>
  <si>
    <t>So0020083</t>
  </si>
  <si>
    <t>So0005103</t>
  </si>
  <si>
    <t>So0000122</t>
  </si>
  <si>
    <t>So00000089491</t>
  </si>
  <si>
    <t>So0011714</t>
  </si>
  <si>
    <t>So0000298</t>
  </si>
  <si>
    <t>So00000089495</t>
  </si>
  <si>
    <t>So0011741</t>
  </si>
  <si>
    <t>So00000089798</t>
  </si>
  <si>
    <t>So0009838</t>
  </si>
  <si>
    <t>So00000089799</t>
  </si>
  <si>
    <t>So0009837</t>
  </si>
  <si>
    <t>So00000091792</t>
  </si>
  <si>
    <t>So00000091190</t>
  </si>
  <si>
    <t>So00000091190 CHUMBAMENTO PONTUAL EM PASSAGEM DE TUBO COM DIÂMETRO MENOR OU IGUAL A 40 MM. AF_05/2015</t>
  </si>
  <si>
    <t>So00000091185</t>
  </si>
  <si>
    <t>So00000091185 FIXAÇÃO DE TUBOS HORIZONTAIS DE PVC, CPVC OU COBRE DIÂMETROS MENORES OU IGUAIS A 40 MM COM ABRAÇADEIRA METÁLICA FLEXÍVEL 18 MM, FIXADA DIRETAMENTE NA LAJE. AF_05/2015</t>
  </si>
  <si>
    <t>So00000090466</t>
  </si>
  <si>
    <t>So00000090466 CHUMBAMENTO LINEAR EM ALVENARIA PARA RAMAIS/DISTRIBUIÇÃO COM DIÂMETROS MENORES OU IGUAIS A 40 MM. AF_05/2015</t>
  </si>
  <si>
    <t>So00000090453</t>
  </si>
  <si>
    <t>So00000090453 PASSANTE TIPO TUBO DE DIÂMETRO MENOR OU IGUAL A 40 MM, FIXADO EM LAJE. AF_05/2015</t>
  </si>
  <si>
    <t>So00000090443</t>
  </si>
  <si>
    <t>So00000090443 RASGO EM ALVENARIA PARA RAMAIS/ DISTRIBUIÇÃO COM DIAMETROS MENORES OU IGUAIS A 40 MM. AF_05/2015</t>
  </si>
  <si>
    <t>So00000090436</t>
  </si>
  <si>
    <t>So00000090436 FURO EM ALVENARIA PARA DIÂMETROS MENORES OU IGUAIS A 40 MM. AF_05/2015</t>
  </si>
  <si>
    <t>So00000089783</t>
  </si>
  <si>
    <t>So00000089783 JUNÇÃO SIMPLES, PVC, SERIE NORMAL, ESGOTO PREDIAL, DN 40 MM, JUNTA SOLDÁVEL, FORNECIDO E INSTALADO EM RAMAL DE DESCARGA OU RAMAL DE ESGOTO SANITÁRIO. AF_12/2014</t>
  </si>
  <si>
    <t>So00000089752</t>
  </si>
  <si>
    <t>So00000089752 LUVA SIMPLES, PVC, SERIE NORMAL, ESGOTO PREDIAL, DN 40 MM, JUNTA SOLDÁVEL, FORNECIDO E INSTALADO EM RAMAL DE DESCARGA OU RAMAL DE ESGOTO SANITÁRIO. AF_12/2014</t>
  </si>
  <si>
    <t>So00000089726</t>
  </si>
  <si>
    <t>So00000089726 JOELHO 45 GRAUS, PVC, SERIE NORMAL, ESGOTO PREDIAL, DN 40 MM, JUNTA SOLDÁVEL, FORNECIDO E INSTALADO EM RAMAL DE DESCARGA OU RAMAL DE ESGOTO SANITÁRIO. AF_12/2014</t>
  </si>
  <si>
    <t>So00000089724</t>
  </si>
  <si>
    <t>So00000089724 JOELHO 90 GRAUS, PVC, SERIE NORMAL, ESGOTO PREDIAL, DN 40 MM, JUNTA SOLDÁVEL, FORNECIDO E INSTALADO EM RAMAL DE DESCARGA OU RAMAL DE ESGOTO SANITÁRIO. AF_12/2014</t>
  </si>
  <si>
    <t>So00000089711</t>
  </si>
  <si>
    <t>So00000089711 TUBO PVC, SERIE NORMAL, ESGOTO PREDIAL, DN 40 MM, FORNECIDO E INSTALADO EM RAMAL DE DESCARGA OU RAMAL DE ESGOTO SANITÁRIO. AF_12/2014</t>
  </si>
  <si>
    <t>So00000091793</t>
  </si>
  <si>
    <t>So00000091222</t>
  </si>
  <si>
    <t>So00000091222 RASGO EM ALVENARIA PARA RAMAIS/ DISTRIBUIÇÃO COM DIÂMETROS MAIORES QUE 40 MM E MENORES OU IGUAIS A 75 MM. AF_05/2015</t>
  </si>
  <si>
    <t>So00000091191</t>
  </si>
  <si>
    <t>So00000091191 CHUMBAMENTO PONTUAL EM PASSAGEM DE TUBO COM DIÂMETROS ENTRE 40 MM E 75 MM. AF_05/2015</t>
  </si>
  <si>
    <t>So00000091186</t>
  </si>
  <si>
    <t>So00000091186 FIXAÇÃO DE TUBOS HORIZONTAIS DE PVC, CPVC OU COBRE DIÂMETROS MAIORES QUE 40 MM E MENORES OU IGUAIS A 75 MM COM ABRAÇADEIRA METÁLICA FLEXÍVEL 18 MM, FIXADA DIRETAMENTE NA LAJE. AF_05/2015</t>
  </si>
  <si>
    <t>So00000090467</t>
  </si>
  <si>
    <t>So00000090467 CHUMBAMENTO LINEAR EM ALVENARIA PARA RAMAIS/DISTRIBUIÇÃO COM DIÂMETROS MAIORES QUE 40 MM E MENORES OU IGUAIS A 75 MM. AF_05/2015</t>
  </si>
  <si>
    <t>So00000090454</t>
  </si>
  <si>
    <t>So00000090454 PASSANTE TIPO TUBO DE DIÂMETRO MAIORES QUE 40 MM E MENORES OU IGUAIS A 75 MM, FIXADO EM LAJE. AF_05/2015</t>
  </si>
  <si>
    <t>So00000090437</t>
  </si>
  <si>
    <t>So00000090437 FURO EM ALVENARIA PARA DIÂMETROS MAIORES QUE 40 MM E MENORES OU IGUAIS A 75 MM. AF_05/2015</t>
  </si>
  <si>
    <t>So00000089813</t>
  </si>
  <si>
    <t>So00000089813 LUVA SIMPLES, PVC, SERIE NORMAL, ESGOTO PREDIAL, DN 50 MM, JUNTA ELÁSTICA, FORNECIDO E INSTALADO EM PRUMADA DE ESGOTO SANITÁRIO OU VENTILAÇÃO. AF_12/2014</t>
  </si>
  <si>
    <t>So00000089784</t>
  </si>
  <si>
    <t>So00000089784 TE, PVC, SERIE NORMAL, ESGOTO PREDIAL, DN 50 X 50 MM, JUNTA ELÁSTICA, FORNECIDO E INSTALADO EM RAMAL DE DESCARGA OU RAMAL DE ESGOTO SANITÁRIO. AF_12/2014</t>
  </si>
  <si>
    <t>So00000089753</t>
  </si>
  <si>
    <t>So00000089753 LUVA SIMPLES, PVC, SERIE NORMAL, ESGOTO PREDIAL, DN 50 MM, JUNTA ELÁSTICA, FORNECIDO E INSTALADO EM RAMAL DE DESCARGA OU RAMAL DE ESGOTO SANITÁRIO. AF_12/2014</t>
  </si>
  <si>
    <t>So00000089732</t>
  </si>
  <si>
    <t>So00000089732 JOELHO 45 GRAUS, PVC, SERIE NORMAL, ESGOTO PREDIAL, DN 50 MM, JUNTA ELÁSTICA, FORNECIDO E INSTALADO EM RAMAL DE DESCARGA OU RAMAL DE ESGOTO SANITÁRIO. AF_12/2014</t>
  </si>
  <si>
    <t>So00000089731</t>
  </si>
  <si>
    <t>So00000089731 JOELHO 90 GRAUS, PVC, SERIE NORMAL, ESGOTO PREDIAL, DN 50 MM, JUNTA ELÁSTICA, FORNECIDO E INSTALADO EM RAMAL DE DESCARGA OU RAMAL DE ESGOTO SANITÁRIO. AF_12/2014</t>
  </si>
  <si>
    <t>So00000089712</t>
  </si>
  <si>
    <t>So00000089712 TUBO PVC, SERIE NORMAL, ESGOTO PREDIAL, DN 50 MM, FORNECIDO E INSTALADO EM RAMAL DE DESCARGA OU RAMAL DE ESGOTO SANITÁRIO. AF_12/2014</t>
  </si>
  <si>
    <t>So00000091794</t>
  </si>
  <si>
    <t>So00000089807</t>
  </si>
  <si>
    <t>So00000089807 CURVA CURTA 90 GRAUS, PVC, SERIE NORMAL, ESGOTO PREDIAL, DN 75 MM, JUNTA ELÁSTICA, FORNECIDO E INSTALADO EM PRUMADA DE ESGOTO SANITÁRIO OU VENTILAÇÃO. AF_12/2014</t>
  </si>
  <si>
    <t>So00000089737</t>
  </si>
  <si>
    <t>So00000089737 JOELHO 90 GRAUS, PVC, SERIE NORMAL, ESGOTO PREDIAL, DN 75 MM, JUNTA ELÁSTICA, FORNECIDO E INSTALADO EM RAMAL DE DESCARGA OU RAMAL DE ESGOTO SANITÁRIO. AF_12/2014</t>
  </si>
  <si>
    <t>So00000089739</t>
  </si>
  <si>
    <t>So00000089739 JOELHO 45 GRAUS, PVC, SERIE NORMAL, ESGOTO PREDIAL, DN 75 MM, JUNTA ELÁSTICA, FORNECIDO E INSTALADO EM RAMAL DE DESCARGA OU RAMAL DE ESGOTO SANITÁRIO. AF_12/2014</t>
  </si>
  <si>
    <t>So00000089774</t>
  </si>
  <si>
    <t>So00000089774 LUVA SIMPLES, PVC, SERIE NORMAL, ESGOTO PREDIAL, DN 75 MM, JUNTA ELÁSTICA, FORNECIDO E INSTALADO EM RAMAL DE DESCARGA OU RAMAL DE ESGOTO SANITÁRIO. AF_12/2014</t>
  </si>
  <si>
    <t>So00000089786</t>
  </si>
  <si>
    <t>So00000089786 TE, PVC, SERIE NORMAL, ESGOTO PREDIAL, DN 75 X 75 MM, JUNTA ELÁSTICA, FORNECIDO E INSTALADO EM RAMAL DE DESCARGA OU RAMAL DE ESGOTO SANITÁRIO. AF_12/2014</t>
  </si>
  <si>
    <t>So00000089795</t>
  </si>
  <si>
    <t>So00000089795 JUNÇÃO SIMPLES, PVC, SERIE NORMAL, ESGOTO PREDIAL, DN 75 X 75 MM, JUNTA ELÁSTICA, FORNECIDO E INSTALADO EM RAMAL DE DESCARGA OU RAMAL DE ESGOTO SANITÁRIO. AF_12/2014</t>
  </si>
  <si>
    <t>So00000089713</t>
  </si>
  <si>
    <t>So00000089713 TUBO PVC, SERIE NORMAL, ESGOTO PREDIAL, DN 75 MM, FORNECIDO E INSTALADO EM RAMAL DE DESCARGA OU RAMAL DE ESGOTO SANITÁRIO. AF_12/2014</t>
  </si>
  <si>
    <t>So00000089806</t>
  </si>
  <si>
    <t>So00000089806 JOELHO 45 GRAUS, PVC, SERIE NORMAL, ESGOTO PREDIAL, DN 75 MM, JUNTA ELÁSTICA, FORNECIDO E INSTALADO EM PRUMADA DE ESGOTO SANITÁRIO OU VENTILAÇÃO. AF_12/2014</t>
  </si>
  <si>
    <t>So00000089817</t>
  </si>
  <si>
    <t>So00000089817 LUVA SIMPLES, PVC, SERIE NORMAL, ESGOTO PREDIAL, DN 75 MM, JUNTA ELÁSTICA, FORNECIDO E INSTALADO EM PRUMADA DE ESGOTO SANITÁRIO OU VENTILAÇÃO. AF_12/2014</t>
  </si>
  <si>
    <t>So00000089829</t>
  </si>
  <si>
    <t>So00000089829 TE, PVC, SERIE NORMAL, ESGOTO PREDIAL, DN 75 X 75 MM, JUNTA ELÁSTICA, FORNECIDO E INSTALADO EM PRUMADA DE ESGOTO SANITÁRIO OU VENTILAÇÃO. AF_12/2014</t>
  </si>
  <si>
    <t>So00000089830</t>
  </si>
  <si>
    <t>So00000089830 JUNÇÃO SIMPLES, PVC, SERIE NORMAL, ESGOTO PREDIAL, DN 75 X 75 MM, JUNTA ELÁSTICA, FORNECIDO E INSTALADO EM PRUMADA DE ESGOTO SANITÁRIO OU VENTILAÇÃO. AF_12/2014</t>
  </si>
  <si>
    <t>So00000089799 TUBO PVC, SERIE NORMAL, ESGOTO PREDIAL, DN 75 MM, FORNECIDO E INSTALADO EM PRUMADA DE ESGOTO SANITÁRIO OU VENTILAÇÃO. AF_12/2014</t>
  </si>
  <si>
    <t>So00000091795</t>
  </si>
  <si>
    <t>So00000089834</t>
  </si>
  <si>
    <t>So00000089834 JUNÇÃO SIMPLES, PVC, SERIE NORMAL, ESGOTO PREDIAL, DN 100 X 100 MM, JUNTA ELÁSTICA, FORNECIDO E INSTALADO EM PRUMADA DE ESGOTO SANITÁRIO OU VENTILAÇÃO. AF_12/2014</t>
  </si>
  <si>
    <t>So00000089746</t>
  </si>
  <si>
    <t>So00000089746 JOELHO 45 GRAUS, PVC, SERIE NORMAL, ESGOTO PREDIAL, DN 100 MM, JUNTA ELÁSTICA, FORNECIDO E INSTALADO EM RAMAL DE DESCARGA OU RAMAL DE ESGOTO SANITÁRIO. AF_12/2014</t>
  </si>
  <si>
    <t>So00000089748</t>
  </si>
  <si>
    <t>So00000089748 CURVA CURTA 90 GRAUS, PVC, SERIE NORMAL, ESGOTO PREDIAL, DN 100 MM, JUNTA ELÁSTICA, FORNECIDO E INSTALADO EM RAMAL DE DESCARGA OU RAMAL DE ESGOTO SANITÁRIO. AF_12/2014</t>
  </si>
  <si>
    <t>So00000089778</t>
  </si>
  <si>
    <t>So00000089778 LUVA SIMPLES, PVC, SERIE NORMAL, ESGOTO PREDIAL, DN 100 MM, JUNTA ELÁSTICA, FORNECIDO E INSTALADO EM RAMAL DE DESCARGA OU RAMAL DE ESGOTO SANITÁRIO. AF_12/2014</t>
  </si>
  <si>
    <t>So00000089796</t>
  </si>
  <si>
    <t>So00000089796 TE, PVC, SERIE NORMAL, ESGOTO PREDIAL, DN 100 X 100 MM, JUNTA ELÁSTICA, FORNECIDO E INSTALADO EM RAMAL DE DESCARGA OU RAMAL DE ESGOTO SANITÁRIO. AF_12/2014</t>
  </si>
  <si>
    <t>So00000089797</t>
  </si>
  <si>
    <t>So00000089797 JUNÇÃO SIMPLES, PVC, SERIE NORMAL, ESGOTO PREDIAL, DN 100 X 100 MM, JUNTA ELÁSTICA, FORNECIDO E INSTALADO EM RAMAL DE DESCARGA OU RAMAL DE ESGOTO SANITÁRIO. AF_12/2014</t>
  </si>
  <si>
    <t>So00000089800</t>
  </si>
  <si>
    <t>So00000089800 TUBO PVC, SERIE NORMAL, ESGOTO PREDIAL, DN 100 MM, FORNECIDO E INSTALADO EM PRUMADA DE ESGOTO SANITÁRIO OU VENTILAÇÃO. AF_12/2014</t>
  </si>
  <si>
    <t>So00000089810</t>
  </si>
  <si>
    <t>So00000089810 JOELHO 45 GRAUS, PVC, SERIE NORMAL, ESGOTO PREDIAL, DN 100 MM, JUNTA ELÁSTICA, FORNECIDO E INSTALADO EM PRUMADA DE ESGOTO SANITÁRIO OU VENTILAÇÃO. AF_12/2014</t>
  </si>
  <si>
    <t>So00000089714</t>
  </si>
  <si>
    <t>So00000089714 TUBO PVC, SERIE NORMAL, ESGOTO PREDIAL, DN 100 MM, FORNECIDO E INSTALADO EM RAMAL DE DESCARGA OU RAMAL DE ESGOTO SANITÁRIO. AF_12/2014</t>
  </si>
  <si>
    <t>So00000089833</t>
  </si>
  <si>
    <t>So00000089833 TE, PVC, SERIE NORMAL, ESGOTO PREDIAL, DN 100 X 100 MM, JUNTA ELÁSTICA, FORNECIDO E INSTALADO EM PRUMADA DE ESGOTO SANITÁRIO OU VENTILAÇÃO. AF_12/2014</t>
  </si>
  <si>
    <t>So00000091192</t>
  </si>
  <si>
    <t>So00000091192 CHUMBAMENTO PONTUAL EM PASSAGEM DE TUBO COM DIÂMETRO MAIOR QUE 75 MM. AF_05/2015</t>
  </si>
  <si>
    <t>So00000089848</t>
  </si>
  <si>
    <t>So00000089848 TUBO PVC, SERIE NORMAL, ESGOTO PREDIAL, DN 100 MM, FORNECIDO E INSTALADO EM SUBCOLETOR AÉREO DE ESGOTO SANITÁRIO. AF_12/2014</t>
  </si>
  <si>
    <t>So00000089851</t>
  </si>
  <si>
    <t>So00000089851 JOELHO 45 GRAUS, PVC, SERIE NORMAL, ESGOTO PREDIAL, DN 100 MM, JUNTA ELÁSTICA, FORNECIDO E INSTALADO EM SUBCOLETOR AÉREO DE ESGOTO SANITÁRIO. AF_12/2014</t>
  </si>
  <si>
    <t>So00000089856</t>
  </si>
  <si>
    <t>So00000089856 LUVA SIMPLES, PVC, SERIE NORMAL, ESGOTO PREDIAL, DN 100 MM, JUNTA ELÁSTICA, FORNECIDO E INSTALADO EM SUBCOLETOR AÉREO DE ESGOTO SANITÁRIO. AF_12/2014</t>
  </si>
  <si>
    <t>So00000089861</t>
  </si>
  <si>
    <t>So00000089861 JUNÇÃO SIMPLES, PVC, SERIE NORMAL, ESGOTO PREDIAL, DN 100 X 100 MM, JUNTA ELÁSTICA, FORNECIDO E INSTALADO EM SUBCOLETOR AÉREO DE ESGOTO SANITÁRIO. AF_12/2014</t>
  </si>
  <si>
    <t>So00000090438</t>
  </si>
  <si>
    <t>So00000090438 FURO EM ALVENARIA PARA DIÂMETROS MAIORES QUE 75 MM. AF_05/2015</t>
  </si>
  <si>
    <t>So00000090455</t>
  </si>
  <si>
    <t>So00000090455 PASSANTE TIPO TUBO DE DIÂMETRO MAIOR QUE 75 MM, FIXADO EM LAJE. AF_05/2015</t>
  </si>
  <si>
    <t>So00000091187</t>
  </si>
  <si>
    <t>So00000091187 FIXAÇÃO DE TUBOS HORIZONTAIS DE PVC, CPVC OU COBRE DIÂMETROS MAIORES QUE 75 MM COM ABRAÇADEIRA METÁLICA FLEXÍVEL 18 MM, FIXADA DIRETAMENTE NA LAJE. AF_05/2015</t>
  </si>
  <si>
    <t>So00000089821</t>
  </si>
  <si>
    <t>So00000089821 LUVA SIMPLES, PVC, SERIE NORMAL, ESGOTO PREDIAL, DN 100 MM, JUNTA ELÁSTICA, FORNECIDO E INSTALADO EM PRUMADA DE ESGOTO SANITÁRIO OU VENTILAÇÃO. AF_12/2014</t>
  </si>
  <si>
    <t>So00000091796</t>
  </si>
  <si>
    <t>So00000091189</t>
  </si>
  <si>
    <t>So00000091189 CHUMBAMENTO PONTUAL DE ABERTURA EM LAJE COM PASSAGEM DE MAIS DE 1 TUBO DE  DIAMETRO EQUIVALENTE IGUAL À  50 MM. AF_05/2015</t>
  </si>
  <si>
    <t>So00000089855</t>
  </si>
  <si>
    <t>So00000089855 JOELHO 45 GRAUS, PVC, SERIE NORMAL, ESGOTO PREDIAL, DN 150 MM, JUNTA ELÁSTICA, FORNECIDO E INSTALADO EM SUBCOLETOR AÉREO DE ESGOTO SANITÁRIO. AF_12/2014</t>
  </si>
  <si>
    <t>So00000089849</t>
  </si>
  <si>
    <t>So00000089849 TUBO PVC, SERIE NORMAL, ESGOTO PREDIAL, DN 150 MM, FORNECIDO E INSTALADO EM SUBCOLETOR AÉREO DE ESGOTO SANITÁRIO. AF_12/2014</t>
  </si>
  <si>
    <t>So00000098110</t>
  </si>
  <si>
    <t>So0035277</t>
  </si>
  <si>
    <t>So00000101618</t>
  </si>
  <si>
    <t>So00000101618 PREPARO DE FUNDO DE VALA COM LARGURA MENOR QUE 1,5 M, COM CAMADA DE AREIA, LANÇAMENTO MANUAL. AF_08/2020</t>
  </si>
  <si>
    <t>So00000097904</t>
  </si>
  <si>
    <t>So00000101617</t>
  </si>
  <si>
    <t>So00000101617 PREPARO DE FUNDO DE VALA COM LARGURA MAIOR OU IGUAL A 1,5 M E MENOR QUE 2,5 M (ACERTO DO SOLO NATURAL). AF_08/2020</t>
  </si>
  <si>
    <t>So00000097736</t>
  </si>
  <si>
    <t>So00000097736 PEÇA RETANGULAR PRÉ-MOLDADA, VOLUME DE CONCRETO ACIMA DE 100 LITROS, TAXA DE AÇO APROXIMADA DE 30KG/M³. AF_01/2018</t>
  </si>
  <si>
    <t>15.002.0086-0</t>
  </si>
  <si>
    <t>03086</t>
  </si>
  <si>
    <t>13.001.0025-1 EMBOCO ARG. CIM. E AREIA TRACO 1:3</t>
  </si>
  <si>
    <t>03083</t>
  </si>
  <si>
    <t>11.013.0003-1 VERGAS CONCR. ARMADO P/ ALVEN.</t>
  </si>
  <si>
    <t>12.005.0135-1</t>
  </si>
  <si>
    <t>ALVENARIA PARA CAIXAS ENTERRADAS,ATE 1,60M DE PROFUNDIDADE,COM BLOCOS DE CONCRETO DE 20X20X40CM,COM ARGAMASSA DE CIMENTO E AREIA,NO TRACO 1:4 E CONCRETO 20MPA,PARA PREENCHIMENTO DOSFUROS DOS MESMOS,EM PAREDES DE UMA VEZ(0,20M) (OBS.:3%-DESGASTE DE FERRAMENTAS E EPI).</t>
  </si>
  <si>
    <t>01637</t>
  </si>
  <si>
    <t>11.001.0006-1 CONCRETO FCK 20MPA</t>
  </si>
  <si>
    <t>01607</t>
  </si>
  <si>
    <t>07.002.0030-1 ARGAMASSA CIM.,AREIA TRACO 1:4,PREPAROMECANICO</t>
  </si>
  <si>
    <t>12.005.0140-1</t>
  </si>
  <si>
    <r>
      <t xml:space="preserve">ALVENARIA PARA CAIXAS ENTERRADAS,ATE 3,00M DE PROFUNDIDADE,COM BLOCOS DE CONCRETO DE 20X20X40CM,COM ARGAMASSA DE CIMENTO E AREIA,NO TRACO 1:4 E CONCRETO 20MPA,PARA PREENCHIMENTO DOSFUROS DOS MESMOS,EM PAREDES DE UMA VEZ(0,20M) (OBS.:3%-DESGASTE DE FERRAMENTAS E EPI). </t>
    </r>
    <r>
      <rPr>
        <b/>
        <sz val="11"/>
        <color indexed="8"/>
        <rFont val="Times New Roman"/>
        <family val="1"/>
      </rPr>
      <t>(SUMIDOURO)</t>
    </r>
  </si>
  <si>
    <r>
      <t xml:space="preserve">ALVENARIA PARA CAIXAS ENTERRADAS,ATE 3,00M DE PROFUNDIDADE,COM BLOCOS DE CONCRETO DE 20X20X40CM,COM ARGAMASSA DE CIMENTO E AREIA,NO TRACO 1:4 E CONCRETO 20MPA,PARA PREENCHIMENTO DOSFUROS DOS MESMOS,EM PAREDES DE UMA VEZ(0,20M) (OBS.:3%-DESGASTE DE FERRAMENTAS E EPI). </t>
    </r>
    <r>
      <rPr>
        <b/>
        <sz val="11"/>
        <color indexed="8"/>
        <rFont val="Times New Roman"/>
        <family val="1"/>
      </rPr>
      <t>(FILTRO ANAEROBICO)</t>
    </r>
  </si>
  <si>
    <r>
      <t xml:space="preserve">ALVENARIA PARA CAIXAS ENTERRADAS,ATE 3,00M DE PROFUNDIDADE,COM BLOCOS DE CONCRETO DE 20X20X40CM,COM ARGAMASSA DE CIMENTO E AREIA,NO TRACO 1:4 E CONCRETO 20MPA,PARA PREENCHIMENTO DOSFUROS DOS MESMOS,EM PAREDES DE UMA VEZ(0,20M) (OBS.:3%-DESGASTE DE FERRAMENTAS E EPI). </t>
    </r>
    <r>
      <rPr>
        <b/>
        <sz val="11"/>
        <color indexed="8"/>
        <rFont val="Times New Roman"/>
        <family val="1"/>
      </rPr>
      <t>(FOSSA SEPTICA)</t>
    </r>
  </si>
  <si>
    <r>
      <t xml:space="preserve">18.002.0090-0 </t>
    </r>
    <r>
      <rPr>
        <b/>
        <sz val="11"/>
        <rFont val="Times New Roman"/>
        <family val="1"/>
      </rPr>
      <t>(MODIFICADO)</t>
    </r>
  </si>
  <si>
    <t>18.002.0065-0</t>
  </si>
  <si>
    <r>
      <t xml:space="preserve">18.002.0065-0 </t>
    </r>
    <r>
      <rPr>
        <b/>
        <sz val="11"/>
        <rFont val="Times New Roman"/>
        <family val="1"/>
      </rPr>
      <t>(COMPOSIÇÃO)</t>
    </r>
  </si>
  <si>
    <t>18.006.0050-0</t>
  </si>
  <si>
    <t>18.007.0051-A</t>
  </si>
  <si>
    <t>So00000086904</t>
  </si>
  <si>
    <t>So0037329</t>
  </si>
  <si>
    <t>So0010425</t>
  </si>
  <si>
    <t>So00000086937</t>
  </si>
  <si>
    <t>So00000086901</t>
  </si>
  <si>
    <t>So00000086901 CUBA DE EMBUTIR OVAL EM LOUÇA BRANCA, 35 X 50CM OU EQUIVALENTE - FORNECIMENTO E INSTALAÇÃO. AF_01/2020</t>
  </si>
  <si>
    <t>So00000086883</t>
  </si>
  <si>
    <t>So00000086883 SIFÃO DO TIPO FLEXÍVEL EM PVC 1  X 1.1/2  - FORNECIMENTO E INSTALAÇÃO. AF_01/2020</t>
  </si>
  <si>
    <t>So00000086877</t>
  </si>
  <si>
    <t>So00000086877 VÁLVULA EM METAL CROMADO 1.1/2 X 1.1/2 PARA TANQUE OU LAVATÓRIO, COM OU SEM LADRÃO - FORNECIMENTO E INSTALAÇÃO. AF_01/2020</t>
  </si>
  <si>
    <t>So00000086906</t>
  </si>
  <si>
    <t>So0013415</t>
  </si>
  <si>
    <t>So0003146</t>
  </si>
  <si>
    <t>So00000095545</t>
  </si>
  <si>
    <t>So0011757</t>
  </si>
  <si>
    <t>18.016.0105-0</t>
  </si>
  <si>
    <t>So00000095547</t>
  </si>
  <si>
    <t>So0011758</t>
  </si>
  <si>
    <t>TA ERRADO</t>
  </si>
  <si>
    <t>TA ERRANO</t>
  </si>
  <si>
    <t>15.004.0055-A</t>
  </si>
  <si>
    <t>So0001368</t>
  </si>
  <si>
    <r>
      <t xml:space="preserve">15.004.0055-0 </t>
    </r>
    <r>
      <rPr>
        <b/>
        <sz val="11"/>
        <rFont val="Times New Roman"/>
        <family val="1"/>
      </rPr>
      <t>(COMPOSIÇÃO)</t>
    </r>
  </si>
  <si>
    <r>
      <t xml:space="preserve">So00000100860 </t>
    </r>
    <r>
      <rPr>
        <b/>
        <sz val="11"/>
        <rFont val="Times New Roman"/>
        <family val="1"/>
      </rPr>
      <t>(COMPOSIÇÃO)</t>
    </r>
  </si>
  <si>
    <r>
      <t xml:space="preserve">15.004.0063-0 </t>
    </r>
    <r>
      <rPr>
        <b/>
        <sz val="11"/>
        <rFont val="Times New Roman"/>
        <family val="1"/>
      </rPr>
      <t>(COMPOSIÇÃO)</t>
    </r>
  </si>
  <si>
    <t>So00000086919</t>
  </si>
  <si>
    <t>So00000086914</t>
  </si>
  <si>
    <t>So00000086914 TORNEIRA CROMADA 1/2 OU 3/4 PARA TANQUE, PADRÃO MÉDIO - FORNECIMENTO E INSTALAÇÃO. AF_01/2020</t>
  </si>
  <si>
    <t>So00000086872</t>
  </si>
  <si>
    <t>So00000086872 TANQUE DE LOUÇA BRANCA COM COLUNA, 30L OU EQUIVALENTE - FORNECIMENTO E INSTALAÇÃO. AF_01/2020</t>
  </si>
  <si>
    <t>So00000086910</t>
  </si>
  <si>
    <t>So0011773</t>
  </si>
  <si>
    <t>So00000086916</t>
  </si>
  <si>
    <t>So0011831</t>
  </si>
  <si>
    <t>18.016.0040-A</t>
  </si>
  <si>
    <t>So00000086900</t>
  </si>
  <si>
    <t>So0004823</t>
  </si>
  <si>
    <t>So0001743</t>
  </si>
  <si>
    <t>So00000088274</t>
  </si>
  <si>
    <t>18.082.0020-0</t>
  </si>
  <si>
    <t>01648</t>
  </si>
  <si>
    <t>12.003.0075-1 ALVENARIA TIJ. FURADO 10X20X20CM</t>
  </si>
  <si>
    <t>18.070.0005-0</t>
  </si>
  <si>
    <t>So00000101876</t>
  </si>
  <si>
    <t>So0039795</t>
  </si>
  <si>
    <t>So00000088264</t>
  </si>
  <si>
    <t>So00000088247</t>
  </si>
  <si>
    <t>So00000087367</t>
  </si>
  <si>
    <t>So00000087367 ARGAMASSA TRAÇO 1:1:6 (EM VOLUME DE CIMENTO, CAL E AREIA MÉDIA ÚMIDA) PARA EMBOÇO/MASSA ÚNICA/ASSENTAMENTO DE ALVENARIA DE VEDAÇÃO, PREPARO MANUAL. AF_08/2019</t>
  </si>
  <si>
    <t>QUADRO DE DISTRIBUIÇÃO DE ENERGIA EM PVC, DE EMBUTIR, SEM BARRAMENTO, PARA 8DISJUNTORES - FORNECIMENTO E INSTALAÇÃO. AF_10/2020</t>
  </si>
  <si>
    <r>
      <t xml:space="preserve">So00000101876 </t>
    </r>
    <r>
      <rPr>
        <b/>
        <sz val="11"/>
        <rFont val="Times New Roman"/>
        <family val="1"/>
      </rPr>
      <t>(COMPOSIÇÃO)</t>
    </r>
  </si>
  <si>
    <t>15.007.0410-0</t>
  </si>
  <si>
    <t>15.007.0420-0</t>
  </si>
  <si>
    <r>
      <t xml:space="preserve">15.007.0420-0 </t>
    </r>
    <r>
      <rPr>
        <b/>
        <sz val="11"/>
        <rFont val="Times New Roman"/>
        <family val="1"/>
      </rPr>
      <t>(COMPOSIÇÃO)</t>
    </r>
  </si>
  <si>
    <t>So00000091835</t>
  </si>
  <si>
    <t>So0039244</t>
  </si>
  <si>
    <t>So00000091170</t>
  </si>
  <si>
    <t>So00000091170 FIXAÇÃO DE TUBOS HORIZONTAIS DE PVC, CPVC OU COBRE DIÂMETROS MENORES OU IGUAIS A 40 MM OU ELETROCALHAS ATÉ 150MM DE LARGURA, COM ABRAÇADEIRA METÁLICA RÍGIDA TIPO D 1/2, FIXADA EM PERFILADO EM LAJE. AF_05/2015</t>
  </si>
  <si>
    <t>So00000091837</t>
  </si>
  <si>
    <t>So0039245</t>
  </si>
  <si>
    <t>So00000091860</t>
  </si>
  <si>
    <t>So0039247</t>
  </si>
  <si>
    <t>So00000097667</t>
  </si>
  <si>
    <t>So0039246</t>
  </si>
  <si>
    <t>So00000097668</t>
  </si>
  <si>
    <t>So0002446</t>
  </si>
  <si>
    <t>15.034.0024-0</t>
  </si>
  <si>
    <t>So00000091944</t>
  </si>
  <si>
    <t>So0001873</t>
  </si>
  <si>
    <t>So00000088629</t>
  </si>
  <si>
    <t>So00000088629 ARGAMASSA TRAÇO 1:3 (EM VOLUME DE CIMENTO E AREIA MÉDIA ÚMIDA), PREPARO MANUAL. AF_08/2019</t>
  </si>
  <si>
    <t>So00000091926</t>
  </si>
  <si>
    <t>So0021127</t>
  </si>
  <si>
    <t>So0001014</t>
  </si>
  <si>
    <t>So00000091928</t>
  </si>
  <si>
    <t>So0000981</t>
  </si>
  <si>
    <t>So00000091930</t>
  </si>
  <si>
    <t>So0000982</t>
  </si>
  <si>
    <t>So00000091932</t>
  </si>
  <si>
    <t>So0000980</t>
  </si>
  <si>
    <t>So00000092986</t>
  </si>
  <si>
    <t>So0001019</t>
  </si>
  <si>
    <t>So00000092004</t>
  </si>
  <si>
    <t>So00000092002</t>
  </si>
  <si>
    <t>So00000092002 TOMADA MÉDIA DE EMBUTIR (2 MÓDULOS), 2P+T 10 A, SEM SUPORTE E SEM PLACA - FORNECIMENTO E INSTALAÇÃO. AF_12/2015</t>
  </si>
  <si>
    <t>So00000091946</t>
  </si>
  <si>
    <t>So00000091946 SUPORTE PARAFUSADO COM PLACA DE ENCAIXE 4" X 2" MÉDIO (1,30 M DO PISO) PARA PONTO ELÉTRICO - FORNECIMENTO E INSTALAÇÃO. AF_12/2015</t>
  </si>
  <si>
    <t>So00000091997</t>
  </si>
  <si>
    <t>So00000091995</t>
  </si>
  <si>
    <t>So00000091995 TOMADA MÉDIA DE EMBUTIR (1 MÓDULO), 2P+T 20 A, SEM SUPORTE E SEM PLACA - FORNECIMENTO E INSTALAÇÃO. AF_12/2015</t>
  </si>
  <si>
    <t>So00000092009</t>
  </si>
  <si>
    <t>So00000092007</t>
  </si>
  <si>
    <t>So00000092007 TOMADA BAIXA DE EMBUTIR (2 MÓDULOS), 2P+T 20 A, SEM SUPORTE E SEM PLACA - FORNECIMENTO E INSTALAÇÃO. AF_12/2015</t>
  </si>
  <si>
    <t>So00000092001</t>
  </si>
  <si>
    <t>So00000091999</t>
  </si>
  <si>
    <t>So00000091999 TOMADA BAIXA DE EMBUTIR (1 MÓDULO), 2P+T 20 A, SEM SUPORTE E SEM PLACA - FORNECIMENTO E INSTALAÇÃO. AF_12/2015</t>
  </si>
  <si>
    <t>So00000091992</t>
  </si>
  <si>
    <t>So00000091990</t>
  </si>
  <si>
    <t>So00000091990 TOMADA ALTA DE EMBUTIR (1 MÓDULO), 2P+T 10 A, SEM SUPORTE E SEM PLACA - FORNECIMENTO E INSTALAÇÃO. AF_12/2015</t>
  </si>
  <si>
    <r>
      <t>So00000091997</t>
    </r>
    <r>
      <rPr>
        <b/>
        <sz val="11"/>
        <rFont val="Times New Roman"/>
        <family val="1"/>
      </rPr>
      <t xml:space="preserve"> (MODIFICADO)</t>
    </r>
  </si>
  <si>
    <t>SUPORTE PARAFUSADO COM PLACA DE ENCAIXE 4" X 2" MÉDIO (1,30 M DO PISO) PARA PONTO ELÉTRICO - FORNECIMENTO E INSTALAÇÃO. AF_12/2015</t>
  </si>
  <si>
    <t>So00000091953</t>
  </si>
  <si>
    <t>So00000091952</t>
  </si>
  <si>
    <t>So00000091952 INTERRUPTOR SIMPLES (1 MÓDULO), 10A/250V, SEM SUPORTE E SEM PLACA - FORNECIMENTO E INSTALAÇÃO. AF_12/2015</t>
  </si>
  <si>
    <t>So00000091959</t>
  </si>
  <si>
    <t>So00000091958</t>
  </si>
  <si>
    <t>So00000091958 INTERRUPTOR SIMPLES (2 MÓDULOS), 10A/250V, SEM SUPORTE E SEM PLACA - FORNECIMENTO E INSTALAÇÃO. AF_12/2015</t>
  </si>
  <si>
    <t>So00000091967</t>
  </si>
  <si>
    <t>So00000091966</t>
  </si>
  <si>
    <t>So00000091966 INTERRUPTOR SIMPLES (3 MÓDULOS), 10A/250V, SEM SUPORTE E SEM PLACA - FORNECIMENTO E INSTALAÇÃO. AF_12/2015</t>
  </si>
  <si>
    <t>So00000091955</t>
  </si>
  <si>
    <t>So00000091954</t>
  </si>
  <si>
    <t>So00000091954 INTERRUPTOR PARALELO (1 MÓDULO), 10A/250V, SEM SUPORTE E SEM PLACA - FORNECIMENTO E INSTALAÇÃO. AF_12/2015</t>
  </si>
  <si>
    <t>18.027.0313-0</t>
  </si>
  <si>
    <t>18.027.0310-0</t>
  </si>
  <si>
    <r>
      <t xml:space="preserve">18.027.0434-0 </t>
    </r>
    <r>
      <rPr>
        <b/>
        <sz val="11"/>
        <rFont val="Times New Roman"/>
        <family val="1"/>
      </rPr>
      <t>(COMPOSIÇÃO)</t>
    </r>
  </si>
  <si>
    <t>18.027.0408-0</t>
  </si>
  <si>
    <r>
      <t xml:space="preserve">18.027.0445-0 </t>
    </r>
    <r>
      <rPr>
        <b/>
        <sz val="11"/>
        <rFont val="Times New Roman"/>
        <family val="1"/>
      </rPr>
      <t>(COMPOSIÇÃO)</t>
    </r>
  </si>
  <si>
    <t>ARGAMASSA TRAÇO 1:3 (EM VOLUME DE CIMENTO E AREIA MÉDIA ÚMIDA), PREPARO MANUAL. AF_08/2019</t>
  </si>
  <si>
    <t>15.019.0090-0</t>
  </si>
  <si>
    <t>15.019.0100-0</t>
  </si>
  <si>
    <t>15.002.0120-0</t>
  </si>
  <si>
    <t>03353</t>
  </si>
  <si>
    <t>12.005.0130-1 ALVENARIA CXS.ENTERRADAS 0,80M, BL.CONCR</t>
  </si>
  <si>
    <t>03087</t>
  </si>
  <si>
    <t>13.001.0030-1 EMBOCO ARG. CIM. E AREIA TRACO 1:4</t>
  </si>
  <si>
    <t>06.016.0030-0</t>
  </si>
  <si>
    <t>15.018.0140-0</t>
  </si>
  <si>
    <t>15.018.0136-0</t>
  </si>
  <si>
    <t>So00000100560</t>
  </si>
  <si>
    <t>So0011250</t>
  </si>
  <si>
    <t>15.034.0021-0</t>
  </si>
  <si>
    <t>15.018.0467-0</t>
  </si>
  <si>
    <t>15.007.0210-0</t>
  </si>
  <si>
    <t>15260</t>
  </si>
  <si>
    <t>11.009.0050-1 BARRA DE ACO CA-25,REDONDA,SEM SALIENCIAOU MOSSA,DIAMETRO IGUAL A 6,3MM</t>
  </si>
  <si>
    <t>03082</t>
  </si>
  <si>
    <t>12.002.0035-1 ALVENARIA TIJ. MACICO 7X10X20CM</t>
  </si>
  <si>
    <t>01752</t>
  </si>
  <si>
    <t>11.002.0023-1 LANCAMENTO CONC.C/ARM.2,0M3/H,HORIZ/VERT</t>
  </si>
  <si>
    <t>01604</t>
  </si>
  <si>
    <t>07.006.0020-1 ARGAMASSA CIM.,SAIBRO TRACO 1:6,PREPAROMECANICO</t>
  </si>
  <si>
    <t>So00000092688</t>
  </si>
  <si>
    <t xml:space="preserve">VALVULA ESFERA 3/4" NPT 300 </t>
  </si>
  <si>
    <t xml:space="preserve">REGISTRO DO 1° ESTAGIO COM MANOMETRO </t>
  </si>
  <si>
    <t xml:space="preserve">REGISTRO DO 2° ESTAGIO COM MANOMETRO </t>
  </si>
  <si>
    <r>
      <t xml:space="preserve">15.001.0057-0 </t>
    </r>
    <r>
      <rPr>
        <b/>
        <sz val="11"/>
        <rFont val="Times New Roman"/>
        <family val="1"/>
      </rPr>
      <t>(COMPOSIÇÃO)</t>
    </r>
  </si>
  <si>
    <t>So00000101909</t>
  </si>
  <si>
    <t>So0010892</t>
  </si>
  <si>
    <t>So0004350</t>
  </si>
  <si>
    <t>So00000101907</t>
  </si>
  <si>
    <t>So0010889</t>
  </si>
  <si>
    <t>17.040.0050-0</t>
  </si>
  <si>
    <t>05.054.0102-0</t>
  </si>
  <si>
    <t>05.054.0110-0</t>
  </si>
  <si>
    <t>So00000097599</t>
  </si>
  <si>
    <t>So0038774</t>
  </si>
  <si>
    <t>16.002.0012-0</t>
  </si>
  <si>
    <t>16.002.0015-0</t>
  </si>
  <si>
    <t>16.001.0050-0</t>
  </si>
  <si>
    <t>16.001.0065-0</t>
  </si>
  <si>
    <t>TESOURA COMPLETA EM MADEIRA SERRADA,PARA VAO DE 4,00M.FORNECIMENTO E COLOCACAO (OBS.:3%-DESGASTE DE FERRAMENTAS E EPI).</t>
  </si>
  <si>
    <t>16.030.0001-0</t>
  </si>
  <si>
    <r>
      <t xml:space="preserve">PEITORIL </t>
    </r>
    <r>
      <rPr>
        <b/>
        <sz val="11"/>
        <color indexed="8"/>
        <rFont val="Times New Roman"/>
        <family val="1"/>
      </rPr>
      <t>(CHAPIM)</t>
    </r>
    <r>
      <rPr>
        <sz val="11"/>
        <color indexed="8"/>
        <rFont val="Times New Roman"/>
        <family val="1"/>
      </rPr>
      <t xml:space="preserve"> EM GRANITO CINZA ANDORINHA,ESPESSURA DE 2CM,LARGURA DE 28CM,ASSENTADO COM NATA DE CIMENTO SOBRE ARGAMASSA DE CI MENTO,SAIBRO E AREIA,NO TRACO 1:3:3 E REJUNTAMENTO COM CIMENTO BRANCO (OBS.:3%-DESGASTE DE FERRAMENTAS E EPI).</t>
    </r>
  </si>
  <si>
    <t>08.027.0036-0</t>
  </si>
  <si>
    <t>01991</t>
  </si>
  <si>
    <t>MAO-DE-OBRA DE CALCETEIRO, INCLUSIVE ENCARGOS SOCIAIS</t>
  </si>
  <si>
    <t>So00000094990</t>
  </si>
  <si>
    <t>So0004517</t>
  </si>
  <si>
    <t>So0004460</t>
  </si>
  <si>
    <t>So00000094964</t>
  </si>
  <si>
    <t>So00000094964 CONCRETO FCK = 20MPA, TRAÇO 1:2,7:3 (EM MASSA SECA DE CIMENTO/ AREIA MÉDIA/ BRITA 1) - PREPARO MECÂNICO COM BETONEIRA 400 L. AF_05/2021</t>
  </si>
  <si>
    <t>LASTRO DE CONCRETO MAGRO, APLICADO EM PISOS, LAJES SOBRE SOLO OU RADIERS, ESPESSURA DE 5 CM. AF_07/2016</t>
  </si>
  <si>
    <t>So00000094968</t>
  </si>
  <si>
    <t>So00000094968 CONCRETO MAGRO PARA LASTRO, TRAÇO 1:4,5:4,5 (EM MASSA SECA DE CIMENTO/ AREIA MÉDIA/ BRITA 1) - PREPARO MECÂNICO COM BETONEIRA 600 L. AF_05/2021</t>
  </si>
  <si>
    <r>
      <t xml:space="preserve">So00000095241 </t>
    </r>
    <r>
      <rPr>
        <b/>
        <sz val="11"/>
        <rFont val="Times New Roman"/>
        <family val="1"/>
      </rPr>
      <t>(COMPOSIÇÃO)</t>
    </r>
  </si>
  <si>
    <t>13.370.0055-0</t>
  </si>
  <si>
    <t>01758</t>
  </si>
  <si>
    <t>11.002.0029-1 LANCAMENTO CONC.S/ARM.2,0M3/H/HORIZ/VERT</t>
  </si>
  <si>
    <t>01609</t>
  </si>
  <si>
    <t>07.002.0045-1 ARGAMASSA CIM.,AREIA TRACO 1:8,PREPAROMECANICO</t>
  </si>
  <si>
    <t>So00000092401</t>
  </si>
  <si>
    <t>So0040524</t>
  </si>
  <si>
    <t>So0004741</t>
  </si>
  <si>
    <t>So0000370</t>
  </si>
  <si>
    <t>So00000088260</t>
  </si>
  <si>
    <t>So00000091285</t>
  </si>
  <si>
    <t>So00000091285 CORTADORA DE PISO COM MOTOR 4 TEMPOS A GASOLINA, POTÊNCIA DE 13 HP, COM DISCO DE CORTE DIAMANTADO SEGMENTADO PARA CONCRETO, DIÂMETRO DE 350 MM, FURO DE 1" (14 X 1") - CHI DIURNO. AF_08/2015</t>
  </si>
  <si>
    <t>So00000091283</t>
  </si>
  <si>
    <t>So00000091283 CORTADORA DE PISO COM MOTOR 4 TEMPOS A GASOLINA, POTÊNCIA DE 13 HP, COM DISCO DE CORTE DIAMANTADO SEGMENTADO PARA CONCRETO, DIÂMETRO DE 350 MM, FURO DE 1" (14 X 1") - CHP DIURNO. AF_08/2015</t>
  </si>
  <si>
    <t>So00000091278</t>
  </si>
  <si>
    <t>So00000091278 PLACA VIBRATÓRIA REVERSÍVEL COM MOTOR 4 TEMPOS A GASOLINA, FORÇA CENTRÍFUGA DE 25 KN (2500 KGF), POTÊNCIA 5,5 CV - CHI DIURNO. AF_08/2015</t>
  </si>
  <si>
    <t>So00000091277</t>
  </si>
  <si>
    <t>So00000091277 PLACA VIBRATÓRIA REVERSÍVEL COM MOTOR 4 TEMPOS A GASOLINA, FORÇA CENTRÍFUGA DE 25 KN (2500 KGF), POTÊNCIA 5,5 CV - CHP DIURNO. AF_08/2015</t>
  </si>
  <si>
    <t>14.010.0010-0</t>
  </si>
  <si>
    <r>
      <t xml:space="preserve">14.002.0199-0 </t>
    </r>
    <r>
      <rPr>
        <b/>
        <sz val="11"/>
        <rFont val="Times New Roman"/>
        <family val="1"/>
      </rPr>
      <t>(COMPOSIÇÃO)</t>
    </r>
  </si>
  <si>
    <t>04.014.0095-0</t>
  </si>
  <si>
    <t>09.001.0020-A</t>
  </si>
  <si>
    <t>PLANTIO DE GRAMA EM PLACAS TIPO ESMERALDA,INCLUSIVE FORNECIMENTO DA GRAMA E TRANSPORTE,EXCLUSIVE PREPARO DO TERRENO E O MATERIAL PARA ESTE (OBS.:3%-DESGASTE DE FERRAMENTAS E EPI).</t>
  </si>
  <si>
    <t>00699</t>
  </si>
  <si>
    <t>GRAMA EM PLACAS, TIPO ESMERALDA, COM TRANSPORTE</t>
  </si>
  <si>
    <t>20133</t>
  </si>
  <si>
    <t>MAO-DE-OBRA DE SERVENTE PARA SERVICOS DECONSERVACAO, INCLUSIVE ENCARGOS SOCIAISDESONERADOS</t>
  </si>
  <si>
    <t>09.003.0162-0</t>
  </si>
  <si>
    <t>ESPECIES VEGETAIS COM ALTURA DE(0,10 A 0,40)M,TIPO JASMIM ESTRELA,CAETIZINHO,CANA DA INDIA, CANA-INDICA,BIRI, CURCULIGO, GENGIBRE AZUL,IXORA ANA,PLANTA DA VIDA,ARARUTA,RHOEO,COPO DELEITE OU SIMILAR E CONSIDERANDO 12 MUDAS P/M2.FORNECIMENTO</t>
  </si>
  <si>
    <t>10875</t>
  </si>
  <si>
    <t>PLANTA ESP.VEG.C/ALT.(0,10 A 0,40)M, TIPO JASMINUM NITIDUM (JASMIM ESTRELA)</t>
  </si>
  <si>
    <t>09.003.0162-A</t>
  </si>
  <si>
    <t>12.7</t>
  </si>
  <si>
    <t>12.8</t>
  </si>
  <si>
    <t>09.001.0020-0</t>
  </si>
  <si>
    <t>01901</t>
  </si>
  <si>
    <t>MAO-DE-OBRA DE SERVENTE PARA SERVICOS DECONSERVACAO, INCLUSIVE ENCARGOS SOCIAIS</t>
  </si>
  <si>
    <t>03.016.0015-B</t>
  </si>
  <si>
    <t>ESCAVACAO MECANICA DE VALA NAO ESCORADA,EM MATERIAL DE 1¦CATEGORIA,ATE 1,50M DE PROFUNDIDADE,UTILIZANDO RETRO-ESCAVADEIR A,EXCLUSIVE ESGOTAMENTO</t>
  </si>
  <si>
    <t>30591</t>
  </si>
  <si>
    <t>19.005.0028-E RETRO-ESCAVADEIRA,MOTOR DIESEL 75CV (CI)</t>
  </si>
  <si>
    <t>30589</t>
  </si>
  <si>
    <t>19.005.0028-C RETRO-ESCAVADEIRA,MOTOR DIESEL 75CV (CP)</t>
  </si>
  <si>
    <t>2.5</t>
  </si>
  <si>
    <t>03.016.0015-1</t>
  </si>
  <si>
    <t>01862</t>
  </si>
  <si>
    <t>19.005.0028-4 RETRO-ESCAVADEIRA,MOTOR DIESEL 75CV (CI)</t>
  </si>
  <si>
    <t>01860</t>
  </si>
  <si>
    <t>19.005.0028-2 RETRO-ESCAVADEIRA,MOTOR DIESEL 75CV (CP)</t>
  </si>
  <si>
    <t>0034492</t>
  </si>
  <si>
    <t>CONCRETO USINADO BOMBEAVEL, CLASSE DE RESISTENCIA C20, COM BRITA 0 E 1, SLUMP = 100 +/- 20 MM, EXCLUI SERVICO DE BOMBEAMENTO (NBR 8953)</t>
  </si>
  <si>
    <t>0007156</t>
  </si>
  <si>
    <t>TELA DE ACO SOLDADA NERVURADA, CA-60, Q-196, (3,11 KG/M2), DIAMETRO DO FIO = 5,0 MM, LARGURA = 2,45 M, ESPACAMENTO DA MALHA = 10 X 10 CM</t>
  </si>
  <si>
    <t>0003777</t>
  </si>
  <si>
    <t>LONA PLASTICA PESADA PRETA, E = 150 MICRA</t>
  </si>
  <si>
    <t>So00000094993</t>
  </si>
  <si>
    <t>So0007156</t>
  </si>
  <si>
    <t>So0003777</t>
  </si>
  <si>
    <t>So0034492</t>
  </si>
  <si>
    <t>12.9</t>
  </si>
  <si>
    <t>EXECUÇÃO DE PASSEIO (CALÇADA) OU PISO DE CONCRETO COM CONCRETO MOLDADO IN LOCO, USINADO, ACABAMENTO CONVENCIONAL, ESPESSURA 12 CM, ARMADO. AF_07/2016</t>
  </si>
  <si>
    <r>
      <t xml:space="preserve">SI00000094993 </t>
    </r>
    <r>
      <rPr>
        <b/>
        <sz val="11"/>
        <rFont val="Times New Roman"/>
        <family val="1"/>
      </rPr>
      <t>(COMPOSIÇÃO)</t>
    </r>
  </si>
  <si>
    <t>So00000089448</t>
  </si>
  <si>
    <t>TUBO, PVC, SOLDÁVEL, DN 40MM, INSTALADO EM PRUMADA DE ÁGUA - FORNECIMENTO E INSTALAÇÃO. AF_12/2014</t>
  </si>
  <si>
    <t>So0009874</t>
  </si>
  <si>
    <t>TUBO PVC, SOLDAVEL, DN 40 MM, AGUA FRIA (NBR-5648)</t>
  </si>
  <si>
    <t>15.003.0380-0</t>
  </si>
  <si>
    <t>02983</t>
  </si>
  <si>
    <t>BRACO EM ALUMINIO, DE 1/2", PARA CHUVEIRO ELETRICO</t>
  </si>
  <si>
    <t xml:space="preserve">ASSENTAMENTO DE CHUVEIRO PARA PNE E BANCO ,INCLUSIVE MATERIAIS NECESSARIOS E BRACO CROMADO (OBS.:3%-DESGASTE DE FERRAMENTAS E EPI). </t>
  </si>
  <si>
    <t>BANCO DE BANHO PNE // PADOVANI  MATERIAIS P/ CONSTRUÇÃO // CNPJ: 50.223.692/0004-58</t>
  </si>
  <si>
    <t>BANCO DE BANHO PNE //AMERICANAS // CNPJ: 00.776.574/0006-60</t>
  </si>
  <si>
    <t>BANCO DE BANHO PNE // MAGALU // CNPJ: 47.960.950/1088-36</t>
  </si>
  <si>
    <t>CHUVEIRO DE PAREDE COM DESVIADOR E DUCHA MANUAL //  PADOVANI  MATERIAIS P/ CONSTRUÇÃO // CNPJ: 50.223.692/0004-58</t>
  </si>
  <si>
    <t>CHUVEIRO DE PAREDE COM DESVIADOR E DUCHA MANUAL //  AMAZON // CNPJ  15.436.940/0001-03</t>
  </si>
  <si>
    <t>CHUVEIRO DE PAREDE COM DESVIADOR E DUCHA MANUAL //  CASA MATTOS  //   CNPJ: 119.525.302/0001-01</t>
  </si>
  <si>
    <t>TOTAL MEDIA</t>
  </si>
  <si>
    <t>7.74</t>
  </si>
  <si>
    <t>7.75</t>
  </si>
  <si>
    <t>7.76</t>
  </si>
  <si>
    <t>7.77</t>
  </si>
  <si>
    <t>SI00000089448</t>
  </si>
  <si>
    <t>0009874</t>
  </si>
  <si>
    <t>15.003.0380-A</t>
  </si>
  <si>
    <t>Serviço : IMPLANTAÇÃO DE CRECHE VISTA ALEGRE</t>
  </si>
  <si>
    <t>Local: RUA SÃO PEDRO, LOTE A1, LOTEAMENTO VILAGE NORTE, VISTA ALEGRE</t>
  </si>
  <si>
    <t>PROJETO: Aqt° Mariana Teixeira</t>
  </si>
  <si>
    <t>LEVANTAMENTO: Aqt° Mariana Teixeira</t>
  </si>
  <si>
    <t>DATA:21/10/21</t>
  </si>
  <si>
    <r>
      <t>Data-Base:   EMOP -  RJ / SINAPI e SCO-RJ-</t>
    </r>
    <r>
      <rPr>
        <b/>
        <sz val="12"/>
        <color indexed="8"/>
        <rFont val="Arial"/>
        <family val="2"/>
      </rPr>
      <t xml:space="preserve"> Onerado</t>
    </r>
    <r>
      <rPr>
        <b/>
        <sz val="12"/>
        <color indexed="8"/>
        <rFont val="Arial"/>
        <family val="2"/>
      </rPr>
      <t xml:space="preserve"> -</t>
    </r>
    <r>
      <rPr>
        <sz val="12"/>
        <color indexed="8"/>
        <rFont val="Arial"/>
        <family val="2"/>
      </rPr>
      <t xml:space="preserve"> Base JULHO - 2021</t>
    </r>
  </si>
  <si>
    <t>BDI: 28,82%</t>
  </si>
  <si>
    <t>BDI: 22,47%</t>
  </si>
  <si>
    <t>PLANILHA DE ORÇAMENTO</t>
  </si>
</sst>
</file>

<file path=xl/styles.xml><?xml version="1.0" encoding="utf-8"?>
<styleSheet xmlns="http://schemas.openxmlformats.org/spreadsheetml/2006/main">
  <numFmts count="45">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0"/>
    <numFmt numFmtId="171" formatCode="#,##0.00000"/>
    <numFmt numFmtId="172" formatCode="0.0%"/>
    <numFmt numFmtId="173" formatCode="_([$€]* #,##0.00_);_([$€]* \(#,##0.00\);_([$€]* &quot;-&quot;??_);_(@_)"/>
    <numFmt numFmtId="174" formatCode="_(* #,##0.00_);_(* \(#,##0.00\);_(* &quot;-&quot;??_);_(@_)"/>
    <numFmt numFmtId="175" formatCode="&quot;Sim&quot;;&quot;Sim&quot;;&quot;Não&quot;"/>
    <numFmt numFmtId="176" formatCode="&quot;Verdadeiro&quot;;&quot;Verdadeiro&quot;;&quot;Falso&quot;"/>
    <numFmt numFmtId="177" formatCode="&quot;Ativado&quot;;&quot;Ativado&quot;;&quot;Desativado&quot;"/>
    <numFmt numFmtId="178" formatCode="[$€-2]\ #,##0.00_);[Red]\([$€-2]\ #,##0.00\)"/>
    <numFmt numFmtId="179" formatCode="#,##0.00_ ;\-#,##0.00\ "/>
    <numFmt numFmtId="180" formatCode="0.0"/>
    <numFmt numFmtId="181" formatCode="0.000"/>
    <numFmt numFmtId="182" formatCode="0.0000"/>
    <numFmt numFmtId="183" formatCode="0.00000"/>
    <numFmt numFmtId="184" formatCode="0.000000"/>
    <numFmt numFmtId="185" formatCode="0.0000000"/>
    <numFmt numFmtId="186" formatCode="0.00000000"/>
    <numFmt numFmtId="187" formatCode="0.000000000"/>
    <numFmt numFmtId="188" formatCode="0.0000000000"/>
    <numFmt numFmtId="189" formatCode="0.00000000000"/>
    <numFmt numFmtId="190" formatCode="0.000000000000"/>
    <numFmt numFmtId="191" formatCode="0.0000000000000"/>
    <numFmt numFmtId="192" formatCode="0.00000000000000"/>
    <numFmt numFmtId="193" formatCode="mmm/yyyy"/>
    <numFmt numFmtId="194" formatCode="&quot;R$&quot;\ #,##0.00"/>
    <numFmt numFmtId="195" formatCode="#,##0.0"/>
    <numFmt numFmtId="196" formatCode="_ * #,##0.00_ ;_ * \-#,##0.00_ ;_ * &quot;-&quot;??_ ;_ @_ "/>
    <numFmt numFmtId="197" formatCode="#,##0.000"/>
    <numFmt numFmtId="198" formatCode="#,##0.00&quot; &quot;;&quot; (&quot;#,##0.00&quot;)&quot;;&quot; -&quot;#&quot; &quot;;@&quot; &quot;"/>
    <numFmt numFmtId="199" formatCode="#,##0.00&quot; &quot;;&quot;-&quot;#,##0.00&quot; &quot;;&quot; -&quot;#&quot; &quot;;@&quot; &quot;"/>
    <numFmt numFmtId="200" formatCode="[$R$-416]&quot; &quot;#,##0.00;[Red]&quot;-&quot;[$R$-416]&quot; &quot;#,##0.00"/>
  </numFmts>
  <fonts count="66">
    <font>
      <sz val="11"/>
      <color theme="1"/>
      <name val="Calibri"/>
      <family val="2"/>
    </font>
    <font>
      <sz val="11"/>
      <color indexed="8"/>
      <name val="Calibri"/>
      <family val="2"/>
    </font>
    <font>
      <sz val="10"/>
      <name val="Arial"/>
      <family val="2"/>
    </font>
    <font>
      <sz val="11"/>
      <name val="Arial"/>
      <family val="2"/>
    </font>
    <font>
      <sz val="12"/>
      <name val="Arial"/>
      <family val="2"/>
    </font>
    <font>
      <b/>
      <sz val="12"/>
      <name val="Arial"/>
      <family val="2"/>
    </font>
    <font>
      <b/>
      <sz val="12"/>
      <color indexed="8"/>
      <name val="Arial"/>
      <family val="2"/>
    </font>
    <font>
      <sz val="12"/>
      <color indexed="8"/>
      <name val="Arial"/>
      <family val="2"/>
    </font>
    <font>
      <b/>
      <sz val="15"/>
      <color indexed="56"/>
      <name val="Calibri"/>
      <family val="2"/>
    </font>
    <font>
      <sz val="10"/>
      <name val="Times New Roman"/>
      <family val="1"/>
    </font>
    <font>
      <b/>
      <sz val="15"/>
      <color indexed="48"/>
      <name val="Calibri"/>
      <family val="2"/>
    </font>
    <font>
      <b/>
      <sz val="11"/>
      <name val="Arial"/>
      <family val="2"/>
    </font>
    <font>
      <b/>
      <sz val="11"/>
      <color indexed="8"/>
      <name val="Arial"/>
      <family val="2"/>
    </font>
    <font>
      <sz val="11"/>
      <name val="Times New Roman"/>
      <family val="1"/>
    </font>
    <font>
      <sz val="11"/>
      <color indexed="8"/>
      <name val="Arial"/>
      <family val="2"/>
    </font>
    <font>
      <b/>
      <sz val="11"/>
      <name val="Times New Roman"/>
      <family val="1"/>
    </font>
    <font>
      <sz val="11"/>
      <color indexed="8"/>
      <name val="Times New Roman"/>
      <family val="1"/>
    </font>
    <font>
      <b/>
      <sz val="11"/>
      <color indexed="8"/>
      <name val="Times New Roman"/>
      <family val="1"/>
    </font>
    <font>
      <sz val="10"/>
      <color indexed="8"/>
      <name val="Arial1"/>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b/>
      <i/>
      <sz val="16"/>
      <color indexed="8"/>
      <name val="Arial"/>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i/>
      <u val="single"/>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b/>
      <sz val="11"/>
      <name val="Calibri"/>
      <family val="2"/>
    </font>
    <font>
      <sz val="10"/>
      <color rgb="FF000000"/>
      <name val="Arial1"/>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000000"/>
      <name val="Calibri"/>
      <family val="2"/>
    </font>
    <font>
      <b/>
      <i/>
      <sz val="16"/>
      <color rgb="FF000000"/>
      <name val="Arial"/>
      <family val="2"/>
    </font>
    <font>
      <u val="single"/>
      <sz val="11"/>
      <color theme="10"/>
      <name val="Calibri"/>
      <family val="2"/>
    </font>
    <font>
      <u val="single"/>
      <sz val="11"/>
      <color theme="11"/>
      <name val="Calibri"/>
      <family val="2"/>
    </font>
    <font>
      <sz val="11"/>
      <color rgb="FF9C6500"/>
      <name val="Calibri"/>
      <family val="2"/>
    </font>
    <font>
      <sz val="11"/>
      <color rgb="FF000000"/>
      <name val="Arial"/>
      <family val="2"/>
    </font>
    <font>
      <b/>
      <i/>
      <u val="single"/>
      <sz val="11"/>
      <color rgb="FF00000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Arial"/>
      <family val="2"/>
    </font>
    <font>
      <sz val="12"/>
      <color theme="1"/>
      <name val="Arial"/>
      <family val="2"/>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right style="thin"/>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39" fillId="0" borderId="0" applyNumberFormat="0" applyBorder="0" applyProtection="0">
      <alignment/>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39" fillId="0" borderId="0" applyNumberFormat="0" applyBorder="0" applyProtection="0">
      <alignment/>
    </xf>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98" fontId="39" fillId="0" borderId="0" applyBorder="0" applyProtection="0">
      <alignment/>
    </xf>
    <xf numFmtId="198" fontId="39" fillId="0" borderId="0" applyBorder="0" applyProtection="0">
      <alignment/>
    </xf>
    <xf numFmtId="0" fontId="46" fillId="0" borderId="0" applyNumberFormat="0" applyBorder="0" applyProtection="0">
      <alignment/>
    </xf>
    <xf numFmtId="0" fontId="39" fillId="0" borderId="0" applyNumberFormat="0" applyBorder="0" applyProtection="0">
      <alignment/>
    </xf>
    <xf numFmtId="199" fontId="46" fillId="0" borderId="0" applyBorder="0" applyProtection="0">
      <alignment/>
    </xf>
    <xf numFmtId="0" fontId="47" fillId="0" borderId="0" applyNumberFormat="0" applyBorder="0" applyProtection="0">
      <alignment horizontal="center"/>
    </xf>
    <xf numFmtId="0" fontId="47" fillId="0" borderId="0" applyNumberFormat="0" applyBorder="0" applyProtection="0">
      <alignment horizontal="center" textRotation="90"/>
    </xf>
    <xf numFmtId="0" fontId="48" fillId="0" borderId="0" applyNumberFormat="0" applyFill="0" applyBorder="0" applyAlignment="0" applyProtection="0"/>
    <xf numFmtId="0" fontId="49"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0" fontId="50" fillId="30" borderId="0" applyNumberFormat="0" applyBorder="0" applyAlignment="0" applyProtection="0"/>
    <xf numFmtId="0" fontId="2" fillId="0" borderId="0">
      <alignment/>
      <protection/>
    </xf>
    <xf numFmtId="0" fontId="2" fillId="0" borderId="0">
      <alignment/>
      <protection/>
    </xf>
    <xf numFmtId="0" fontId="51" fillId="0" borderId="0">
      <alignment/>
      <protection/>
    </xf>
    <xf numFmtId="0" fontId="2" fillId="0" borderId="0">
      <alignment/>
      <protection/>
    </xf>
    <xf numFmtId="0" fontId="2" fillId="0" borderId="0">
      <alignment/>
      <protection/>
    </xf>
    <xf numFmtId="0" fontId="9"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2" fillId="0" borderId="0" applyNumberFormat="0" applyBorder="0" applyProtection="0">
      <alignment/>
    </xf>
    <xf numFmtId="200" fontId="52" fillId="0" borderId="0" applyBorder="0" applyProtection="0">
      <alignment/>
    </xf>
    <xf numFmtId="0" fontId="53" fillId="32" borderId="0" applyNumberFormat="0" applyBorder="0" applyAlignment="0" applyProtection="0"/>
    <xf numFmtId="0" fontId="54" fillId="21" borderId="5" applyNumberFormat="0" applyAlignment="0" applyProtection="0"/>
    <xf numFmtId="41" fontId="0" fillId="0" borderId="0" applyFont="0" applyFill="0" applyBorder="0" applyAlignment="0" applyProtection="0"/>
    <xf numFmtId="174" fontId="2" fillId="0" borderId="0" applyFont="0" applyFill="0" applyBorder="0" applyAlignment="0" applyProtection="0"/>
    <xf numFmtId="198" fontId="39" fillId="0" borderId="0" applyBorder="0" applyProtection="0">
      <alignment/>
    </xf>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61" fillId="0" borderId="10" applyNumberFormat="0" applyFill="0" applyAlignment="0" applyProtection="0"/>
    <xf numFmtId="43" fontId="0"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14" fillId="0" borderId="0" applyFont="0" applyFill="0" applyBorder="0" applyAlignment="0" applyProtection="0"/>
  </cellStyleXfs>
  <cellXfs count="156">
    <xf numFmtId="0" fontId="0" fillId="0" borderId="0" xfId="0" applyFont="1" applyAlignment="1">
      <alignment/>
    </xf>
    <xf numFmtId="0" fontId="0" fillId="0" borderId="0" xfId="0" applyAlignment="1">
      <alignment horizontal="justify" vertical="justify" wrapText="1"/>
    </xf>
    <xf numFmtId="49" fontId="62" fillId="33" borderId="11" xfId="80" applyNumberFormat="1" applyFont="1" applyFill="1" applyBorder="1" applyAlignment="1">
      <alignment horizontal="center"/>
      <protection/>
    </xf>
    <xf numFmtId="49" fontId="62" fillId="33" borderId="12" xfId="69" applyNumberFormat="1" applyFont="1" applyFill="1" applyBorder="1">
      <alignment/>
      <protection/>
    </xf>
    <xf numFmtId="4" fontId="62" fillId="33" borderId="12" xfId="69" applyNumberFormat="1" applyFont="1" applyFill="1" applyBorder="1" applyAlignment="1">
      <alignment horizontal="left" readingOrder="1"/>
      <protection/>
    </xf>
    <xf numFmtId="4" fontId="62" fillId="33" borderId="11" xfId="81" applyNumberFormat="1" applyFont="1" applyFill="1" applyBorder="1" applyAlignment="1">
      <alignment horizontal="left" vertical="center"/>
      <protection/>
    </xf>
    <xf numFmtId="4" fontId="62" fillId="33" borderId="12" xfId="0" applyNumberFormat="1" applyFont="1" applyFill="1" applyBorder="1" applyAlignment="1">
      <alignment horizontal="left"/>
    </xf>
    <xf numFmtId="4" fontId="62" fillId="33" borderId="12" xfId="80" applyNumberFormat="1" applyFont="1" applyFill="1" applyBorder="1" applyAlignment="1">
      <alignment horizontal="left"/>
      <protection/>
    </xf>
    <xf numFmtId="4" fontId="62" fillId="33" borderId="13" xfId="80" applyNumberFormat="1" applyFont="1" applyFill="1" applyBorder="1" applyAlignment="1">
      <alignment horizontal="left"/>
      <protection/>
    </xf>
    <xf numFmtId="49" fontId="62" fillId="33" borderId="14" xfId="80" applyNumberFormat="1" applyFont="1" applyFill="1" applyBorder="1" applyAlignment="1">
      <alignment horizontal="center"/>
      <protection/>
    </xf>
    <xf numFmtId="49" fontId="62" fillId="33" borderId="0" xfId="69" applyNumberFormat="1" applyFont="1" applyFill="1" applyBorder="1">
      <alignment/>
      <protection/>
    </xf>
    <xf numFmtId="4" fontId="62" fillId="33" borderId="0" xfId="69" applyNumberFormat="1" applyFont="1" applyFill="1" applyBorder="1" applyAlignment="1">
      <alignment horizontal="left" readingOrder="1"/>
      <protection/>
    </xf>
    <xf numFmtId="4" fontId="62" fillId="33" borderId="14" xfId="81" applyNumberFormat="1" applyFont="1" applyFill="1" applyBorder="1" applyAlignment="1">
      <alignment horizontal="left" vertical="center"/>
      <protection/>
    </xf>
    <xf numFmtId="4" fontId="62" fillId="33" borderId="0" xfId="80" applyNumberFormat="1" applyFont="1" applyFill="1" applyBorder="1" applyAlignment="1">
      <alignment horizontal="left"/>
      <protection/>
    </xf>
    <xf numFmtId="4" fontId="62" fillId="33" borderId="0" xfId="69" applyNumberFormat="1" applyFont="1" applyFill="1" applyBorder="1" applyAlignment="1">
      <alignment horizontal="left"/>
      <protection/>
    </xf>
    <xf numFmtId="4" fontId="62" fillId="33" borderId="15" xfId="69" applyNumberFormat="1" applyFont="1" applyFill="1" applyBorder="1" applyAlignment="1">
      <alignment horizontal="left"/>
      <protection/>
    </xf>
    <xf numFmtId="4" fontId="63" fillId="33" borderId="0" xfId="69" applyNumberFormat="1" applyFont="1" applyFill="1" applyBorder="1" applyAlignment="1">
      <alignment vertical="center" wrapText="1" readingOrder="1"/>
      <protection/>
    </xf>
    <xf numFmtId="4" fontId="63" fillId="33" borderId="0" xfId="69" applyNumberFormat="1" applyFont="1" applyFill="1" applyBorder="1">
      <alignment/>
      <protection/>
    </xf>
    <xf numFmtId="49" fontId="62" fillId="33" borderId="16" xfId="80" applyNumberFormat="1" applyFont="1" applyFill="1" applyBorder="1" applyAlignment="1">
      <alignment horizontal="center"/>
      <protection/>
    </xf>
    <xf numFmtId="49" fontId="62" fillId="33" borderId="17" xfId="81" applyNumberFormat="1" applyFont="1" applyFill="1" applyBorder="1" applyAlignment="1">
      <alignment horizontal="center"/>
      <protection/>
    </xf>
    <xf numFmtId="4" fontId="63" fillId="33" borderId="17" xfId="81" applyNumberFormat="1" applyFont="1" applyFill="1" applyBorder="1" applyAlignment="1">
      <alignment/>
      <protection/>
    </xf>
    <xf numFmtId="0" fontId="62" fillId="34" borderId="18" xfId="0" applyFont="1" applyFill="1" applyBorder="1" applyAlignment="1">
      <alignment/>
    </xf>
    <xf numFmtId="4" fontId="4" fillId="33" borderId="0" xfId="69" applyNumberFormat="1" applyFont="1" applyFill="1" applyBorder="1" applyAlignment="1">
      <alignment vertical="center" wrapText="1" readingOrder="1"/>
      <protection/>
    </xf>
    <xf numFmtId="4" fontId="5" fillId="33" borderId="0" xfId="81" applyNumberFormat="1" applyFont="1" applyFill="1" applyBorder="1" applyAlignment="1">
      <alignment horizontal="left"/>
      <protection/>
    </xf>
    <xf numFmtId="4" fontId="12" fillId="0" borderId="18" xfId="0" applyNumberFormat="1" applyFont="1" applyBorder="1" applyAlignment="1">
      <alignment horizontal="center" vertical="center"/>
    </xf>
    <xf numFmtId="0" fontId="3" fillId="0" borderId="0" xfId="0" applyFont="1" applyAlignment="1">
      <alignment/>
    </xf>
    <xf numFmtId="0" fontId="12" fillId="0" borderId="18" xfId="0" applyFont="1" applyBorder="1" applyAlignment="1">
      <alignment horizontal="center" vertical="center"/>
    </xf>
    <xf numFmtId="0" fontId="62" fillId="34" borderId="19" xfId="0" applyFont="1" applyFill="1" applyBorder="1" applyAlignment="1">
      <alignment/>
    </xf>
    <xf numFmtId="0" fontId="62" fillId="34" borderId="20" xfId="0" applyFont="1" applyFill="1" applyBorder="1" applyAlignment="1">
      <alignment/>
    </xf>
    <xf numFmtId="0" fontId="62" fillId="34" borderId="21" xfId="0" applyFont="1" applyFill="1" applyBorder="1" applyAlignment="1">
      <alignment/>
    </xf>
    <xf numFmtId="0" fontId="3" fillId="0" borderId="0" xfId="83" applyFont="1" applyFill="1" applyBorder="1" applyAlignment="1">
      <alignment horizontal="center" vertical="center"/>
      <protection/>
    </xf>
    <xf numFmtId="4" fontId="3" fillId="0" borderId="0" xfId="83" applyNumberFormat="1" applyFont="1" applyFill="1" applyBorder="1" applyAlignment="1">
      <alignment horizontal="right"/>
      <protection/>
    </xf>
    <xf numFmtId="4" fontId="3" fillId="0" borderId="0" xfId="84" applyNumberFormat="1" applyFont="1" applyFill="1" applyBorder="1" applyAlignment="1">
      <alignment horizontal="right"/>
      <protection/>
    </xf>
    <xf numFmtId="4" fontId="3" fillId="0" borderId="0" xfId="0" applyNumberFormat="1" applyFont="1" applyFill="1" applyBorder="1" applyAlignment="1">
      <alignment horizontal="right"/>
    </xf>
    <xf numFmtId="0" fontId="3" fillId="0" borderId="0" xfId="0" applyFont="1" applyFill="1" applyBorder="1" applyAlignment="1">
      <alignment/>
    </xf>
    <xf numFmtId="0" fontId="3" fillId="0" borderId="0" xfId="83" applyFont="1" applyFill="1" applyBorder="1" applyAlignment="1">
      <alignment horizontal="justify" vertical="justify" wrapText="1"/>
      <protection/>
    </xf>
    <xf numFmtId="4" fontId="3" fillId="0" borderId="0" xfId="83" applyNumberFormat="1" applyFont="1" applyFill="1" applyBorder="1" applyAlignment="1">
      <alignment horizontal="justify" vertical="justify" wrapText="1"/>
      <protection/>
    </xf>
    <xf numFmtId="4" fontId="3" fillId="0" borderId="0" xfId="83" applyNumberFormat="1" applyFont="1" applyFill="1" applyBorder="1" applyAlignment="1">
      <alignment/>
      <protection/>
    </xf>
    <xf numFmtId="0" fontId="5" fillId="0" borderId="20" xfId="0" applyFont="1" applyFill="1" applyBorder="1" applyAlignment="1">
      <alignment horizontal="right"/>
    </xf>
    <xf numFmtId="0" fontId="5" fillId="0" borderId="21" xfId="0" applyFont="1" applyFill="1" applyBorder="1" applyAlignment="1">
      <alignment horizontal="right"/>
    </xf>
    <xf numFmtId="0" fontId="5" fillId="0" borderId="21" xfId="0" applyFont="1" applyFill="1" applyBorder="1" applyAlignment="1">
      <alignment horizontal="right" vertical="justify" wrapText="1"/>
    </xf>
    <xf numFmtId="4" fontId="38" fillId="0" borderId="19" xfId="0" applyNumberFormat="1" applyFont="1" applyFill="1" applyBorder="1" applyAlignment="1">
      <alignment horizontal="right"/>
    </xf>
    <xf numFmtId="0" fontId="38" fillId="0" borderId="0" xfId="0" applyFont="1" applyFill="1" applyAlignment="1">
      <alignment horizontal="right"/>
    </xf>
    <xf numFmtId="0" fontId="13" fillId="0" borderId="0" xfId="69" applyFont="1" applyFill="1" applyBorder="1" applyAlignment="1">
      <alignment horizontal="center" vertical="center" wrapText="1"/>
      <protection/>
    </xf>
    <xf numFmtId="4" fontId="13" fillId="0" borderId="0" xfId="64" applyNumberFormat="1" applyFont="1" applyFill="1" applyBorder="1" applyAlignment="1">
      <alignment horizontal="right"/>
      <protection/>
    </xf>
    <xf numFmtId="4" fontId="64" fillId="0" borderId="0" xfId="82" applyNumberFormat="1" applyFont="1" applyFill="1" applyBorder="1" applyAlignment="1">
      <alignment horizontal="left" vertical="center" wrapText="1"/>
      <protection/>
    </xf>
    <xf numFmtId="4" fontId="64" fillId="0" borderId="0" xfId="82" applyNumberFormat="1" applyFont="1" applyFill="1" applyBorder="1" applyAlignment="1">
      <alignment horizontal="center"/>
      <protection/>
    </xf>
    <xf numFmtId="4" fontId="13" fillId="2" borderId="18" xfId="64" applyNumberFormat="1" applyFont="1" applyFill="1" applyBorder="1" applyAlignment="1">
      <alignment horizontal="right"/>
      <protection/>
    </xf>
    <xf numFmtId="0" fontId="11" fillId="0" borderId="0" xfId="83" applyFont="1" applyFill="1" applyBorder="1" applyAlignment="1">
      <alignment horizontal="justify" vertical="justify" wrapText="1"/>
      <protection/>
    </xf>
    <xf numFmtId="4" fontId="11" fillId="0" borderId="0" xfId="83" applyNumberFormat="1" applyFont="1" applyFill="1" applyBorder="1" applyAlignment="1">
      <alignment horizontal="justify" vertical="justify" wrapText="1"/>
      <protection/>
    </xf>
    <xf numFmtId="4" fontId="11" fillId="0" borderId="0" xfId="84" applyNumberFormat="1" applyFont="1" applyFill="1" applyBorder="1" applyAlignment="1">
      <alignment horizontal="right"/>
      <protection/>
    </xf>
    <xf numFmtId="4" fontId="11" fillId="0" borderId="0" xfId="0" applyNumberFormat="1" applyFont="1" applyFill="1" applyBorder="1" applyAlignment="1">
      <alignment horizontal="right"/>
    </xf>
    <xf numFmtId="0" fontId="15" fillId="0" borderId="0" xfId="69" applyFont="1" applyFill="1" applyBorder="1" applyAlignment="1">
      <alignment horizontal="center" vertical="center" wrapText="1"/>
      <protection/>
    </xf>
    <xf numFmtId="4" fontId="11" fillId="0" borderId="0" xfId="83" applyNumberFormat="1" applyFont="1" applyFill="1" applyBorder="1" applyAlignment="1">
      <alignment horizontal="right"/>
      <protection/>
    </xf>
    <xf numFmtId="0" fontId="11" fillId="0" borderId="0" xfId="83" applyFont="1" applyFill="1" applyBorder="1" applyAlignment="1">
      <alignment horizontal="center" vertical="center"/>
      <protection/>
    </xf>
    <xf numFmtId="4" fontId="65" fillId="0" borderId="0" xfId="82" applyNumberFormat="1" applyFont="1" applyFill="1" applyBorder="1" applyAlignment="1">
      <alignment horizontal="left" vertical="center" wrapText="1"/>
      <protection/>
    </xf>
    <xf numFmtId="4" fontId="65" fillId="0" borderId="0" xfId="82" applyNumberFormat="1" applyFont="1" applyFill="1" applyBorder="1" applyAlignment="1">
      <alignment horizontal="center"/>
      <protection/>
    </xf>
    <xf numFmtId="4" fontId="15" fillId="0" borderId="0" xfId="64" applyNumberFormat="1" applyFont="1" applyFill="1" applyBorder="1" applyAlignment="1">
      <alignment horizontal="right"/>
      <protection/>
    </xf>
    <xf numFmtId="0" fontId="11" fillId="0" borderId="0" xfId="0" applyFont="1" applyFill="1" applyBorder="1" applyAlignment="1">
      <alignment/>
    </xf>
    <xf numFmtId="4" fontId="3" fillId="0" borderId="0" xfId="83" applyNumberFormat="1" applyFont="1" applyFill="1" applyBorder="1" applyAlignment="1">
      <alignment horizontal="left"/>
      <protection/>
    </xf>
    <xf numFmtId="0" fontId="3" fillId="0" borderId="0" xfId="84" applyFont="1" applyFill="1" applyBorder="1" applyAlignment="1">
      <alignment horizontal="center" vertical="center"/>
      <protection/>
    </xf>
    <xf numFmtId="0" fontId="11" fillId="0" borderId="0" xfId="84" applyFont="1" applyFill="1" applyBorder="1" applyAlignment="1">
      <alignment horizontal="center" vertical="center"/>
      <protection/>
    </xf>
    <xf numFmtId="197" fontId="65" fillId="0" borderId="0" xfId="69" applyNumberFormat="1" applyFont="1" applyFill="1" applyBorder="1" applyAlignment="1">
      <alignment horizontal="left" vertical="center" wrapText="1"/>
      <protection/>
    </xf>
    <xf numFmtId="197" fontId="65" fillId="0" borderId="0" xfId="69" applyNumberFormat="1" applyFont="1" applyFill="1" applyBorder="1">
      <alignment/>
      <protection/>
    </xf>
    <xf numFmtId="197" fontId="15" fillId="0" borderId="0" xfId="69" applyNumberFormat="1" applyFont="1" applyFill="1" applyBorder="1" applyAlignment="1">
      <alignment horizontal="center" vertical="center" wrapText="1"/>
      <protection/>
    </xf>
    <xf numFmtId="0" fontId="3" fillId="0" borderId="20" xfId="83" applyFont="1" applyFill="1" applyBorder="1" applyAlignment="1">
      <alignment horizontal="center" vertical="center"/>
      <protection/>
    </xf>
    <xf numFmtId="0" fontId="13" fillId="0" borderId="21" xfId="69" applyFont="1" applyFill="1" applyBorder="1" applyAlignment="1">
      <alignment horizontal="center" vertical="center" wrapText="1"/>
      <protection/>
    </xf>
    <xf numFmtId="4" fontId="64" fillId="0" borderId="21" xfId="82" applyNumberFormat="1" applyFont="1" applyFill="1" applyBorder="1" applyAlignment="1">
      <alignment horizontal="left" vertical="center" wrapText="1"/>
      <protection/>
    </xf>
    <xf numFmtId="4" fontId="64" fillId="0" borderId="21" xfId="82" applyNumberFormat="1" applyFont="1" applyFill="1" applyBorder="1" applyAlignment="1">
      <alignment horizontal="center"/>
      <protection/>
    </xf>
    <xf numFmtId="4" fontId="13" fillId="0" borderId="21" xfId="64" applyNumberFormat="1" applyFont="1" applyFill="1" applyBorder="1" applyAlignment="1">
      <alignment horizontal="right"/>
      <protection/>
    </xf>
    <xf numFmtId="4" fontId="3" fillId="0" borderId="21" xfId="83" applyNumberFormat="1" applyFont="1" applyFill="1" applyBorder="1" applyAlignment="1">
      <alignment horizontal="right"/>
      <protection/>
    </xf>
    <xf numFmtId="4" fontId="3" fillId="0" borderId="21" xfId="0" applyNumberFormat="1" applyFont="1" applyFill="1" applyBorder="1" applyAlignment="1">
      <alignment horizontal="right"/>
    </xf>
    <xf numFmtId="0" fontId="3" fillId="0" borderId="21" xfId="0" applyFont="1" applyFill="1" applyBorder="1" applyAlignment="1">
      <alignment/>
    </xf>
    <xf numFmtId="4" fontId="11" fillId="0" borderId="20" xfId="84" applyNumberFormat="1" applyFont="1" applyFill="1" applyBorder="1" applyAlignment="1">
      <alignment horizontal="right"/>
      <protection/>
    </xf>
    <xf numFmtId="4" fontId="11" fillId="0" borderId="21" xfId="84" applyNumberFormat="1" applyFont="1" applyFill="1" applyBorder="1" applyAlignment="1">
      <alignment horizontal="right"/>
      <protection/>
    </xf>
    <xf numFmtId="4" fontId="11" fillId="0" borderId="19" xfId="84" applyNumberFormat="1" applyFont="1" applyFill="1" applyBorder="1" applyAlignment="1">
      <alignment horizontal="right"/>
      <protection/>
    </xf>
    <xf numFmtId="0" fontId="63" fillId="0" borderId="0" xfId="0" applyFont="1" applyFill="1" applyBorder="1" applyAlignment="1">
      <alignment/>
    </xf>
    <xf numFmtId="0" fontId="63" fillId="0" borderId="0" xfId="0" applyFont="1" applyFill="1" applyBorder="1" applyAlignment="1">
      <alignment wrapText="1"/>
    </xf>
    <xf numFmtId="4" fontId="63" fillId="0" borderId="0" xfId="0" applyNumberFormat="1" applyFont="1" applyFill="1" applyBorder="1" applyAlignment="1">
      <alignment/>
    </xf>
    <xf numFmtId="4" fontId="64" fillId="0" borderId="0" xfId="82" applyNumberFormat="1" applyFont="1" applyFill="1" applyBorder="1" applyAlignment="1">
      <alignment horizontal="left"/>
      <protection/>
    </xf>
    <xf numFmtId="0" fontId="3" fillId="17" borderId="18" xfId="83" applyFont="1" applyFill="1" applyBorder="1" applyAlignment="1">
      <alignment horizontal="center" vertical="center"/>
      <protection/>
    </xf>
    <xf numFmtId="0" fontId="13" fillId="17" borderId="18" xfId="69" applyFont="1" applyFill="1" applyBorder="1" applyAlignment="1">
      <alignment horizontal="center" vertical="center" wrapText="1"/>
      <protection/>
    </xf>
    <xf numFmtId="4" fontId="64" fillId="17" borderId="18" xfId="82" applyNumberFormat="1" applyFont="1" applyFill="1" applyBorder="1" applyAlignment="1">
      <alignment horizontal="left" vertical="center" wrapText="1"/>
      <protection/>
    </xf>
    <xf numFmtId="4" fontId="64" fillId="17" borderId="18" xfId="82" applyNumberFormat="1" applyFont="1" applyFill="1" applyBorder="1" applyAlignment="1">
      <alignment horizontal="center"/>
      <protection/>
    </xf>
    <xf numFmtId="4" fontId="13" fillId="17" borderId="18" xfId="64" applyNumberFormat="1" applyFont="1" applyFill="1" applyBorder="1" applyAlignment="1">
      <alignment horizontal="right"/>
      <protection/>
    </xf>
    <xf numFmtId="4" fontId="3" fillId="17" borderId="18" xfId="83" applyNumberFormat="1" applyFont="1" applyFill="1" applyBorder="1" applyAlignment="1">
      <alignment horizontal="right"/>
      <protection/>
    </xf>
    <xf numFmtId="4" fontId="3" fillId="17" borderId="18" xfId="84" applyNumberFormat="1" applyFont="1" applyFill="1" applyBorder="1" applyAlignment="1">
      <alignment horizontal="right"/>
      <protection/>
    </xf>
    <xf numFmtId="4" fontId="3" fillId="17" borderId="18" xfId="0" applyNumberFormat="1" applyFont="1" applyFill="1" applyBorder="1" applyAlignment="1">
      <alignment horizontal="right"/>
    </xf>
    <xf numFmtId="0" fontId="3" fillId="17" borderId="0" xfId="0" applyFont="1" applyFill="1" applyBorder="1" applyAlignment="1">
      <alignment/>
    </xf>
    <xf numFmtId="0" fontId="15" fillId="17" borderId="18" xfId="69" applyFont="1" applyFill="1" applyBorder="1" applyAlignment="1">
      <alignment horizontal="center" vertical="center" wrapText="1"/>
      <protection/>
    </xf>
    <xf numFmtId="0" fontId="11" fillId="17" borderId="18" xfId="83" applyFont="1" applyFill="1" applyBorder="1" applyAlignment="1">
      <alignment horizontal="center" vertical="center"/>
      <protection/>
    </xf>
    <xf numFmtId="4" fontId="65" fillId="17" borderId="18" xfId="82" applyNumberFormat="1" applyFont="1" applyFill="1" applyBorder="1" applyAlignment="1">
      <alignment horizontal="left" vertical="center" wrapText="1"/>
      <protection/>
    </xf>
    <xf numFmtId="4" fontId="65" fillId="17" borderId="18" xfId="82" applyNumberFormat="1" applyFont="1" applyFill="1" applyBorder="1" applyAlignment="1">
      <alignment horizontal="center"/>
      <protection/>
    </xf>
    <xf numFmtId="4" fontId="15" fillId="17" borderId="18" xfId="64" applyNumberFormat="1" applyFont="1" applyFill="1" applyBorder="1" applyAlignment="1">
      <alignment horizontal="right"/>
      <protection/>
    </xf>
    <xf numFmtId="4" fontId="11" fillId="17" borderId="18" xfId="83" applyNumberFormat="1" applyFont="1" applyFill="1" applyBorder="1" applyAlignment="1">
      <alignment horizontal="right"/>
      <protection/>
    </xf>
    <xf numFmtId="4" fontId="11" fillId="17" borderId="18" xfId="0" applyNumberFormat="1" applyFont="1" applyFill="1" applyBorder="1" applyAlignment="1">
      <alignment horizontal="right"/>
    </xf>
    <xf numFmtId="0" fontId="11" fillId="17" borderId="0" xfId="0" applyFont="1" applyFill="1" applyBorder="1" applyAlignment="1">
      <alignment/>
    </xf>
    <xf numFmtId="0" fontId="3" fillId="17" borderId="18" xfId="84" applyFont="1" applyFill="1" applyBorder="1" applyAlignment="1">
      <alignment horizontal="center" vertical="center"/>
      <protection/>
    </xf>
    <xf numFmtId="0" fontId="62" fillId="17" borderId="21" xfId="0" applyFont="1" applyFill="1" applyBorder="1" applyAlignment="1">
      <alignment/>
    </xf>
    <xf numFmtId="0" fontId="3" fillId="11" borderId="18" xfId="83" applyFont="1" applyFill="1" applyBorder="1" applyAlignment="1">
      <alignment horizontal="center" vertical="center"/>
      <protection/>
    </xf>
    <xf numFmtId="0" fontId="13" fillId="11" borderId="18" xfId="69" applyFont="1" applyFill="1" applyBorder="1" applyAlignment="1">
      <alignment horizontal="center" vertical="center" wrapText="1"/>
      <protection/>
    </xf>
    <xf numFmtId="4" fontId="64" fillId="11" borderId="18" xfId="82" applyNumberFormat="1" applyFont="1" applyFill="1" applyBorder="1" applyAlignment="1">
      <alignment horizontal="left" vertical="center" wrapText="1"/>
      <protection/>
    </xf>
    <xf numFmtId="4" fontId="64" fillId="11" borderId="18" xfId="82" applyNumberFormat="1" applyFont="1" applyFill="1" applyBorder="1" applyAlignment="1">
      <alignment horizontal="center"/>
      <protection/>
    </xf>
    <xf numFmtId="4" fontId="13" fillId="11" borderId="18" xfId="64" applyNumberFormat="1" applyFont="1" applyFill="1" applyBorder="1" applyAlignment="1">
      <alignment horizontal="right"/>
      <protection/>
    </xf>
    <xf numFmtId="4" fontId="3" fillId="11" borderId="18" xfId="83" applyNumberFormat="1" applyFont="1" applyFill="1" applyBorder="1" applyAlignment="1">
      <alignment horizontal="right"/>
      <protection/>
    </xf>
    <xf numFmtId="4" fontId="3" fillId="11" borderId="18" xfId="84" applyNumberFormat="1" applyFont="1" applyFill="1" applyBorder="1" applyAlignment="1">
      <alignment horizontal="right"/>
      <protection/>
    </xf>
    <xf numFmtId="4" fontId="3" fillId="11" borderId="18" xfId="0" applyNumberFormat="1" applyFont="1" applyFill="1" applyBorder="1" applyAlignment="1">
      <alignment horizontal="right"/>
    </xf>
    <xf numFmtId="0" fontId="3" fillId="11" borderId="0" xfId="0" applyFont="1" applyFill="1" applyBorder="1" applyAlignment="1">
      <alignment/>
    </xf>
    <xf numFmtId="0" fontId="11" fillId="11" borderId="18" xfId="83" applyFont="1" applyFill="1" applyBorder="1" applyAlignment="1">
      <alignment horizontal="center" vertical="center"/>
      <protection/>
    </xf>
    <xf numFmtId="0" fontId="15" fillId="11" borderId="18" xfId="69" applyFont="1" applyFill="1" applyBorder="1" applyAlignment="1">
      <alignment horizontal="center" vertical="center" wrapText="1"/>
      <protection/>
    </xf>
    <xf numFmtId="4" fontId="65" fillId="11" borderId="18" xfId="82" applyNumberFormat="1" applyFont="1" applyFill="1" applyBorder="1" applyAlignment="1">
      <alignment horizontal="left" vertical="center" wrapText="1"/>
      <protection/>
    </xf>
    <xf numFmtId="4" fontId="65" fillId="11" borderId="18" xfId="82" applyNumberFormat="1" applyFont="1" applyFill="1" applyBorder="1" applyAlignment="1">
      <alignment horizontal="center"/>
      <protection/>
    </xf>
    <xf numFmtId="4" fontId="15" fillId="11" borderId="18" xfId="64" applyNumberFormat="1" applyFont="1" applyFill="1" applyBorder="1" applyAlignment="1">
      <alignment horizontal="right"/>
      <protection/>
    </xf>
    <xf numFmtId="4" fontId="11" fillId="11" borderId="18" xfId="83" applyNumberFormat="1" applyFont="1" applyFill="1" applyBorder="1" applyAlignment="1">
      <alignment horizontal="right"/>
      <protection/>
    </xf>
    <xf numFmtId="4" fontId="11" fillId="11" borderId="18" xfId="84" applyNumberFormat="1" applyFont="1" applyFill="1" applyBorder="1" applyAlignment="1">
      <alignment horizontal="right"/>
      <protection/>
    </xf>
    <xf numFmtId="4" fontId="11" fillId="11" borderId="18" xfId="0" applyNumberFormat="1" applyFont="1" applyFill="1" applyBorder="1" applyAlignment="1">
      <alignment horizontal="right"/>
    </xf>
    <xf numFmtId="0" fontId="11" fillId="11" borderId="0" xfId="0" applyFont="1" applyFill="1" applyBorder="1" applyAlignment="1">
      <alignment/>
    </xf>
    <xf numFmtId="0" fontId="62" fillId="0" borderId="0" xfId="0" applyFont="1" applyFill="1" applyBorder="1" applyAlignment="1">
      <alignment/>
    </xf>
    <xf numFmtId="0" fontId="3" fillId="0" borderId="18" xfId="83" applyFont="1" applyFill="1" applyBorder="1" applyAlignment="1">
      <alignment horizontal="center" vertical="center"/>
      <protection/>
    </xf>
    <xf numFmtId="0" fontId="13" fillId="0" borderId="18" xfId="69" applyFont="1" applyFill="1" applyBorder="1" applyAlignment="1">
      <alignment horizontal="center" vertical="center" wrapText="1"/>
      <protection/>
    </xf>
    <xf numFmtId="4" fontId="64" fillId="0" borderId="18" xfId="82" applyNumberFormat="1" applyFont="1" applyFill="1" applyBorder="1" applyAlignment="1">
      <alignment horizontal="left" vertical="center" wrapText="1"/>
      <protection/>
    </xf>
    <xf numFmtId="4" fontId="64" fillId="0" borderId="18" xfId="82" applyNumberFormat="1" applyFont="1" applyFill="1" applyBorder="1" applyAlignment="1">
      <alignment horizontal="center"/>
      <protection/>
    </xf>
    <xf numFmtId="4" fontId="13" fillId="0" borderId="18" xfId="64" applyNumberFormat="1" applyFont="1" applyFill="1" applyBorder="1" applyAlignment="1">
      <alignment horizontal="right"/>
      <protection/>
    </xf>
    <xf numFmtId="4" fontId="3" fillId="0" borderId="18" xfId="83" applyNumberFormat="1" applyFont="1" applyFill="1" applyBorder="1" applyAlignment="1">
      <alignment horizontal="right"/>
      <protection/>
    </xf>
    <xf numFmtId="4" fontId="3" fillId="0" borderId="18" xfId="84" applyNumberFormat="1" applyFont="1" applyFill="1" applyBorder="1" applyAlignment="1">
      <alignment horizontal="right"/>
      <protection/>
    </xf>
    <xf numFmtId="4" fontId="3" fillId="0" borderId="18" xfId="0" applyNumberFormat="1" applyFont="1" applyFill="1" applyBorder="1" applyAlignment="1">
      <alignment horizontal="right"/>
    </xf>
    <xf numFmtId="0" fontId="15" fillId="0" borderId="18" xfId="69" applyFont="1" applyFill="1" applyBorder="1" applyAlignment="1">
      <alignment horizontal="center" vertical="center" wrapText="1"/>
      <protection/>
    </xf>
    <xf numFmtId="0" fontId="11" fillId="0" borderId="18" xfId="83" applyFont="1" applyFill="1" applyBorder="1" applyAlignment="1">
      <alignment horizontal="center" vertical="center"/>
      <protection/>
    </xf>
    <xf numFmtId="4" fontId="65" fillId="0" borderId="18" xfId="82" applyNumberFormat="1" applyFont="1" applyFill="1" applyBorder="1" applyAlignment="1">
      <alignment horizontal="left" vertical="center" wrapText="1"/>
      <protection/>
    </xf>
    <xf numFmtId="4" fontId="65" fillId="0" borderId="18" xfId="82" applyNumberFormat="1" applyFont="1" applyFill="1" applyBorder="1" applyAlignment="1">
      <alignment horizontal="center"/>
      <protection/>
    </xf>
    <xf numFmtId="4" fontId="15" fillId="0" borderId="18" xfId="64" applyNumberFormat="1" applyFont="1" applyFill="1" applyBorder="1" applyAlignment="1">
      <alignment horizontal="right"/>
      <protection/>
    </xf>
    <xf numFmtId="4" fontId="11" fillId="0" borderId="18" xfId="83" applyNumberFormat="1" applyFont="1" applyFill="1" applyBorder="1" applyAlignment="1">
      <alignment horizontal="right"/>
      <protection/>
    </xf>
    <xf numFmtId="4" fontId="11" fillId="0" borderId="18" xfId="0" applyNumberFormat="1" applyFont="1" applyFill="1" applyBorder="1" applyAlignment="1">
      <alignment horizontal="right"/>
    </xf>
    <xf numFmtId="0" fontId="3" fillId="0" borderId="18" xfId="84" applyFont="1" applyFill="1" applyBorder="1" applyAlignment="1">
      <alignment horizontal="center" vertical="center"/>
      <protection/>
    </xf>
    <xf numFmtId="0" fontId="62" fillId="0" borderId="21" xfId="0" applyFont="1" applyFill="1" applyBorder="1" applyAlignment="1">
      <alignment/>
    </xf>
    <xf numFmtId="4" fontId="63" fillId="33" borderId="14" xfId="81" applyNumberFormat="1" applyFont="1" applyFill="1" applyBorder="1" applyAlignment="1">
      <alignment horizontal="left" vertical="center"/>
      <protection/>
    </xf>
    <xf numFmtId="4" fontId="63" fillId="33" borderId="0" xfId="81" applyNumberFormat="1" applyFont="1" applyFill="1" applyBorder="1" applyAlignment="1">
      <alignment horizontal="left" vertical="center"/>
      <protection/>
    </xf>
    <xf numFmtId="4" fontId="63" fillId="33" borderId="15" xfId="81" applyNumberFormat="1" applyFont="1" applyFill="1" applyBorder="1" applyAlignment="1">
      <alignment horizontal="left" vertical="center"/>
      <protection/>
    </xf>
    <xf numFmtId="0" fontId="4" fillId="33" borderId="14" xfId="0" applyFont="1" applyFill="1" applyBorder="1" applyAlignment="1">
      <alignment horizontal="left" vertical="center" wrapText="1" readingOrder="1"/>
    </xf>
    <xf numFmtId="0" fontId="4" fillId="33" borderId="0" xfId="0" applyFont="1" applyFill="1" applyBorder="1" applyAlignment="1">
      <alignment horizontal="left" vertical="center" wrapText="1" readingOrder="1"/>
    </xf>
    <xf numFmtId="0" fontId="4" fillId="33" borderId="15" xfId="0" applyFont="1" applyFill="1" applyBorder="1" applyAlignment="1">
      <alignment horizontal="left" vertical="center" wrapText="1" readingOrder="1"/>
    </xf>
    <xf numFmtId="0" fontId="4" fillId="33" borderId="14"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15" xfId="0" applyFont="1" applyFill="1" applyBorder="1" applyAlignment="1">
      <alignment horizontal="left" vertical="center" wrapText="1"/>
    </xf>
    <xf numFmtId="4" fontId="63" fillId="33" borderId="14" xfId="69" applyNumberFormat="1" applyFont="1" applyFill="1" applyBorder="1" applyAlignment="1">
      <alignment horizontal="left" vertical="center"/>
      <protection/>
    </xf>
    <xf numFmtId="4" fontId="63" fillId="33" borderId="0" xfId="69" applyNumberFormat="1" applyFont="1" applyFill="1" applyBorder="1" applyAlignment="1">
      <alignment horizontal="left" vertical="center"/>
      <protection/>
    </xf>
    <xf numFmtId="4" fontId="63" fillId="33" borderId="15" xfId="69" applyNumberFormat="1" applyFont="1" applyFill="1" applyBorder="1" applyAlignment="1">
      <alignment horizontal="left" vertical="center"/>
      <protection/>
    </xf>
    <xf numFmtId="0" fontId="4" fillId="33" borderId="16" xfId="81" applyFont="1" applyFill="1" applyBorder="1" applyAlignment="1">
      <alignment horizontal="left"/>
      <protection/>
    </xf>
    <xf numFmtId="0" fontId="4" fillId="33" borderId="17" xfId="81" applyFont="1" applyFill="1" applyBorder="1" applyAlignment="1">
      <alignment horizontal="left"/>
      <protection/>
    </xf>
    <xf numFmtId="0" fontId="4" fillId="33" borderId="22" xfId="81" applyFont="1" applyFill="1" applyBorder="1" applyAlignment="1">
      <alignment horizontal="left"/>
      <protection/>
    </xf>
    <xf numFmtId="4" fontId="11" fillId="0" borderId="18" xfId="0" applyNumberFormat="1" applyFont="1" applyFill="1" applyBorder="1" applyAlignment="1">
      <alignment horizontal="center" vertical="center"/>
    </xf>
    <xf numFmtId="49" fontId="62" fillId="33" borderId="20" xfId="80" applyNumberFormat="1" applyFont="1" applyFill="1" applyBorder="1" applyAlignment="1">
      <alignment horizontal="center" vertical="center" wrapText="1"/>
      <protection/>
    </xf>
    <xf numFmtId="0" fontId="63" fillId="33" borderId="21"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18" xfId="0" applyFont="1" applyFill="1" applyBorder="1" applyAlignment="1">
      <alignment horizontal="center" vertical="center" wrapText="1"/>
    </xf>
    <xf numFmtId="4" fontId="12" fillId="0" borderId="18" xfId="0" applyNumberFormat="1" applyFont="1" applyBorder="1" applyAlignment="1">
      <alignment horizontal="center" vertical="center"/>
    </xf>
  </cellXfs>
  <cellStyles count="97">
    <cellStyle name="Normal" xfId="0"/>
    <cellStyle name="20% - Ênfase1" xfId="15"/>
    <cellStyle name="20% - Ênfase1 100" xfId="16"/>
    <cellStyle name="20% - Ênfase2" xfId="17"/>
    <cellStyle name="20% - Ênfase3" xfId="18"/>
    <cellStyle name="20% - Ênfase4" xfId="19"/>
    <cellStyle name="20% - Ênfase5" xfId="20"/>
    <cellStyle name="20% - Ênfase6" xfId="21"/>
    <cellStyle name="40% - Ênfase1" xfId="22"/>
    <cellStyle name="40% - Ênfase2" xfId="23"/>
    <cellStyle name="40% - Ênfase3" xfId="24"/>
    <cellStyle name="40% - Ênfase4" xfId="25"/>
    <cellStyle name="40% - Ênfase5" xfId="26"/>
    <cellStyle name="40% - Ênfase6" xfId="27"/>
    <cellStyle name="60% - Ênfase1" xfId="28"/>
    <cellStyle name="60% - Ênfase2" xfId="29"/>
    <cellStyle name="60% - Ênfase3" xfId="30"/>
    <cellStyle name="60% - Ênfase4" xfId="31"/>
    <cellStyle name="60% - Ênfase5" xfId="32"/>
    <cellStyle name="60% - Ênfase6" xfId="33"/>
    <cellStyle name="60% - Ênfase6 37" xfId="34"/>
    <cellStyle name="Bom" xfId="35"/>
    <cellStyle name="Cálculo" xfId="36"/>
    <cellStyle name="Célula de Verificação" xfId="37"/>
    <cellStyle name="Célula Vinculada" xfId="38"/>
    <cellStyle name="Ênfase1" xfId="39"/>
    <cellStyle name="Ênfase2" xfId="40"/>
    <cellStyle name="Ênfase3" xfId="41"/>
    <cellStyle name="Ênfase4" xfId="42"/>
    <cellStyle name="Ênfase5" xfId="43"/>
    <cellStyle name="Ênfase6" xfId="44"/>
    <cellStyle name="Entrada" xfId="45"/>
    <cellStyle name="Euro" xfId="46"/>
    <cellStyle name="Euro 2" xfId="47"/>
    <cellStyle name="Euro 2 2" xfId="48"/>
    <cellStyle name="Excel Built-in Excel Built-in Excel Built-in Excel Built-in Excel Built-in Excel Built-in Excel Built-in Excel Built-in Separador de milhares 4" xfId="49"/>
    <cellStyle name="Excel Built-in Excel Built-in Excel Built-in Excel Built-in Excel Built-in Excel Built-in Excel Built-in Separador de milhares 4" xfId="50"/>
    <cellStyle name="Excel Built-in Normal" xfId="51"/>
    <cellStyle name="Excel Built-in Normal 1" xfId="52"/>
    <cellStyle name="Excel_BuiltIn_Comma" xfId="53"/>
    <cellStyle name="Heading" xfId="54"/>
    <cellStyle name="Heading1" xfId="55"/>
    <cellStyle name="Hyperlink" xfId="56"/>
    <cellStyle name="Followed Hyperlink" xfId="57"/>
    <cellStyle name="Currency" xfId="58"/>
    <cellStyle name="Currency [0]" xfId="59"/>
    <cellStyle name="Moeda 2" xfId="60"/>
    <cellStyle name="Moeda 3" xfId="61"/>
    <cellStyle name="Neutro" xfId="62"/>
    <cellStyle name="Normal 10" xfId="63"/>
    <cellStyle name="Normal 11" xfId="64"/>
    <cellStyle name="Normal 12" xfId="65"/>
    <cellStyle name="Normal 2" xfId="66"/>
    <cellStyle name="Normal 2 2" xfId="67"/>
    <cellStyle name="Normal 2 2 2" xfId="68"/>
    <cellStyle name="Normal 2 3" xfId="69"/>
    <cellStyle name="Normal 3" xfId="70"/>
    <cellStyle name="Normal 3 2" xfId="71"/>
    <cellStyle name="Normal 4" xfId="72"/>
    <cellStyle name="Normal 4 2" xfId="73"/>
    <cellStyle name="Normal 4 3" xfId="74"/>
    <cellStyle name="Normal 5" xfId="75"/>
    <cellStyle name="Normal 6" xfId="76"/>
    <cellStyle name="Normal 7" xfId="77"/>
    <cellStyle name="Normal 8" xfId="78"/>
    <cellStyle name="Normal 9" xfId="79"/>
    <cellStyle name="Normal_P_Getulio Vargas" xfId="80"/>
    <cellStyle name="Normal_P_Getulio Vargas 2" xfId="81"/>
    <cellStyle name="Normal_P-HLEITE" xfId="82"/>
    <cellStyle name="Normal_RUAS 3,4,7 e 8 R-1" xfId="83"/>
    <cellStyle name="Normal_RUAS 3,4,7 e 8 R-1 2 2" xfId="84"/>
    <cellStyle name="Nota" xfId="85"/>
    <cellStyle name="Percent" xfId="86"/>
    <cellStyle name="Porcentagem 2" xfId="87"/>
    <cellStyle name="Porcentagem 3" xfId="88"/>
    <cellStyle name="Result" xfId="89"/>
    <cellStyle name="Result2" xfId="90"/>
    <cellStyle name="Ruim" xfId="91"/>
    <cellStyle name="Saída" xfId="92"/>
    <cellStyle name="Comma [0]" xfId="93"/>
    <cellStyle name="Separador de milhares 2" xfId="94"/>
    <cellStyle name="Separador de milhares 4" xfId="95"/>
    <cellStyle name="Texto de Aviso" xfId="96"/>
    <cellStyle name="Texto Explicativo" xfId="97"/>
    <cellStyle name="Título" xfId="98"/>
    <cellStyle name="Título 1" xfId="99"/>
    <cellStyle name="Título 1 1" xfId="100"/>
    <cellStyle name="Título 1 1 1" xfId="101"/>
    <cellStyle name="Título 1 1_PLAN   (2)" xfId="102"/>
    <cellStyle name="Título 2" xfId="103"/>
    <cellStyle name="Título 3" xfId="104"/>
    <cellStyle name="Título 4" xfId="105"/>
    <cellStyle name="Total" xfId="106"/>
    <cellStyle name="Comma" xfId="107"/>
    <cellStyle name="Vírgula 2" xfId="108"/>
    <cellStyle name="Vírgula 3" xfId="109"/>
    <cellStyle name="Vírgula 4"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771525</xdr:colOff>
      <xdr:row>6</xdr:row>
      <xdr:rowOff>57150</xdr:rowOff>
    </xdr:to>
    <xdr:sp>
      <xdr:nvSpPr>
        <xdr:cNvPr id="1" name="Picture 2"/>
        <xdr:cNvSpPr>
          <a:spLocks noChangeAspect="1"/>
        </xdr:cNvSpPr>
      </xdr:nvSpPr>
      <xdr:spPr>
        <a:xfrm>
          <a:off x="0" y="0"/>
          <a:ext cx="1381125"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371475</xdr:colOff>
      <xdr:row>0</xdr:row>
      <xdr:rowOff>114300</xdr:rowOff>
    </xdr:from>
    <xdr:to>
      <xdr:col>1</xdr:col>
      <xdr:colOff>1143000</xdr:colOff>
      <xdr:row>7</xdr:row>
      <xdr:rowOff>161925</xdr:rowOff>
    </xdr:to>
    <xdr:sp>
      <xdr:nvSpPr>
        <xdr:cNvPr id="2" name="Picture 2"/>
        <xdr:cNvSpPr>
          <a:spLocks noChangeAspect="1"/>
        </xdr:cNvSpPr>
      </xdr:nvSpPr>
      <xdr:spPr>
        <a:xfrm>
          <a:off x="371475" y="114300"/>
          <a:ext cx="1381125"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771525</xdr:colOff>
      <xdr:row>6</xdr:row>
      <xdr:rowOff>57150</xdr:rowOff>
    </xdr:to>
    <xdr:sp>
      <xdr:nvSpPr>
        <xdr:cNvPr id="1" name="Picture 2"/>
        <xdr:cNvSpPr>
          <a:spLocks noChangeAspect="1"/>
        </xdr:cNvSpPr>
      </xdr:nvSpPr>
      <xdr:spPr>
        <a:xfrm>
          <a:off x="0" y="0"/>
          <a:ext cx="1381125"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371475</xdr:colOff>
      <xdr:row>0</xdr:row>
      <xdr:rowOff>114300</xdr:rowOff>
    </xdr:from>
    <xdr:to>
      <xdr:col>1</xdr:col>
      <xdr:colOff>1143000</xdr:colOff>
      <xdr:row>7</xdr:row>
      <xdr:rowOff>161925</xdr:rowOff>
    </xdr:to>
    <xdr:sp>
      <xdr:nvSpPr>
        <xdr:cNvPr id="2" name="Picture 2"/>
        <xdr:cNvSpPr>
          <a:spLocks noChangeAspect="1"/>
        </xdr:cNvSpPr>
      </xdr:nvSpPr>
      <xdr:spPr>
        <a:xfrm>
          <a:off x="371475" y="114300"/>
          <a:ext cx="1381125"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771525</xdr:colOff>
      <xdr:row>6</xdr:row>
      <xdr:rowOff>57150</xdr:rowOff>
    </xdr:to>
    <xdr:sp>
      <xdr:nvSpPr>
        <xdr:cNvPr id="1" name="Picture 2"/>
        <xdr:cNvSpPr>
          <a:spLocks noChangeAspect="1"/>
        </xdr:cNvSpPr>
      </xdr:nvSpPr>
      <xdr:spPr>
        <a:xfrm>
          <a:off x="0" y="0"/>
          <a:ext cx="1381125"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371475</xdr:colOff>
      <xdr:row>0</xdr:row>
      <xdr:rowOff>114300</xdr:rowOff>
    </xdr:from>
    <xdr:to>
      <xdr:col>1</xdr:col>
      <xdr:colOff>1143000</xdr:colOff>
      <xdr:row>7</xdr:row>
      <xdr:rowOff>161925</xdr:rowOff>
    </xdr:to>
    <xdr:sp>
      <xdr:nvSpPr>
        <xdr:cNvPr id="2" name="Picture 2"/>
        <xdr:cNvSpPr>
          <a:spLocks noChangeAspect="1"/>
        </xdr:cNvSpPr>
      </xdr:nvSpPr>
      <xdr:spPr>
        <a:xfrm>
          <a:off x="371475" y="114300"/>
          <a:ext cx="1381125"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Users\alfredo.cunha\Documents\Meus%20Documentos\ALFREDO\QUADRA%20PARQUE%20INDEPEND&#202;NCIA\Or&#231;amento%20n&#186;0xx-2014_%20Constru&#231;&#227;o%20de%20Quadra%20Poliesportiva%20Coberta%20Parque%20Independ&#234;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MÓRIA"/>
      <sheetName val="EMOP"/>
      <sheetName val="SUSESP"/>
      <sheetName val="SUSESP SP"/>
      <sheetName val="Cronograma "/>
      <sheetName val="Cronograma  s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690"/>
  <sheetViews>
    <sheetView tabSelected="1" view="pageBreakPreview" zoomScale="70" zoomScaleSheetLayoutView="70" zoomScalePageLayoutView="0" workbookViewId="0" topLeftCell="A179">
      <selection activeCell="B183" sqref="B183"/>
    </sheetView>
  </sheetViews>
  <sheetFormatPr defaultColWidth="9.140625" defaultRowHeight="15"/>
  <cols>
    <col min="2" max="2" width="23.421875" style="0" customWidth="1"/>
    <col min="3" max="3" width="90.421875" style="1" customWidth="1"/>
    <col min="4" max="4" width="11.140625" style="0" customWidth="1"/>
    <col min="5" max="5" width="10.7109375" style="0" bestFit="1" customWidth="1"/>
    <col min="6" max="6" width="19.00390625" style="0" bestFit="1" customWidth="1"/>
    <col min="7" max="7" width="13.8515625" style="0" bestFit="1" customWidth="1"/>
    <col min="8" max="8" width="16.8515625" style="0" bestFit="1" customWidth="1"/>
    <col min="9" max="9" width="17.140625" style="0" bestFit="1" customWidth="1"/>
    <col min="10" max="11" width="10.7109375" style="0" bestFit="1" customWidth="1"/>
  </cols>
  <sheetData>
    <row r="1" spans="1:11" ht="15.75">
      <c r="A1" s="2"/>
      <c r="B1" s="3"/>
      <c r="C1" s="4" t="s">
        <v>13</v>
      </c>
      <c r="D1" s="5"/>
      <c r="E1" s="6"/>
      <c r="F1" s="7"/>
      <c r="G1" s="8"/>
      <c r="J1" s="6"/>
      <c r="K1" s="6"/>
    </row>
    <row r="2" spans="1:11" ht="15.75">
      <c r="A2" s="9"/>
      <c r="B2" s="10"/>
      <c r="C2" s="11" t="s">
        <v>14</v>
      </c>
      <c r="D2" s="12"/>
      <c r="E2" s="13"/>
      <c r="F2" s="14"/>
      <c r="G2" s="15"/>
      <c r="J2" s="13"/>
      <c r="K2" s="13"/>
    </row>
    <row r="3" spans="1:7" ht="15.75">
      <c r="A3" s="9"/>
      <c r="B3" s="10"/>
      <c r="C3" s="11" t="s">
        <v>15</v>
      </c>
      <c r="D3" s="135" t="s">
        <v>40</v>
      </c>
      <c r="E3" s="136"/>
      <c r="F3" s="136"/>
      <c r="G3" s="137"/>
    </row>
    <row r="4" spans="1:7" ht="15.75" customHeight="1">
      <c r="A4" s="9"/>
      <c r="B4" s="10"/>
      <c r="C4" s="16" t="s">
        <v>2486</v>
      </c>
      <c r="D4" s="138" t="s">
        <v>2490</v>
      </c>
      <c r="E4" s="139"/>
      <c r="F4" s="139"/>
      <c r="G4" s="140"/>
    </row>
    <row r="5" spans="1:7" ht="30">
      <c r="A5" s="9"/>
      <c r="B5" s="10"/>
      <c r="C5" s="22" t="s">
        <v>2487</v>
      </c>
      <c r="D5" s="141" t="s">
        <v>2488</v>
      </c>
      <c r="E5" s="142"/>
      <c r="F5" s="142"/>
      <c r="G5" s="143"/>
    </row>
    <row r="6" spans="1:7" ht="15.75">
      <c r="A6" s="9"/>
      <c r="B6" s="10"/>
      <c r="C6" s="17" t="s">
        <v>58</v>
      </c>
      <c r="D6" s="144" t="s">
        <v>2489</v>
      </c>
      <c r="E6" s="145"/>
      <c r="F6" s="145"/>
      <c r="G6" s="146"/>
    </row>
    <row r="7" spans="1:7" ht="15.75">
      <c r="A7" s="9"/>
      <c r="B7" s="10"/>
      <c r="C7" s="23" t="s">
        <v>2492</v>
      </c>
      <c r="D7" s="144" t="s">
        <v>42</v>
      </c>
      <c r="E7" s="145"/>
      <c r="F7" s="145"/>
      <c r="G7" s="146"/>
    </row>
    <row r="8" spans="1:7" ht="15.75">
      <c r="A8" s="18"/>
      <c r="B8" s="19"/>
      <c r="C8" s="20"/>
      <c r="D8" s="147" t="s">
        <v>24</v>
      </c>
      <c r="E8" s="148"/>
      <c r="F8" s="148"/>
      <c r="G8" s="149"/>
    </row>
    <row r="9" spans="1:7" ht="15">
      <c r="A9" s="151" t="s">
        <v>16</v>
      </c>
      <c r="B9" s="152"/>
      <c r="C9" s="152"/>
      <c r="D9" s="152"/>
      <c r="E9" s="152"/>
      <c r="F9" s="152"/>
      <c r="G9" s="152"/>
    </row>
    <row r="10" spans="1:11" s="25" customFormat="1" ht="12.75" customHeight="1">
      <c r="A10" s="153" t="s">
        <v>17</v>
      </c>
      <c r="B10" s="154" t="s">
        <v>25</v>
      </c>
      <c r="C10" s="154" t="s">
        <v>18</v>
      </c>
      <c r="D10" s="153" t="s">
        <v>10</v>
      </c>
      <c r="E10" s="150" t="s">
        <v>19</v>
      </c>
      <c r="F10" s="155" t="s">
        <v>20</v>
      </c>
      <c r="G10" s="155"/>
      <c r="H10" s="155"/>
      <c r="I10" s="155"/>
      <c r="J10" s="150" t="s">
        <v>19</v>
      </c>
      <c r="K10" s="150" t="s">
        <v>19</v>
      </c>
    </row>
    <row r="11" spans="1:11" s="25" customFormat="1" ht="12.75" customHeight="1">
      <c r="A11" s="153"/>
      <c r="B11" s="154"/>
      <c r="C11" s="154"/>
      <c r="D11" s="153"/>
      <c r="E11" s="150"/>
      <c r="F11" s="26" t="s">
        <v>28</v>
      </c>
      <c r="G11" s="26" t="s">
        <v>29</v>
      </c>
      <c r="H11" s="26" t="s">
        <v>30</v>
      </c>
      <c r="I11" s="24" t="s">
        <v>31</v>
      </c>
      <c r="J11" s="150"/>
      <c r="K11" s="150"/>
    </row>
    <row r="12" spans="1:11" s="21" customFormat="1" ht="15.75">
      <c r="A12" s="21" t="s">
        <v>11</v>
      </c>
      <c r="B12" s="28"/>
      <c r="C12" s="29" t="s">
        <v>12</v>
      </c>
      <c r="D12" s="29"/>
      <c r="E12" s="29"/>
      <c r="F12" s="29"/>
      <c r="G12" s="29"/>
      <c r="H12" s="29"/>
      <c r="I12" s="27"/>
      <c r="J12" s="29"/>
      <c r="K12" s="29"/>
    </row>
    <row r="13" spans="1:11" s="88" customFormat="1" ht="60">
      <c r="A13" s="80" t="s">
        <v>6</v>
      </c>
      <c r="B13" s="81" t="s">
        <v>59</v>
      </c>
      <c r="C13" s="82" t="s">
        <v>60</v>
      </c>
      <c r="D13" s="83" t="s">
        <v>0</v>
      </c>
      <c r="E13" s="84">
        <v>10</v>
      </c>
      <c r="F13" s="85">
        <f>TRUNC(G19,2)</f>
        <v>199.97</v>
      </c>
      <c r="G13" s="86">
        <f>TRUNC(F13*1.2882,2)</f>
        <v>257.6</v>
      </c>
      <c r="H13" s="86">
        <f>TRUNC(F13*E13,2)</f>
        <v>1999.7</v>
      </c>
      <c r="I13" s="87">
        <f>TRUNC(E13*G13,2)</f>
        <v>2576</v>
      </c>
      <c r="J13" s="87">
        <f>TRUNC(F13*H13,2)</f>
        <v>399880</v>
      </c>
      <c r="K13" s="84">
        <v>80</v>
      </c>
    </row>
    <row r="14" spans="1:11" s="34" customFormat="1" ht="30">
      <c r="A14" s="30"/>
      <c r="B14" s="43" t="s">
        <v>61</v>
      </c>
      <c r="C14" s="45" t="s">
        <v>62</v>
      </c>
      <c r="D14" s="46" t="s">
        <v>0</v>
      </c>
      <c r="E14" s="44">
        <v>1</v>
      </c>
      <c r="F14" s="31">
        <f>TRUNC(71.5834,2)</f>
        <v>71.58</v>
      </c>
      <c r="G14" s="32">
        <f>TRUNC(E14*F14,2)</f>
        <v>71.58</v>
      </c>
      <c r="H14" s="32"/>
      <c r="I14" s="33"/>
      <c r="J14" s="33"/>
      <c r="K14" s="44"/>
    </row>
    <row r="15" spans="1:11" s="34" customFormat="1" ht="30">
      <c r="A15" s="30"/>
      <c r="B15" s="43" t="s">
        <v>63</v>
      </c>
      <c r="C15" s="45" t="s">
        <v>64</v>
      </c>
      <c r="D15" s="46" t="s">
        <v>3</v>
      </c>
      <c r="E15" s="44">
        <v>0.3</v>
      </c>
      <c r="F15" s="31">
        <f>TRUNC(15.94,2)</f>
        <v>15.94</v>
      </c>
      <c r="G15" s="32">
        <f>TRUNC(E15*F15,2)</f>
        <v>4.78</v>
      </c>
      <c r="H15" s="32"/>
      <c r="I15" s="33"/>
      <c r="J15" s="33"/>
      <c r="K15" s="44"/>
    </row>
    <row r="16" spans="1:11" s="34" customFormat="1" ht="15">
      <c r="A16" s="30"/>
      <c r="B16" s="43" t="s">
        <v>65</v>
      </c>
      <c r="C16" s="45" t="s">
        <v>66</v>
      </c>
      <c r="D16" s="46" t="s">
        <v>2</v>
      </c>
      <c r="E16" s="44">
        <v>9.2</v>
      </c>
      <c r="F16" s="31">
        <f>TRUNC(5.45,2)</f>
        <v>5.45</v>
      </c>
      <c r="G16" s="32">
        <f>TRUNC(E16*F16,2)</f>
        <v>50.14</v>
      </c>
      <c r="H16" s="32"/>
      <c r="I16" s="33"/>
      <c r="J16" s="33"/>
      <c r="K16" s="44">
        <v>28.82</v>
      </c>
    </row>
    <row r="17" spans="1:11" s="34" customFormat="1" ht="30">
      <c r="A17" s="30"/>
      <c r="B17" s="43" t="s">
        <v>26</v>
      </c>
      <c r="C17" s="45" t="s">
        <v>27</v>
      </c>
      <c r="D17" s="46" t="s">
        <v>4</v>
      </c>
      <c r="E17" s="44">
        <v>2.06</v>
      </c>
      <c r="F17" s="31">
        <f>TRUNC(14.34,2)</f>
        <v>14.34</v>
      </c>
      <c r="G17" s="32">
        <f>TRUNC(E17*F17,2)</f>
        <v>29.54</v>
      </c>
      <c r="H17" s="32"/>
      <c r="I17" s="33"/>
      <c r="J17" s="33"/>
      <c r="K17" s="44"/>
    </row>
    <row r="18" spans="1:11" s="34" customFormat="1" ht="30">
      <c r="A18" s="30"/>
      <c r="B18" s="43" t="s">
        <v>67</v>
      </c>
      <c r="C18" s="45" t="s">
        <v>68</v>
      </c>
      <c r="D18" s="46" t="s">
        <v>4</v>
      </c>
      <c r="E18" s="44">
        <v>2.06</v>
      </c>
      <c r="F18" s="31">
        <f>TRUNC(21.33,2)</f>
        <v>21.33</v>
      </c>
      <c r="G18" s="32">
        <f>TRUNC(E18*F18,2)</f>
        <v>43.93</v>
      </c>
      <c r="H18" s="32"/>
      <c r="I18" s="33"/>
      <c r="J18" s="33"/>
      <c r="K18" s="44"/>
    </row>
    <row r="19" spans="1:11" s="34" customFormat="1" ht="15">
      <c r="A19" s="30"/>
      <c r="B19" s="43"/>
      <c r="C19" s="45"/>
      <c r="D19" s="46"/>
      <c r="E19" s="44" t="s">
        <v>5</v>
      </c>
      <c r="F19" s="31"/>
      <c r="G19" s="32">
        <f>TRUNC(SUM(G14:G18),2)</f>
        <v>199.97</v>
      </c>
      <c r="H19" s="32"/>
      <c r="I19" s="33"/>
      <c r="J19" s="33"/>
      <c r="K19" s="44"/>
    </row>
    <row r="20" spans="1:11" s="88" customFormat="1" ht="120">
      <c r="A20" s="80" t="s">
        <v>7</v>
      </c>
      <c r="B20" s="81" t="s">
        <v>95</v>
      </c>
      <c r="C20" s="82" t="s">
        <v>96</v>
      </c>
      <c r="D20" s="83" t="s">
        <v>0</v>
      </c>
      <c r="E20" s="84">
        <v>40</v>
      </c>
      <c r="F20" s="85">
        <f>TRUNC(G92,2)</f>
        <v>411.82</v>
      </c>
      <c r="G20" s="86">
        <f>TRUNC(F20*1.2882,2)</f>
        <v>530.5</v>
      </c>
      <c r="H20" s="86">
        <f>TRUNC(F20*E20,2)</f>
        <v>16472.8</v>
      </c>
      <c r="I20" s="87">
        <f>TRUNC(E20*G20,2)</f>
        <v>21220</v>
      </c>
      <c r="J20" s="87"/>
      <c r="K20" s="84"/>
    </row>
    <row r="21" spans="1:11" s="34" customFormat="1" ht="15">
      <c r="A21" s="30"/>
      <c r="B21" s="43" t="s">
        <v>97</v>
      </c>
      <c r="C21" s="45" t="s">
        <v>98</v>
      </c>
      <c r="D21" s="46" t="s">
        <v>10</v>
      </c>
      <c r="E21" s="44">
        <v>0.0267</v>
      </c>
      <c r="F21" s="31">
        <f>TRUNC(0.56,2)</f>
        <v>0.56</v>
      </c>
      <c r="G21" s="32">
        <f aca="true" t="shared" si="0" ref="G21:G51">TRUNC(E21*F21,2)</f>
        <v>0.01</v>
      </c>
      <c r="H21" s="32"/>
      <c r="I21" s="33"/>
      <c r="J21" s="33"/>
      <c r="K21" s="44"/>
    </row>
    <row r="22" spans="1:11" s="34" customFormat="1" ht="15">
      <c r="A22" s="30"/>
      <c r="B22" s="43" t="s">
        <v>99</v>
      </c>
      <c r="C22" s="45" t="s">
        <v>100</v>
      </c>
      <c r="D22" s="46" t="s">
        <v>10</v>
      </c>
      <c r="E22" s="44">
        <v>0.0267</v>
      </c>
      <c r="F22" s="31">
        <f>TRUNC(1.08,2)</f>
        <v>1.08</v>
      </c>
      <c r="G22" s="32">
        <f t="shared" si="0"/>
        <v>0.02</v>
      </c>
      <c r="H22" s="32"/>
      <c r="I22" s="33"/>
      <c r="J22" s="33"/>
      <c r="K22" s="44"/>
    </row>
    <row r="23" spans="1:11" s="34" customFormat="1" ht="15">
      <c r="A23" s="30"/>
      <c r="B23" s="43" t="s">
        <v>101</v>
      </c>
      <c r="C23" s="45" t="s">
        <v>102</v>
      </c>
      <c r="D23" s="46" t="s">
        <v>10</v>
      </c>
      <c r="E23" s="44">
        <v>0.032</v>
      </c>
      <c r="F23" s="31">
        <f>TRUNC(30.75,2)</f>
        <v>30.75</v>
      </c>
      <c r="G23" s="32">
        <f t="shared" si="0"/>
        <v>0.98</v>
      </c>
      <c r="H23" s="32"/>
      <c r="I23" s="33"/>
      <c r="J23" s="33"/>
      <c r="K23" s="44"/>
    </row>
    <row r="24" spans="1:11" s="34" customFormat="1" ht="15">
      <c r="A24" s="30"/>
      <c r="B24" s="43" t="s">
        <v>103</v>
      </c>
      <c r="C24" s="45" t="s">
        <v>104</v>
      </c>
      <c r="D24" s="46" t="s">
        <v>10</v>
      </c>
      <c r="E24" s="44">
        <v>0.0427</v>
      </c>
      <c r="F24" s="31">
        <f>TRUNC(6.63,2)</f>
        <v>6.63</v>
      </c>
      <c r="G24" s="32">
        <f t="shared" si="0"/>
        <v>0.28</v>
      </c>
      <c r="H24" s="32"/>
      <c r="I24" s="33"/>
      <c r="J24" s="33"/>
      <c r="K24" s="44"/>
    </row>
    <row r="25" spans="1:11" s="34" customFormat="1" ht="30">
      <c r="A25" s="30"/>
      <c r="B25" s="43" t="s">
        <v>105</v>
      </c>
      <c r="C25" s="45" t="s">
        <v>106</v>
      </c>
      <c r="D25" s="46" t="s">
        <v>10</v>
      </c>
      <c r="E25" s="44">
        <v>0.0267</v>
      </c>
      <c r="F25" s="31">
        <f>TRUNC(38.47,2)</f>
        <v>38.47</v>
      </c>
      <c r="G25" s="32">
        <f t="shared" si="0"/>
        <v>1.02</v>
      </c>
      <c r="H25" s="32"/>
      <c r="I25" s="33"/>
      <c r="J25" s="33"/>
      <c r="K25" s="44"/>
    </row>
    <row r="26" spans="1:11" s="34" customFormat="1" ht="30">
      <c r="A26" s="30"/>
      <c r="B26" s="43" t="s">
        <v>107</v>
      </c>
      <c r="C26" s="45" t="s">
        <v>108</v>
      </c>
      <c r="D26" s="46" t="s">
        <v>10</v>
      </c>
      <c r="E26" s="44">
        <v>0.0267</v>
      </c>
      <c r="F26" s="31">
        <f>TRUNC(48.29,2)</f>
        <v>48.29</v>
      </c>
      <c r="G26" s="32">
        <f t="shared" si="0"/>
        <v>1.28</v>
      </c>
      <c r="H26" s="32"/>
      <c r="I26" s="33"/>
      <c r="J26" s="33"/>
      <c r="K26" s="44"/>
    </row>
    <row r="27" spans="1:11" s="34" customFormat="1" ht="30">
      <c r="A27" s="30"/>
      <c r="B27" s="43" t="s">
        <v>109</v>
      </c>
      <c r="C27" s="45" t="s">
        <v>110</v>
      </c>
      <c r="D27" s="46" t="s">
        <v>10</v>
      </c>
      <c r="E27" s="44">
        <v>0.0222</v>
      </c>
      <c r="F27" s="31">
        <f>TRUNC(28.23,2)</f>
        <v>28.23</v>
      </c>
      <c r="G27" s="32">
        <f t="shared" si="0"/>
        <v>0.62</v>
      </c>
      <c r="H27" s="32"/>
      <c r="I27" s="33"/>
      <c r="J27" s="33"/>
      <c r="K27" s="44"/>
    </row>
    <row r="28" spans="1:11" s="34" customFormat="1" ht="30">
      <c r="A28" s="30"/>
      <c r="B28" s="43" t="s">
        <v>111</v>
      </c>
      <c r="C28" s="45" t="s">
        <v>112</v>
      </c>
      <c r="D28" s="46" t="s">
        <v>3</v>
      </c>
      <c r="E28" s="44">
        <v>0.6799999999999999</v>
      </c>
      <c r="F28" s="31">
        <f>TRUNC(8.11,2)</f>
        <v>8.11</v>
      </c>
      <c r="G28" s="32">
        <f t="shared" si="0"/>
        <v>5.51</v>
      </c>
      <c r="H28" s="32"/>
      <c r="I28" s="33"/>
      <c r="J28" s="33"/>
      <c r="K28" s="44"/>
    </row>
    <row r="29" spans="1:11" s="34" customFormat="1" ht="15">
      <c r="A29" s="30"/>
      <c r="B29" s="43" t="s">
        <v>113</v>
      </c>
      <c r="C29" s="45" t="s">
        <v>114</v>
      </c>
      <c r="D29" s="46" t="s">
        <v>10</v>
      </c>
      <c r="E29" s="44">
        <v>0.0133</v>
      </c>
      <c r="F29" s="31">
        <f>TRUNC(73.77,2)</f>
        <v>73.77</v>
      </c>
      <c r="G29" s="32">
        <f t="shared" si="0"/>
        <v>0.98</v>
      </c>
      <c r="H29" s="32"/>
      <c r="I29" s="33"/>
      <c r="J29" s="33"/>
      <c r="K29" s="44"/>
    </row>
    <row r="30" spans="1:11" s="34" customFormat="1" ht="15">
      <c r="A30" s="30"/>
      <c r="B30" s="43" t="s">
        <v>115</v>
      </c>
      <c r="C30" s="45" t="s">
        <v>116</v>
      </c>
      <c r="D30" s="46" t="s">
        <v>2</v>
      </c>
      <c r="E30" s="44">
        <v>0.7020510000000001</v>
      </c>
      <c r="F30" s="31">
        <f>TRUNC(4,2)</f>
        <v>4</v>
      </c>
      <c r="G30" s="32">
        <f t="shared" si="0"/>
        <v>2.8</v>
      </c>
      <c r="H30" s="32"/>
      <c r="I30" s="33"/>
      <c r="J30" s="33"/>
      <c r="K30" s="44"/>
    </row>
    <row r="31" spans="1:11" s="34" customFormat="1" ht="15">
      <c r="A31" s="30"/>
      <c r="B31" s="43" t="s">
        <v>117</v>
      </c>
      <c r="C31" s="45" t="s">
        <v>118</v>
      </c>
      <c r="D31" s="46" t="s">
        <v>10</v>
      </c>
      <c r="E31" s="44">
        <v>0.1336</v>
      </c>
      <c r="F31" s="31">
        <f>TRUNC(1.72,2)</f>
        <v>1.72</v>
      </c>
      <c r="G31" s="32">
        <f t="shared" si="0"/>
        <v>0.22</v>
      </c>
      <c r="H31" s="32"/>
      <c r="I31" s="33"/>
      <c r="J31" s="33"/>
      <c r="K31" s="44"/>
    </row>
    <row r="32" spans="1:11" s="34" customFormat="1" ht="15">
      <c r="A32" s="30"/>
      <c r="B32" s="43" t="s">
        <v>119</v>
      </c>
      <c r="C32" s="45" t="s">
        <v>120</v>
      </c>
      <c r="D32" s="46" t="s">
        <v>10</v>
      </c>
      <c r="E32" s="44">
        <v>0.1069</v>
      </c>
      <c r="F32" s="31">
        <f>TRUNC(2.24,2)</f>
        <v>2.24</v>
      </c>
      <c r="G32" s="32">
        <f t="shared" si="0"/>
        <v>0.23</v>
      </c>
      <c r="H32" s="32"/>
      <c r="I32" s="33"/>
      <c r="J32" s="33"/>
      <c r="K32" s="44"/>
    </row>
    <row r="33" spans="1:11" s="34" customFormat="1" ht="15">
      <c r="A33" s="30"/>
      <c r="B33" s="43" t="s">
        <v>121</v>
      </c>
      <c r="C33" s="45" t="s">
        <v>122</v>
      </c>
      <c r="D33" s="46" t="s">
        <v>10</v>
      </c>
      <c r="E33" s="44">
        <v>0.0534</v>
      </c>
      <c r="F33" s="31">
        <f>TRUNC(2.26,2)</f>
        <v>2.26</v>
      </c>
      <c r="G33" s="32">
        <f t="shared" si="0"/>
        <v>0.12</v>
      </c>
      <c r="H33" s="32"/>
      <c r="I33" s="33"/>
      <c r="J33" s="33"/>
      <c r="K33" s="44"/>
    </row>
    <row r="34" spans="1:11" s="34" customFormat="1" ht="15">
      <c r="A34" s="30"/>
      <c r="B34" s="43" t="s">
        <v>123</v>
      </c>
      <c r="C34" s="45" t="s">
        <v>124</v>
      </c>
      <c r="D34" s="46" t="s">
        <v>10</v>
      </c>
      <c r="E34" s="44">
        <v>0.0106</v>
      </c>
      <c r="F34" s="31">
        <f>TRUNC(6.29,2)</f>
        <v>6.29</v>
      </c>
      <c r="G34" s="32">
        <f t="shared" si="0"/>
        <v>0.06</v>
      </c>
      <c r="H34" s="32"/>
      <c r="I34" s="33"/>
      <c r="J34" s="33"/>
      <c r="K34" s="44"/>
    </row>
    <row r="35" spans="1:11" s="34" customFormat="1" ht="15">
      <c r="A35" s="30"/>
      <c r="B35" s="43" t="s">
        <v>125</v>
      </c>
      <c r="C35" s="45" t="s">
        <v>126</v>
      </c>
      <c r="D35" s="46" t="s">
        <v>10</v>
      </c>
      <c r="E35" s="44">
        <v>0.0534</v>
      </c>
      <c r="F35" s="31">
        <f>TRUNC(6.6,2)</f>
        <v>6.6</v>
      </c>
      <c r="G35" s="32">
        <f t="shared" si="0"/>
        <v>0.35</v>
      </c>
      <c r="H35" s="32"/>
      <c r="I35" s="33"/>
      <c r="J35" s="33"/>
      <c r="K35" s="44"/>
    </row>
    <row r="36" spans="1:11" s="34" customFormat="1" ht="15">
      <c r="A36" s="30"/>
      <c r="B36" s="43" t="s">
        <v>127</v>
      </c>
      <c r="C36" s="45" t="s">
        <v>128</v>
      </c>
      <c r="D36" s="46" t="s">
        <v>10</v>
      </c>
      <c r="E36" s="44">
        <v>0.0534</v>
      </c>
      <c r="F36" s="31">
        <f>TRUNC(16.85,2)</f>
        <v>16.85</v>
      </c>
      <c r="G36" s="32">
        <f t="shared" si="0"/>
        <v>0.89</v>
      </c>
      <c r="H36" s="32"/>
      <c r="I36" s="33"/>
      <c r="J36" s="33"/>
      <c r="K36" s="44"/>
    </row>
    <row r="37" spans="1:11" s="34" customFormat="1" ht="15">
      <c r="A37" s="30"/>
      <c r="B37" s="43" t="s">
        <v>129</v>
      </c>
      <c r="C37" s="45" t="s">
        <v>130</v>
      </c>
      <c r="D37" s="46" t="s">
        <v>10</v>
      </c>
      <c r="E37" s="44">
        <v>0.0133</v>
      </c>
      <c r="F37" s="31">
        <f>TRUNC(70.8,2)</f>
        <v>70.8</v>
      </c>
      <c r="G37" s="32">
        <f t="shared" si="0"/>
        <v>0.94</v>
      </c>
      <c r="H37" s="32"/>
      <c r="I37" s="33"/>
      <c r="J37" s="33"/>
      <c r="K37" s="44"/>
    </row>
    <row r="38" spans="1:11" s="34" customFormat="1" ht="30">
      <c r="A38" s="30"/>
      <c r="B38" s="43" t="s">
        <v>131</v>
      </c>
      <c r="C38" s="45" t="s">
        <v>132</v>
      </c>
      <c r="D38" s="46" t="s">
        <v>10</v>
      </c>
      <c r="E38" s="44">
        <v>0.0106</v>
      </c>
      <c r="F38" s="31">
        <f>TRUNC(21.19,2)</f>
        <v>21.19</v>
      </c>
      <c r="G38" s="32">
        <f t="shared" si="0"/>
        <v>0.22</v>
      </c>
      <c r="H38" s="32"/>
      <c r="I38" s="33"/>
      <c r="J38" s="33"/>
      <c r="K38" s="44"/>
    </row>
    <row r="39" spans="1:11" s="34" customFormat="1" ht="15">
      <c r="A39" s="30"/>
      <c r="B39" s="43" t="s">
        <v>133</v>
      </c>
      <c r="C39" s="45" t="s">
        <v>134</v>
      </c>
      <c r="D39" s="46" t="s">
        <v>10</v>
      </c>
      <c r="E39" s="44">
        <v>0.3</v>
      </c>
      <c r="F39" s="31">
        <f>TRUNC(0.89,2)</f>
        <v>0.89</v>
      </c>
      <c r="G39" s="32">
        <f t="shared" si="0"/>
        <v>0.26</v>
      </c>
      <c r="H39" s="32"/>
      <c r="I39" s="33"/>
      <c r="J39" s="33"/>
      <c r="K39" s="44"/>
    </row>
    <row r="40" spans="1:11" s="34" customFormat="1" ht="15">
      <c r="A40" s="30"/>
      <c r="B40" s="43" t="s">
        <v>65</v>
      </c>
      <c r="C40" s="45" t="s">
        <v>66</v>
      </c>
      <c r="D40" s="46" t="s">
        <v>2</v>
      </c>
      <c r="E40" s="44">
        <v>2.44</v>
      </c>
      <c r="F40" s="31">
        <f>TRUNC(5.45,2)</f>
        <v>5.45</v>
      </c>
      <c r="G40" s="32">
        <f t="shared" si="0"/>
        <v>13.29</v>
      </c>
      <c r="H40" s="32"/>
      <c r="I40" s="33"/>
      <c r="J40" s="33"/>
      <c r="K40" s="44"/>
    </row>
    <row r="41" spans="1:11" s="34" customFormat="1" ht="30">
      <c r="A41" s="30"/>
      <c r="B41" s="43" t="s">
        <v>63</v>
      </c>
      <c r="C41" s="45" t="s">
        <v>64</v>
      </c>
      <c r="D41" s="46" t="s">
        <v>3</v>
      </c>
      <c r="E41" s="44">
        <v>0.01</v>
      </c>
      <c r="F41" s="31">
        <f>TRUNC(15.94,2)</f>
        <v>15.94</v>
      </c>
      <c r="G41" s="32">
        <f t="shared" si="0"/>
        <v>0.15</v>
      </c>
      <c r="H41" s="32"/>
      <c r="I41" s="33"/>
      <c r="J41" s="33"/>
      <c r="K41" s="44"/>
    </row>
    <row r="42" spans="1:11" s="34" customFormat="1" ht="15">
      <c r="A42" s="30"/>
      <c r="B42" s="43" t="s">
        <v>135</v>
      </c>
      <c r="C42" s="45" t="s">
        <v>136</v>
      </c>
      <c r="D42" s="46" t="s">
        <v>10</v>
      </c>
      <c r="E42" s="44">
        <v>0.03232</v>
      </c>
      <c r="F42" s="31">
        <f>TRUNC(2.12,2)</f>
        <v>2.12</v>
      </c>
      <c r="G42" s="32">
        <f t="shared" si="0"/>
        <v>0.06</v>
      </c>
      <c r="H42" s="32"/>
      <c r="I42" s="33"/>
      <c r="J42" s="33"/>
      <c r="K42" s="44"/>
    </row>
    <row r="43" spans="1:11" s="34" customFormat="1" ht="15">
      <c r="A43" s="30"/>
      <c r="B43" s="43" t="s">
        <v>137</v>
      </c>
      <c r="C43" s="45" t="s">
        <v>138</v>
      </c>
      <c r="D43" s="46" t="s">
        <v>0</v>
      </c>
      <c r="E43" s="44">
        <v>0.0356</v>
      </c>
      <c r="F43" s="31">
        <f>TRUNC(58.71,2)</f>
        <v>58.71</v>
      </c>
      <c r="G43" s="32">
        <f t="shared" si="0"/>
        <v>2.09</v>
      </c>
      <c r="H43" s="32"/>
      <c r="I43" s="33"/>
      <c r="J43" s="33"/>
      <c r="K43" s="44"/>
    </row>
    <row r="44" spans="1:11" s="34" customFormat="1" ht="15">
      <c r="A44" s="30"/>
      <c r="B44" s="43" t="s">
        <v>139</v>
      </c>
      <c r="C44" s="45" t="s">
        <v>140</v>
      </c>
      <c r="D44" s="46" t="s">
        <v>10</v>
      </c>
      <c r="E44" s="44">
        <v>0.0213</v>
      </c>
      <c r="F44" s="31">
        <f>TRUNC(1.63,2)</f>
        <v>1.63</v>
      </c>
      <c r="G44" s="32">
        <f t="shared" si="0"/>
        <v>0.03</v>
      </c>
      <c r="H44" s="32"/>
      <c r="I44" s="33"/>
      <c r="J44" s="33"/>
      <c r="K44" s="44"/>
    </row>
    <row r="45" spans="1:11" s="34" customFormat="1" ht="15">
      <c r="A45" s="30"/>
      <c r="B45" s="43" t="s">
        <v>141</v>
      </c>
      <c r="C45" s="45" t="s">
        <v>142</v>
      </c>
      <c r="D45" s="46" t="s">
        <v>10</v>
      </c>
      <c r="E45" s="44">
        <v>0.0255</v>
      </c>
      <c r="F45" s="31">
        <f>TRUNC(5.35,2)</f>
        <v>5.35</v>
      </c>
      <c r="G45" s="32">
        <f t="shared" si="0"/>
        <v>0.13</v>
      </c>
      <c r="H45" s="32"/>
      <c r="I45" s="33"/>
      <c r="J45" s="33"/>
      <c r="K45" s="44"/>
    </row>
    <row r="46" spans="1:11" s="34" customFormat="1" ht="30">
      <c r="A46" s="30"/>
      <c r="B46" s="43" t="s">
        <v>143</v>
      </c>
      <c r="C46" s="45" t="s">
        <v>144</v>
      </c>
      <c r="D46" s="46" t="s">
        <v>10</v>
      </c>
      <c r="E46" s="44">
        <v>0.016</v>
      </c>
      <c r="F46" s="31">
        <f>TRUNC(20.34,2)</f>
        <v>20.34</v>
      </c>
      <c r="G46" s="32">
        <f t="shared" si="0"/>
        <v>0.32</v>
      </c>
      <c r="H46" s="32"/>
      <c r="I46" s="33"/>
      <c r="J46" s="33"/>
      <c r="K46" s="44"/>
    </row>
    <row r="47" spans="1:11" s="34" customFormat="1" ht="15">
      <c r="A47" s="30"/>
      <c r="B47" s="43" t="s">
        <v>145</v>
      </c>
      <c r="C47" s="45" t="s">
        <v>146</v>
      </c>
      <c r="D47" s="46" t="s">
        <v>10</v>
      </c>
      <c r="E47" s="44">
        <v>0.053934</v>
      </c>
      <c r="F47" s="31">
        <f>TRUNC(4.22,2)</f>
        <v>4.22</v>
      </c>
      <c r="G47" s="32">
        <f t="shared" si="0"/>
        <v>0.22</v>
      </c>
      <c r="H47" s="32"/>
      <c r="I47" s="33"/>
      <c r="J47" s="33"/>
      <c r="K47" s="44"/>
    </row>
    <row r="48" spans="1:11" s="34" customFormat="1" ht="15">
      <c r="A48" s="30"/>
      <c r="B48" s="43" t="s">
        <v>147</v>
      </c>
      <c r="C48" s="45" t="s">
        <v>148</v>
      </c>
      <c r="D48" s="46" t="s">
        <v>10</v>
      </c>
      <c r="E48" s="44">
        <v>0.0106</v>
      </c>
      <c r="F48" s="31">
        <f>TRUNC(97.85,2)</f>
        <v>97.85</v>
      </c>
      <c r="G48" s="32">
        <f t="shared" si="0"/>
        <v>1.03</v>
      </c>
      <c r="H48" s="32"/>
      <c r="I48" s="33"/>
      <c r="J48" s="33"/>
      <c r="K48" s="44"/>
    </row>
    <row r="49" spans="1:11" s="34" customFormat="1" ht="15">
      <c r="A49" s="30"/>
      <c r="B49" s="43" t="s">
        <v>149</v>
      </c>
      <c r="C49" s="45" t="s">
        <v>150</v>
      </c>
      <c r="D49" s="46" t="s">
        <v>10</v>
      </c>
      <c r="E49" s="44">
        <v>0.0106</v>
      </c>
      <c r="F49" s="31">
        <f>TRUNC(90,2)</f>
        <v>90</v>
      </c>
      <c r="G49" s="32">
        <f t="shared" si="0"/>
        <v>0.95</v>
      </c>
      <c r="H49" s="32"/>
      <c r="I49" s="33"/>
      <c r="J49" s="33"/>
      <c r="K49" s="44"/>
    </row>
    <row r="50" spans="1:11" s="34" customFormat="1" ht="30">
      <c r="A50" s="30"/>
      <c r="B50" s="43" t="s">
        <v>151</v>
      </c>
      <c r="C50" s="45" t="s">
        <v>152</v>
      </c>
      <c r="D50" s="46" t="s">
        <v>10</v>
      </c>
      <c r="E50" s="44">
        <v>0.0106</v>
      </c>
      <c r="F50" s="31">
        <f>TRUNC(225,2)</f>
        <v>225</v>
      </c>
      <c r="G50" s="32">
        <f t="shared" si="0"/>
        <v>2.38</v>
      </c>
      <c r="H50" s="32"/>
      <c r="I50" s="33"/>
      <c r="J50" s="33"/>
      <c r="K50" s="44"/>
    </row>
    <row r="51" spans="1:11" s="34" customFormat="1" ht="15">
      <c r="A51" s="30"/>
      <c r="B51" s="43" t="s">
        <v>153</v>
      </c>
      <c r="C51" s="45" t="s">
        <v>154</v>
      </c>
      <c r="D51" s="46" t="s">
        <v>10</v>
      </c>
      <c r="E51" s="44">
        <v>0.0213</v>
      </c>
      <c r="F51" s="31">
        <f>TRUNC(1.75,2)</f>
        <v>1.75</v>
      </c>
      <c r="G51" s="32">
        <f t="shared" si="0"/>
        <v>0.03</v>
      </c>
      <c r="H51" s="32"/>
      <c r="I51" s="33"/>
      <c r="J51" s="33"/>
      <c r="K51" s="44"/>
    </row>
    <row r="52" spans="1:11" s="34" customFormat="1" ht="15">
      <c r="A52" s="30"/>
      <c r="B52" s="43" t="s">
        <v>155</v>
      </c>
      <c r="C52" s="45" t="s">
        <v>156</v>
      </c>
      <c r="D52" s="46" t="s">
        <v>0</v>
      </c>
      <c r="E52" s="44">
        <v>0.49</v>
      </c>
      <c r="F52" s="31">
        <f>TRUNC(20.8626,2)</f>
        <v>20.86</v>
      </c>
      <c r="G52" s="32">
        <f aca="true" t="shared" si="1" ref="G52:G83">TRUNC(E52*F52,2)</f>
        <v>10.22</v>
      </c>
      <c r="H52" s="32"/>
      <c r="I52" s="33"/>
      <c r="J52" s="33"/>
      <c r="K52" s="44"/>
    </row>
    <row r="53" spans="1:11" s="34" customFormat="1" ht="15">
      <c r="A53" s="30"/>
      <c r="B53" s="43" t="s">
        <v>157</v>
      </c>
      <c r="C53" s="45" t="s">
        <v>158</v>
      </c>
      <c r="D53" s="46" t="s">
        <v>10</v>
      </c>
      <c r="E53" s="44">
        <v>0.010706</v>
      </c>
      <c r="F53" s="31">
        <f>TRUNC(9.71,2)</f>
        <v>9.71</v>
      </c>
      <c r="G53" s="32">
        <f t="shared" si="1"/>
        <v>0.1</v>
      </c>
      <c r="H53" s="32"/>
      <c r="I53" s="33"/>
      <c r="J53" s="33"/>
      <c r="K53" s="44"/>
    </row>
    <row r="54" spans="1:11" s="34" customFormat="1" ht="30">
      <c r="A54" s="30"/>
      <c r="B54" s="43" t="s">
        <v>159</v>
      </c>
      <c r="C54" s="45" t="s">
        <v>160</v>
      </c>
      <c r="D54" s="46" t="s">
        <v>10</v>
      </c>
      <c r="E54" s="44">
        <v>0.0106</v>
      </c>
      <c r="F54" s="31">
        <f>TRUNC(10.09,2)</f>
        <v>10.09</v>
      </c>
      <c r="G54" s="32">
        <f t="shared" si="1"/>
        <v>0.1</v>
      </c>
      <c r="H54" s="32"/>
      <c r="I54" s="33"/>
      <c r="J54" s="33"/>
      <c r="K54" s="44"/>
    </row>
    <row r="55" spans="1:11" s="34" customFormat="1" ht="15">
      <c r="A55" s="30"/>
      <c r="B55" s="43" t="s">
        <v>161</v>
      </c>
      <c r="C55" s="45" t="s">
        <v>162</v>
      </c>
      <c r="D55" s="46" t="s">
        <v>10</v>
      </c>
      <c r="E55" s="44">
        <v>0.1069</v>
      </c>
      <c r="F55" s="31">
        <f>TRUNC(0.09,2)</f>
        <v>0.09</v>
      </c>
      <c r="G55" s="32">
        <f t="shared" si="1"/>
        <v>0</v>
      </c>
      <c r="H55" s="32"/>
      <c r="I55" s="33"/>
      <c r="J55" s="33"/>
      <c r="K55" s="44"/>
    </row>
    <row r="56" spans="1:11" s="34" customFormat="1" ht="15">
      <c r="A56" s="30"/>
      <c r="B56" s="43" t="s">
        <v>163</v>
      </c>
      <c r="C56" s="45" t="s">
        <v>164</v>
      </c>
      <c r="D56" s="46" t="s">
        <v>10</v>
      </c>
      <c r="E56" s="44">
        <v>1.12</v>
      </c>
      <c r="F56" s="31">
        <f>TRUNC(0.0877,2)</f>
        <v>0.08</v>
      </c>
      <c r="G56" s="32">
        <f t="shared" si="1"/>
        <v>0.08</v>
      </c>
      <c r="H56" s="32"/>
      <c r="I56" s="33"/>
      <c r="J56" s="33"/>
      <c r="K56" s="44"/>
    </row>
    <row r="57" spans="1:11" s="34" customFormat="1" ht="30">
      <c r="A57" s="30"/>
      <c r="B57" s="43" t="s">
        <v>165</v>
      </c>
      <c r="C57" s="45" t="s">
        <v>166</v>
      </c>
      <c r="D57" s="46" t="s">
        <v>10</v>
      </c>
      <c r="E57" s="44">
        <v>0.0212</v>
      </c>
      <c r="F57" s="31">
        <f>TRUNC(6.7,2)</f>
        <v>6.7</v>
      </c>
      <c r="G57" s="32">
        <f t="shared" si="1"/>
        <v>0.14</v>
      </c>
      <c r="H57" s="32"/>
      <c r="I57" s="33"/>
      <c r="J57" s="33"/>
      <c r="K57" s="44"/>
    </row>
    <row r="58" spans="1:11" s="34" customFormat="1" ht="15">
      <c r="A58" s="30"/>
      <c r="B58" s="43" t="s">
        <v>167</v>
      </c>
      <c r="C58" s="45" t="s">
        <v>168</v>
      </c>
      <c r="D58" s="46" t="s">
        <v>10</v>
      </c>
      <c r="E58" s="44">
        <v>0.0106</v>
      </c>
      <c r="F58" s="31">
        <f>TRUNC(131.12,2)</f>
        <v>131.12</v>
      </c>
      <c r="G58" s="32">
        <f t="shared" si="1"/>
        <v>1.38</v>
      </c>
      <c r="H58" s="32"/>
      <c r="I58" s="33"/>
      <c r="J58" s="33"/>
      <c r="K58" s="44"/>
    </row>
    <row r="59" spans="1:11" s="34" customFormat="1" ht="30">
      <c r="A59" s="30"/>
      <c r="B59" s="43" t="s">
        <v>169</v>
      </c>
      <c r="C59" s="45" t="s">
        <v>170</v>
      </c>
      <c r="D59" s="46" t="s">
        <v>10</v>
      </c>
      <c r="E59" s="44">
        <v>0.1188</v>
      </c>
      <c r="F59" s="31">
        <f>TRUNC(51.66,2)</f>
        <v>51.66</v>
      </c>
      <c r="G59" s="32">
        <f t="shared" si="1"/>
        <v>6.13</v>
      </c>
      <c r="H59" s="32"/>
      <c r="I59" s="33"/>
      <c r="J59" s="33"/>
      <c r="K59" s="44"/>
    </row>
    <row r="60" spans="1:11" s="34" customFormat="1" ht="15">
      <c r="A60" s="30"/>
      <c r="B60" s="43" t="s">
        <v>171</v>
      </c>
      <c r="C60" s="45" t="s">
        <v>172</v>
      </c>
      <c r="D60" s="46" t="s">
        <v>10</v>
      </c>
      <c r="E60" s="44">
        <v>0.0106</v>
      </c>
      <c r="F60" s="31">
        <f>TRUNC(112.9,2)</f>
        <v>112.9</v>
      </c>
      <c r="G60" s="32">
        <f t="shared" si="1"/>
        <v>1.19</v>
      </c>
      <c r="H60" s="32"/>
      <c r="I60" s="33"/>
      <c r="J60" s="33"/>
      <c r="K60" s="44"/>
    </row>
    <row r="61" spans="1:11" s="34" customFormat="1" ht="15">
      <c r="A61" s="30"/>
      <c r="B61" s="43" t="s">
        <v>173</v>
      </c>
      <c r="C61" s="45" t="s">
        <v>174</v>
      </c>
      <c r="D61" s="46" t="s">
        <v>10</v>
      </c>
      <c r="E61" s="44">
        <v>0.0534</v>
      </c>
      <c r="F61" s="31">
        <f>TRUNC(1.23,2)</f>
        <v>1.23</v>
      </c>
      <c r="G61" s="32">
        <f t="shared" si="1"/>
        <v>0.06</v>
      </c>
      <c r="H61" s="32"/>
      <c r="I61" s="33"/>
      <c r="J61" s="33"/>
      <c r="K61" s="44"/>
    </row>
    <row r="62" spans="1:11" s="34" customFormat="1" ht="15">
      <c r="A62" s="30"/>
      <c r="B62" s="43" t="s">
        <v>175</v>
      </c>
      <c r="C62" s="45" t="s">
        <v>176</v>
      </c>
      <c r="D62" s="46" t="s">
        <v>10</v>
      </c>
      <c r="E62" s="44">
        <v>0.03232</v>
      </c>
      <c r="F62" s="31">
        <f>TRUNC(3.04,2)</f>
        <v>3.04</v>
      </c>
      <c r="G62" s="32">
        <f t="shared" si="1"/>
        <v>0.09</v>
      </c>
      <c r="H62" s="32"/>
      <c r="I62" s="33"/>
      <c r="J62" s="33"/>
      <c r="K62" s="44"/>
    </row>
    <row r="63" spans="1:11" s="34" customFormat="1" ht="30">
      <c r="A63" s="30"/>
      <c r="B63" s="43" t="s">
        <v>177</v>
      </c>
      <c r="C63" s="45" t="s">
        <v>178</v>
      </c>
      <c r="D63" s="46" t="s">
        <v>10</v>
      </c>
      <c r="E63" s="44">
        <v>0.0534</v>
      </c>
      <c r="F63" s="31">
        <f>TRUNC(30,2)</f>
        <v>30</v>
      </c>
      <c r="G63" s="32">
        <f t="shared" si="1"/>
        <v>1.6</v>
      </c>
      <c r="H63" s="32"/>
      <c r="I63" s="33"/>
      <c r="J63" s="33"/>
      <c r="K63" s="44"/>
    </row>
    <row r="64" spans="1:11" s="34" customFormat="1" ht="15">
      <c r="A64" s="30"/>
      <c r="B64" s="43" t="s">
        <v>179</v>
      </c>
      <c r="C64" s="45" t="s">
        <v>180</v>
      </c>
      <c r="D64" s="46" t="s">
        <v>10</v>
      </c>
      <c r="E64" s="44">
        <v>0.0106</v>
      </c>
      <c r="F64" s="31">
        <f>TRUNC(6.45,2)</f>
        <v>6.45</v>
      </c>
      <c r="G64" s="32">
        <f t="shared" si="1"/>
        <v>0.06</v>
      </c>
      <c r="H64" s="32"/>
      <c r="I64" s="33"/>
      <c r="J64" s="33"/>
      <c r="K64" s="44"/>
    </row>
    <row r="65" spans="1:11" s="34" customFormat="1" ht="15">
      <c r="A65" s="30"/>
      <c r="B65" s="43" t="s">
        <v>181</v>
      </c>
      <c r="C65" s="45" t="s">
        <v>182</v>
      </c>
      <c r="D65" s="46" t="s">
        <v>10</v>
      </c>
      <c r="E65" s="44">
        <v>0.0106</v>
      </c>
      <c r="F65" s="31">
        <f>TRUNC(66.5,2)</f>
        <v>66.5</v>
      </c>
      <c r="G65" s="32">
        <f t="shared" si="1"/>
        <v>0.7</v>
      </c>
      <c r="H65" s="32"/>
      <c r="I65" s="33"/>
      <c r="J65" s="33"/>
      <c r="K65" s="44"/>
    </row>
    <row r="66" spans="1:11" s="34" customFormat="1" ht="30">
      <c r="A66" s="30"/>
      <c r="B66" s="43" t="s">
        <v>183</v>
      </c>
      <c r="C66" s="45" t="s">
        <v>184</v>
      </c>
      <c r="D66" s="46" t="s">
        <v>10</v>
      </c>
      <c r="E66" s="44">
        <v>0.0106</v>
      </c>
      <c r="F66" s="31">
        <f>TRUNC(19.47,2)</f>
        <v>19.47</v>
      </c>
      <c r="G66" s="32">
        <f t="shared" si="1"/>
        <v>0.2</v>
      </c>
      <c r="H66" s="32"/>
      <c r="I66" s="33"/>
      <c r="J66" s="33"/>
      <c r="K66" s="44"/>
    </row>
    <row r="67" spans="1:11" s="34" customFormat="1" ht="15">
      <c r="A67" s="30"/>
      <c r="B67" s="43" t="s">
        <v>71</v>
      </c>
      <c r="C67" s="45" t="s">
        <v>72</v>
      </c>
      <c r="D67" s="46" t="s">
        <v>10</v>
      </c>
      <c r="E67" s="44">
        <v>0.0855</v>
      </c>
      <c r="F67" s="31">
        <f>TRUNC(1.18,2)</f>
        <v>1.18</v>
      </c>
      <c r="G67" s="32">
        <f t="shared" si="1"/>
        <v>0.1</v>
      </c>
      <c r="H67" s="32"/>
      <c r="I67" s="33"/>
      <c r="J67" s="33"/>
      <c r="K67" s="44"/>
    </row>
    <row r="68" spans="1:11" s="34" customFormat="1" ht="15">
      <c r="A68" s="30"/>
      <c r="B68" s="43" t="s">
        <v>185</v>
      </c>
      <c r="C68" s="45" t="s">
        <v>186</v>
      </c>
      <c r="D68" s="46" t="s">
        <v>10</v>
      </c>
      <c r="E68" s="44">
        <v>0.0106</v>
      </c>
      <c r="F68" s="31">
        <f>TRUNC(28,2)</f>
        <v>28</v>
      </c>
      <c r="G68" s="32">
        <f t="shared" si="1"/>
        <v>0.29</v>
      </c>
      <c r="H68" s="32"/>
      <c r="I68" s="33"/>
      <c r="J68" s="33"/>
      <c r="K68" s="44"/>
    </row>
    <row r="69" spans="1:11" s="34" customFormat="1" ht="15">
      <c r="A69" s="30"/>
      <c r="B69" s="43" t="s">
        <v>187</v>
      </c>
      <c r="C69" s="45" t="s">
        <v>188</v>
      </c>
      <c r="D69" s="46" t="s">
        <v>10</v>
      </c>
      <c r="E69" s="44">
        <v>0.010706</v>
      </c>
      <c r="F69" s="31">
        <f>TRUNC(3.79,2)</f>
        <v>3.79</v>
      </c>
      <c r="G69" s="32">
        <f t="shared" si="1"/>
        <v>0.04</v>
      </c>
      <c r="H69" s="32"/>
      <c r="I69" s="33"/>
      <c r="J69" s="33"/>
      <c r="K69" s="44"/>
    </row>
    <row r="70" spans="1:11" s="34" customFormat="1" ht="15">
      <c r="A70" s="30"/>
      <c r="B70" s="43" t="s">
        <v>189</v>
      </c>
      <c r="C70" s="45" t="s">
        <v>190</v>
      </c>
      <c r="D70" s="46" t="s">
        <v>10</v>
      </c>
      <c r="E70" s="44">
        <v>0.0534</v>
      </c>
      <c r="F70" s="31">
        <f>TRUNC(56.37,2)</f>
        <v>56.37</v>
      </c>
      <c r="G70" s="32">
        <f t="shared" si="1"/>
        <v>3.01</v>
      </c>
      <c r="H70" s="32"/>
      <c r="I70" s="33"/>
      <c r="J70" s="33"/>
      <c r="K70" s="44"/>
    </row>
    <row r="71" spans="1:11" s="34" customFormat="1" ht="30">
      <c r="A71" s="30"/>
      <c r="B71" s="43" t="s">
        <v>191</v>
      </c>
      <c r="C71" s="45" t="s">
        <v>192</v>
      </c>
      <c r="D71" s="46" t="s">
        <v>10</v>
      </c>
      <c r="E71" s="44">
        <v>0.0534</v>
      </c>
      <c r="F71" s="31">
        <f>TRUNC(33,2)</f>
        <v>33</v>
      </c>
      <c r="G71" s="32">
        <f t="shared" si="1"/>
        <v>1.76</v>
      </c>
      <c r="H71" s="32"/>
      <c r="I71" s="33"/>
      <c r="J71" s="33"/>
      <c r="K71" s="44"/>
    </row>
    <row r="72" spans="1:11" s="34" customFormat="1" ht="30">
      <c r="A72" s="30"/>
      <c r="B72" s="43" t="s">
        <v>193</v>
      </c>
      <c r="C72" s="45" t="s">
        <v>194</v>
      </c>
      <c r="D72" s="46" t="s">
        <v>10</v>
      </c>
      <c r="E72" s="44">
        <v>0.0534</v>
      </c>
      <c r="F72" s="31">
        <f>TRUNC(35,2)</f>
        <v>35</v>
      </c>
      <c r="G72" s="32">
        <f t="shared" si="1"/>
        <v>1.86</v>
      </c>
      <c r="H72" s="32"/>
      <c r="I72" s="33"/>
      <c r="J72" s="33"/>
      <c r="K72" s="44"/>
    </row>
    <row r="73" spans="1:11" s="34" customFormat="1" ht="15">
      <c r="A73" s="30"/>
      <c r="B73" s="43" t="s">
        <v>195</v>
      </c>
      <c r="C73" s="45" t="s">
        <v>196</v>
      </c>
      <c r="D73" s="46" t="s">
        <v>10</v>
      </c>
      <c r="E73" s="44">
        <v>0.0106</v>
      </c>
      <c r="F73" s="31">
        <f>TRUNC(3.6,2)</f>
        <v>3.6</v>
      </c>
      <c r="G73" s="32">
        <f t="shared" si="1"/>
        <v>0.03</v>
      </c>
      <c r="H73" s="32"/>
      <c r="I73" s="33"/>
      <c r="J73" s="33"/>
      <c r="K73" s="44"/>
    </row>
    <row r="74" spans="1:11" s="34" customFormat="1" ht="15">
      <c r="A74" s="30"/>
      <c r="B74" s="43" t="s">
        <v>197</v>
      </c>
      <c r="C74" s="45" t="s">
        <v>198</v>
      </c>
      <c r="D74" s="46" t="s">
        <v>10</v>
      </c>
      <c r="E74" s="44">
        <v>0.0106</v>
      </c>
      <c r="F74" s="31">
        <f>TRUNC(13.34,2)</f>
        <v>13.34</v>
      </c>
      <c r="G74" s="32">
        <f t="shared" si="1"/>
        <v>0.14</v>
      </c>
      <c r="H74" s="32"/>
      <c r="I74" s="33"/>
      <c r="J74" s="33"/>
      <c r="K74" s="44"/>
    </row>
    <row r="75" spans="1:11" s="34" customFormat="1" ht="15">
      <c r="A75" s="30"/>
      <c r="B75" s="43" t="s">
        <v>199</v>
      </c>
      <c r="C75" s="45" t="s">
        <v>200</v>
      </c>
      <c r="D75" s="46" t="s">
        <v>10</v>
      </c>
      <c r="E75" s="44">
        <v>0.0106</v>
      </c>
      <c r="F75" s="31">
        <f>TRUNC(25.63,2)</f>
        <v>25.63</v>
      </c>
      <c r="G75" s="32">
        <f t="shared" si="1"/>
        <v>0.27</v>
      </c>
      <c r="H75" s="32"/>
      <c r="I75" s="33"/>
      <c r="J75" s="33"/>
      <c r="K75" s="44"/>
    </row>
    <row r="76" spans="1:11" s="34" customFormat="1" ht="15">
      <c r="A76" s="30"/>
      <c r="B76" s="43" t="s">
        <v>201</v>
      </c>
      <c r="C76" s="45" t="s">
        <v>202</v>
      </c>
      <c r="D76" s="46" t="s">
        <v>10</v>
      </c>
      <c r="E76" s="44">
        <v>0.0106</v>
      </c>
      <c r="F76" s="31">
        <f>TRUNC(39.04,2)</f>
        <v>39.04</v>
      </c>
      <c r="G76" s="32">
        <f t="shared" si="1"/>
        <v>0.41</v>
      </c>
      <c r="H76" s="32"/>
      <c r="I76" s="33"/>
      <c r="J76" s="33"/>
      <c r="K76" s="44"/>
    </row>
    <row r="77" spans="1:11" s="34" customFormat="1" ht="15">
      <c r="A77" s="30"/>
      <c r="B77" s="43" t="s">
        <v>203</v>
      </c>
      <c r="C77" s="45" t="s">
        <v>204</v>
      </c>
      <c r="D77" s="46" t="s">
        <v>10</v>
      </c>
      <c r="E77" s="44">
        <v>0.0356</v>
      </c>
      <c r="F77" s="31">
        <f>TRUNC(3.68,2)</f>
        <v>3.68</v>
      </c>
      <c r="G77" s="32">
        <f t="shared" si="1"/>
        <v>0.13</v>
      </c>
      <c r="H77" s="32"/>
      <c r="I77" s="33"/>
      <c r="J77" s="33"/>
      <c r="K77" s="44"/>
    </row>
    <row r="78" spans="1:11" s="34" customFormat="1" ht="15">
      <c r="A78" s="30"/>
      <c r="B78" s="43" t="s">
        <v>205</v>
      </c>
      <c r="C78" s="45" t="s">
        <v>206</v>
      </c>
      <c r="D78" s="46" t="s">
        <v>10</v>
      </c>
      <c r="E78" s="44">
        <v>0.962</v>
      </c>
      <c r="F78" s="31">
        <f>TRUNC(4.7,2)</f>
        <v>4.7</v>
      </c>
      <c r="G78" s="32">
        <f t="shared" si="1"/>
        <v>4.52</v>
      </c>
      <c r="H78" s="32"/>
      <c r="I78" s="33"/>
      <c r="J78" s="33"/>
      <c r="K78" s="44"/>
    </row>
    <row r="79" spans="1:11" s="34" customFormat="1" ht="15">
      <c r="A79" s="30"/>
      <c r="B79" s="43" t="s">
        <v>207</v>
      </c>
      <c r="C79" s="45" t="s">
        <v>208</v>
      </c>
      <c r="D79" s="46" t="s">
        <v>10</v>
      </c>
      <c r="E79" s="44">
        <v>0.0267</v>
      </c>
      <c r="F79" s="31">
        <f>TRUNC(1.95,2)</f>
        <v>1.95</v>
      </c>
      <c r="G79" s="32">
        <f t="shared" si="1"/>
        <v>0.05</v>
      </c>
      <c r="H79" s="32"/>
      <c r="I79" s="33"/>
      <c r="J79" s="33"/>
      <c r="K79" s="44"/>
    </row>
    <row r="80" spans="1:11" s="34" customFormat="1" ht="30">
      <c r="A80" s="30"/>
      <c r="B80" s="43" t="s">
        <v>209</v>
      </c>
      <c r="C80" s="45" t="s">
        <v>210</v>
      </c>
      <c r="D80" s="46" t="s">
        <v>4</v>
      </c>
      <c r="E80" s="44">
        <v>0.8137000000000001</v>
      </c>
      <c r="F80" s="31">
        <f>TRUNC(19.81,2)</f>
        <v>19.81</v>
      </c>
      <c r="G80" s="32">
        <f t="shared" si="1"/>
        <v>16.11</v>
      </c>
      <c r="H80" s="32"/>
      <c r="I80" s="33"/>
      <c r="J80" s="33"/>
      <c r="K80" s="44"/>
    </row>
    <row r="81" spans="1:11" s="34" customFormat="1" ht="30">
      <c r="A81" s="30"/>
      <c r="B81" s="43" t="s">
        <v>26</v>
      </c>
      <c r="C81" s="45" t="s">
        <v>27</v>
      </c>
      <c r="D81" s="46" t="s">
        <v>4</v>
      </c>
      <c r="E81" s="44">
        <v>10.8562</v>
      </c>
      <c r="F81" s="31">
        <f>TRUNC(14.34,2)</f>
        <v>14.34</v>
      </c>
      <c r="G81" s="32">
        <f t="shared" si="1"/>
        <v>155.67</v>
      </c>
      <c r="H81" s="32"/>
      <c r="I81" s="33"/>
      <c r="J81" s="33"/>
      <c r="K81" s="44"/>
    </row>
    <row r="82" spans="1:11" s="34" customFormat="1" ht="30">
      <c r="A82" s="30"/>
      <c r="B82" s="43" t="s">
        <v>211</v>
      </c>
      <c r="C82" s="45" t="s">
        <v>212</v>
      </c>
      <c r="D82" s="46" t="s">
        <v>4</v>
      </c>
      <c r="E82" s="44">
        <v>0.07210000000000001</v>
      </c>
      <c r="F82" s="31">
        <f>TRUNC(21.33,2)</f>
        <v>21.33</v>
      </c>
      <c r="G82" s="32">
        <f t="shared" si="1"/>
        <v>1.53</v>
      </c>
      <c r="H82" s="32"/>
      <c r="I82" s="33"/>
      <c r="J82" s="33"/>
      <c r="K82" s="44"/>
    </row>
    <row r="83" spans="1:11" s="34" customFormat="1" ht="30">
      <c r="A83" s="30"/>
      <c r="B83" s="43" t="s">
        <v>93</v>
      </c>
      <c r="C83" s="45" t="s">
        <v>94</v>
      </c>
      <c r="D83" s="46" t="s">
        <v>4</v>
      </c>
      <c r="E83" s="44">
        <v>0.4841</v>
      </c>
      <c r="F83" s="31">
        <f>TRUNC(19.81,2)</f>
        <v>19.81</v>
      </c>
      <c r="G83" s="32">
        <f t="shared" si="1"/>
        <v>9.59</v>
      </c>
      <c r="H83" s="32"/>
      <c r="I83" s="33"/>
      <c r="J83" s="33"/>
      <c r="K83" s="44"/>
    </row>
    <row r="84" spans="1:11" s="34" customFormat="1" ht="30">
      <c r="A84" s="30"/>
      <c r="B84" s="43" t="s">
        <v>67</v>
      </c>
      <c r="C84" s="45" t="s">
        <v>68</v>
      </c>
      <c r="D84" s="46" t="s">
        <v>4</v>
      </c>
      <c r="E84" s="44">
        <v>5.2427</v>
      </c>
      <c r="F84" s="31">
        <f>TRUNC(21.33,2)</f>
        <v>21.33</v>
      </c>
      <c r="G84" s="32">
        <f aca="true" t="shared" si="2" ref="G84:G91">TRUNC(E84*F84,2)</f>
        <v>111.82</v>
      </c>
      <c r="H84" s="32"/>
      <c r="I84" s="33"/>
      <c r="J84" s="33"/>
      <c r="K84" s="44"/>
    </row>
    <row r="85" spans="1:11" s="34" customFormat="1" ht="15">
      <c r="A85" s="30"/>
      <c r="B85" s="43" t="s">
        <v>213</v>
      </c>
      <c r="C85" s="45" t="s">
        <v>214</v>
      </c>
      <c r="D85" s="46" t="s">
        <v>1</v>
      </c>
      <c r="E85" s="44">
        <v>0.01</v>
      </c>
      <c r="F85" s="31">
        <f>TRUNC(258.9348,2)</f>
        <v>258.93</v>
      </c>
      <c r="G85" s="32">
        <f t="shared" si="2"/>
        <v>2.58</v>
      </c>
      <c r="H85" s="32"/>
      <c r="I85" s="33"/>
      <c r="J85" s="33"/>
      <c r="K85" s="44"/>
    </row>
    <row r="86" spans="1:11" s="34" customFormat="1" ht="15">
      <c r="A86" s="30"/>
      <c r="B86" s="43" t="s">
        <v>215</v>
      </c>
      <c r="C86" s="45" t="s">
        <v>216</v>
      </c>
      <c r="D86" s="46" t="s">
        <v>1</v>
      </c>
      <c r="E86" s="44">
        <v>0.034</v>
      </c>
      <c r="F86" s="31">
        <f>TRUNC(277.3833,2)</f>
        <v>277.38</v>
      </c>
      <c r="G86" s="32">
        <f t="shared" si="2"/>
        <v>9.43</v>
      </c>
      <c r="H86" s="32"/>
      <c r="I86" s="33"/>
      <c r="J86" s="33"/>
      <c r="K86" s="44"/>
    </row>
    <row r="87" spans="1:11" s="34" customFormat="1" ht="15">
      <c r="A87" s="30"/>
      <c r="B87" s="43" t="s">
        <v>217</v>
      </c>
      <c r="C87" s="45" t="s">
        <v>218</v>
      </c>
      <c r="D87" s="46" t="s">
        <v>1</v>
      </c>
      <c r="E87" s="44">
        <v>0.044</v>
      </c>
      <c r="F87" s="31">
        <f>TRUNC(72.3465,2)</f>
        <v>72.34</v>
      </c>
      <c r="G87" s="32">
        <f t="shared" si="2"/>
        <v>3.18</v>
      </c>
      <c r="H87" s="32"/>
      <c r="I87" s="33"/>
      <c r="J87" s="33"/>
      <c r="K87" s="44"/>
    </row>
    <row r="88" spans="1:11" s="34" customFormat="1" ht="15">
      <c r="A88" s="30"/>
      <c r="B88" s="43" t="s">
        <v>219</v>
      </c>
      <c r="C88" s="45" t="s">
        <v>220</v>
      </c>
      <c r="D88" s="46" t="s">
        <v>1</v>
      </c>
      <c r="E88" s="44">
        <v>0.044</v>
      </c>
      <c r="F88" s="31">
        <f>TRUNC(65.3829,2)</f>
        <v>65.38</v>
      </c>
      <c r="G88" s="32">
        <f t="shared" si="2"/>
        <v>2.87</v>
      </c>
      <c r="H88" s="32"/>
      <c r="I88" s="33"/>
      <c r="J88" s="33"/>
      <c r="K88" s="44"/>
    </row>
    <row r="89" spans="1:11" s="34" customFormat="1" ht="15">
      <c r="A89" s="30"/>
      <c r="B89" s="43" t="s">
        <v>221</v>
      </c>
      <c r="C89" s="45" t="s">
        <v>222</v>
      </c>
      <c r="D89" s="46" t="s">
        <v>0</v>
      </c>
      <c r="E89" s="44">
        <v>0.11</v>
      </c>
      <c r="F89" s="31">
        <f>TRUNC(33.0955,2)</f>
        <v>33.09</v>
      </c>
      <c r="G89" s="32">
        <f t="shared" si="2"/>
        <v>3.63</v>
      </c>
      <c r="H89" s="32"/>
      <c r="I89" s="33"/>
      <c r="J89" s="33"/>
      <c r="K89" s="44"/>
    </row>
    <row r="90" spans="1:11" s="34" customFormat="1" ht="15">
      <c r="A90" s="30"/>
      <c r="B90" s="43" t="s">
        <v>223</v>
      </c>
      <c r="C90" s="45" t="s">
        <v>224</v>
      </c>
      <c r="D90" s="46" t="s">
        <v>0</v>
      </c>
      <c r="E90" s="44">
        <v>0.64</v>
      </c>
      <c r="F90" s="31">
        <f>TRUNC(29.6403,2)</f>
        <v>29.64</v>
      </c>
      <c r="G90" s="32">
        <f t="shared" si="2"/>
        <v>18.96</v>
      </c>
      <c r="H90" s="32"/>
      <c r="I90" s="33"/>
      <c r="J90" s="33"/>
      <c r="K90" s="44"/>
    </row>
    <row r="91" spans="1:11" s="34" customFormat="1" ht="15">
      <c r="A91" s="30"/>
      <c r="B91" s="43" t="s">
        <v>225</v>
      </c>
      <c r="C91" s="45" t="s">
        <v>226</v>
      </c>
      <c r="D91" s="46" t="s">
        <v>2</v>
      </c>
      <c r="E91" s="44">
        <v>0.69</v>
      </c>
      <c r="F91" s="31">
        <f>TRUNC(6.2736,2)</f>
        <v>6.27</v>
      </c>
      <c r="G91" s="32">
        <f t="shared" si="2"/>
        <v>4.32</v>
      </c>
      <c r="H91" s="32"/>
      <c r="I91" s="33"/>
      <c r="J91" s="33"/>
      <c r="K91" s="44"/>
    </row>
    <row r="92" spans="1:11" s="34" customFormat="1" ht="15">
      <c r="A92" s="30"/>
      <c r="B92" s="43"/>
      <c r="C92" s="45"/>
      <c r="D92" s="46"/>
      <c r="E92" s="44" t="s">
        <v>5</v>
      </c>
      <c r="F92" s="31"/>
      <c r="G92" s="32">
        <f>TRUNC(SUM(G21:G91),2)</f>
        <v>411.82</v>
      </c>
      <c r="H92" s="32"/>
      <c r="I92" s="33"/>
      <c r="J92" s="33"/>
      <c r="K92" s="44"/>
    </row>
    <row r="93" spans="1:11" s="88" customFormat="1" ht="60">
      <c r="A93" s="80" t="s">
        <v>8</v>
      </c>
      <c r="B93" s="81" t="s">
        <v>227</v>
      </c>
      <c r="C93" s="82" t="s">
        <v>228</v>
      </c>
      <c r="D93" s="83" t="s">
        <v>10</v>
      </c>
      <c r="E93" s="84">
        <v>1</v>
      </c>
      <c r="F93" s="85">
        <f>TRUNC(G110,2)</f>
        <v>3622.88</v>
      </c>
      <c r="G93" s="86">
        <f>TRUNC(F93*1.2882,2)</f>
        <v>4666.99</v>
      </c>
      <c r="H93" s="86">
        <f>TRUNC(F93*E93,2)</f>
        <v>3622.88</v>
      </c>
      <c r="I93" s="87">
        <f>TRUNC(E93*G93,2)</f>
        <v>4666.99</v>
      </c>
      <c r="J93" s="87"/>
      <c r="K93" s="84"/>
    </row>
    <row r="94" spans="1:11" s="34" customFormat="1" ht="30">
      <c r="A94" s="30"/>
      <c r="B94" s="43" t="s">
        <v>229</v>
      </c>
      <c r="C94" s="45" t="s">
        <v>230</v>
      </c>
      <c r="D94" s="46" t="s">
        <v>10</v>
      </c>
      <c r="E94" s="44">
        <v>1</v>
      </c>
      <c r="F94" s="31">
        <f>TRUNC(21,2)</f>
        <v>21</v>
      </c>
      <c r="G94" s="32">
        <f aca="true" t="shared" si="3" ref="G94:G109">TRUNC(E94*F94,2)</f>
        <v>21</v>
      </c>
      <c r="H94" s="32"/>
      <c r="I94" s="33"/>
      <c r="J94" s="33"/>
      <c r="K94" s="44"/>
    </row>
    <row r="95" spans="1:11" s="34" customFormat="1" ht="15">
      <c r="A95" s="30"/>
      <c r="B95" s="43" t="s">
        <v>65</v>
      </c>
      <c r="C95" s="45" t="s">
        <v>66</v>
      </c>
      <c r="D95" s="46" t="s">
        <v>2</v>
      </c>
      <c r="E95" s="44">
        <v>25</v>
      </c>
      <c r="F95" s="31">
        <f>TRUNC(5.45,2)</f>
        <v>5.45</v>
      </c>
      <c r="G95" s="32">
        <f t="shared" si="3"/>
        <v>136.25</v>
      </c>
      <c r="H95" s="32"/>
      <c r="I95" s="33"/>
      <c r="J95" s="33"/>
      <c r="K95" s="44"/>
    </row>
    <row r="96" spans="1:11" s="34" customFormat="1" ht="30">
      <c r="A96" s="30"/>
      <c r="B96" s="43" t="s">
        <v>63</v>
      </c>
      <c r="C96" s="45" t="s">
        <v>64</v>
      </c>
      <c r="D96" s="46" t="s">
        <v>3</v>
      </c>
      <c r="E96" s="44">
        <v>1</v>
      </c>
      <c r="F96" s="31">
        <f>TRUNC(15.94,2)</f>
        <v>15.94</v>
      </c>
      <c r="G96" s="32">
        <f t="shared" si="3"/>
        <v>15.94</v>
      </c>
      <c r="H96" s="32"/>
      <c r="I96" s="33"/>
      <c r="J96" s="33"/>
      <c r="K96" s="44"/>
    </row>
    <row r="97" spans="1:11" s="34" customFormat="1" ht="15">
      <c r="A97" s="30"/>
      <c r="B97" s="43" t="s">
        <v>231</v>
      </c>
      <c r="C97" s="45" t="s">
        <v>232</v>
      </c>
      <c r="D97" s="46" t="s">
        <v>10</v>
      </c>
      <c r="E97" s="44">
        <v>30</v>
      </c>
      <c r="F97" s="31">
        <f>TRUNC(0.7,2)</f>
        <v>0.7</v>
      </c>
      <c r="G97" s="32">
        <f t="shared" si="3"/>
        <v>21</v>
      </c>
      <c r="H97" s="32"/>
      <c r="I97" s="33"/>
      <c r="J97" s="33"/>
      <c r="K97" s="44"/>
    </row>
    <row r="98" spans="1:11" s="34" customFormat="1" ht="30">
      <c r="A98" s="30"/>
      <c r="B98" s="43" t="s">
        <v>131</v>
      </c>
      <c r="C98" s="45" t="s">
        <v>132</v>
      </c>
      <c r="D98" s="46" t="s">
        <v>10</v>
      </c>
      <c r="E98" s="44">
        <v>1</v>
      </c>
      <c r="F98" s="31">
        <f>TRUNC(21.19,2)</f>
        <v>21.19</v>
      </c>
      <c r="G98" s="32">
        <f t="shared" si="3"/>
        <v>21.19</v>
      </c>
      <c r="H98" s="32"/>
      <c r="I98" s="33"/>
      <c r="J98" s="33"/>
      <c r="K98" s="44"/>
    </row>
    <row r="99" spans="1:11" s="34" customFormat="1" ht="15">
      <c r="A99" s="30"/>
      <c r="B99" s="43" t="s">
        <v>233</v>
      </c>
      <c r="C99" s="45" t="s">
        <v>234</v>
      </c>
      <c r="D99" s="46" t="s">
        <v>2</v>
      </c>
      <c r="E99" s="44">
        <v>30</v>
      </c>
      <c r="F99" s="31">
        <f>TRUNC(19.91,2)</f>
        <v>19.91</v>
      </c>
      <c r="G99" s="32">
        <f t="shared" si="3"/>
        <v>597.3</v>
      </c>
      <c r="H99" s="32"/>
      <c r="I99" s="33"/>
      <c r="J99" s="33"/>
      <c r="K99" s="44"/>
    </row>
    <row r="100" spans="1:11" s="34" customFormat="1" ht="15">
      <c r="A100" s="30"/>
      <c r="B100" s="43" t="s">
        <v>235</v>
      </c>
      <c r="C100" s="45" t="s">
        <v>236</v>
      </c>
      <c r="D100" s="46" t="s">
        <v>2</v>
      </c>
      <c r="E100" s="44">
        <v>3.44</v>
      </c>
      <c r="F100" s="31">
        <f>TRUNC(23.5397,2)</f>
        <v>23.53</v>
      </c>
      <c r="G100" s="32">
        <f t="shared" si="3"/>
        <v>80.94</v>
      </c>
      <c r="H100" s="32"/>
      <c r="I100" s="33"/>
      <c r="J100" s="33"/>
      <c r="K100" s="44"/>
    </row>
    <row r="101" spans="1:11" s="34" customFormat="1" ht="30">
      <c r="A101" s="30"/>
      <c r="B101" s="43" t="s">
        <v>237</v>
      </c>
      <c r="C101" s="45" t="s">
        <v>238</v>
      </c>
      <c r="D101" s="46" t="s">
        <v>10</v>
      </c>
      <c r="E101" s="44">
        <v>1</v>
      </c>
      <c r="F101" s="31">
        <f>TRUNC(380,2)</f>
        <v>380</v>
      </c>
      <c r="G101" s="32">
        <f t="shared" si="3"/>
        <v>380</v>
      </c>
      <c r="H101" s="32"/>
      <c r="I101" s="33"/>
      <c r="J101" s="33"/>
      <c r="K101" s="44"/>
    </row>
    <row r="102" spans="1:11" s="34" customFormat="1" ht="30">
      <c r="A102" s="30"/>
      <c r="B102" s="43" t="s">
        <v>209</v>
      </c>
      <c r="C102" s="45" t="s">
        <v>210</v>
      </c>
      <c r="D102" s="46" t="s">
        <v>4</v>
      </c>
      <c r="E102" s="44">
        <v>11.33</v>
      </c>
      <c r="F102" s="31">
        <f>TRUNC(19.81,2)</f>
        <v>19.81</v>
      </c>
      <c r="G102" s="32">
        <f t="shared" si="3"/>
        <v>224.44</v>
      </c>
      <c r="H102" s="32"/>
      <c r="I102" s="33"/>
      <c r="J102" s="33"/>
      <c r="K102" s="44"/>
    </row>
    <row r="103" spans="1:11" s="34" customFormat="1" ht="30">
      <c r="A103" s="30"/>
      <c r="B103" s="43" t="s">
        <v>67</v>
      </c>
      <c r="C103" s="45" t="s">
        <v>68</v>
      </c>
      <c r="D103" s="46" t="s">
        <v>4</v>
      </c>
      <c r="E103" s="44">
        <v>8.24</v>
      </c>
      <c r="F103" s="31">
        <f>TRUNC(21.33,2)</f>
        <v>21.33</v>
      </c>
      <c r="G103" s="32">
        <f t="shared" si="3"/>
        <v>175.75</v>
      </c>
      <c r="H103" s="32"/>
      <c r="I103" s="33"/>
      <c r="J103" s="33"/>
      <c r="K103" s="44"/>
    </row>
    <row r="104" spans="1:11" s="34" customFormat="1" ht="15">
      <c r="A104" s="30"/>
      <c r="B104" s="43" t="s">
        <v>239</v>
      </c>
      <c r="C104" s="45" t="s">
        <v>240</v>
      </c>
      <c r="D104" s="46" t="s">
        <v>4</v>
      </c>
      <c r="E104" s="44">
        <v>8.24</v>
      </c>
      <c r="F104" s="31">
        <f>TRUNC(19.81,2)</f>
        <v>19.81</v>
      </c>
      <c r="G104" s="32">
        <f t="shared" si="3"/>
        <v>163.23</v>
      </c>
      <c r="H104" s="32"/>
      <c r="I104" s="33"/>
      <c r="J104" s="33"/>
      <c r="K104" s="44"/>
    </row>
    <row r="105" spans="1:11" s="34" customFormat="1" ht="30">
      <c r="A105" s="30"/>
      <c r="B105" s="43" t="s">
        <v>26</v>
      </c>
      <c r="C105" s="45" t="s">
        <v>27</v>
      </c>
      <c r="D105" s="46" t="s">
        <v>4</v>
      </c>
      <c r="E105" s="44">
        <v>8.24</v>
      </c>
      <c r="F105" s="31">
        <f>TRUNC(14.34,2)</f>
        <v>14.34</v>
      </c>
      <c r="G105" s="32">
        <f t="shared" si="3"/>
        <v>118.16</v>
      </c>
      <c r="H105" s="32"/>
      <c r="I105" s="33"/>
      <c r="J105" s="33"/>
      <c r="K105" s="44"/>
    </row>
    <row r="106" spans="1:11" s="34" customFormat="1" ht="30">
      <c r="A106" s="30"/>
      <c r="B106" s="43" t="s">
        <v>241</v>
      </c>
      <c r="C106" s="45" t="s">
        <v>242</v>
      </c>
      <c r="D106" s="46" t="s">
        <v>10</v>
      </c>
      <c r="E106" s="44">
        <v>1</v>
      </c>
      <c r="F106" s="31">
        <f>TRUNC(896.94,2)</f>
        <v>896.94</v>
      </c>
      <c r="G106" s="32">
        <f t="shared" si="3"/>
        <v>896.94</v>
      </c>
      <c r="H106" s="32"/>
      <c r="I106" s="33"/>
      <c r="J106" s="33"/>
      <c r="K106" s="44"/>
    </row>
    <row r="107" spans="1:11" s="34" customFormat="1" ht="15">
      <c r="A107" s="30"/>
      <c r="B107" s="43" t="s">
        <v>223</v>
      </c>
      <c r="C107" s="45" t="s">
        <v>224</v>
      </c>
      <c r="D107" s="46" t="s">
        <v>0</v>
      </c>
      <c r="E107" s="44">
        <v>8</v>
      </c>
      <c r="F107" s="31">
        <f>TRUNC(29.6403,2)</f>
        <v>29.64</v>
      </c>
      <c r="G107" s="32">
        <f t="shared" si="3"/>
        <v>237.12</v>
      </c>
      <c r="H107" s="32"/>
      <c r="I107" s="33"/>
      <c r="J107" s="33"/>
      <c r="K107" s="44"/>
    </row>
    <row r="108" spans="1:11" s="34" customFormat="1" ht="15">
      <c r="A108" s="30"/>
      <c r="B108" s="43" t="s">
        <v>243</v>
      </c>
      <c r="C108" s="45" t="s">
        <v>244</v>
      </c>
      <c r="D108" s="46" t="s">
        <v>1</v>
      </c>
      <c r="E108" s="44">
        <v>0.018</v>
      </c>
      <c r="F108" s="31">
        <f>TRUNC(359.9466,2)</f>
        <v>359.94</v>
      </c>
      <c r="G108" s="32">
        <f t="shared" si="3"/>
        <v>6.47</v>
      </c>
      <c r="H108" s="32"/>
      <c r="I108" s="33"/>
      <c r="J108" s="33"/>
      <c r="K108" s="44"/>
    </row>
    <row r="109" spans="1:11" s="34" customFormat="1" ht="15">
      <c r="A109" s="30"/>
      <c r="B109" s="43" t="s">
        <v>245</v>
      </c>
      <c r="C109" s="45" t="s">
        <v>246</v>
      </c>
      <c r="D109" s="46" t="s">
        <v>10</v>
      </c>
      <c r="E109" s="44">
        <v>1</v>
      </c>
      <c r="F109" s="31">
        <f>TRUNC(527.1529,2)</f>
        <v>527.15</v>
      </c>
      <c r="G109" s="32">
        <f t="shared" si="3"/>
        <v>527.15</v>
      </c>
      <c r="H109" s="32"/>
      <c r="I109" s="33"/>
      <c r="J109" s="33"/>
      <c r="K109" s="44"/>
    </row>
    <row r="110" spans="1:11" s="34" customFormat="1" ht="15">
      <c r="A110" s="30"/>
      <c r="B110" s="43"/>
      <c r="C110" s="45"/>
      <c r="D110" s="46"/>
      <c r="E110" s="44" t="s">
        <v>5</v>
      </c>
      <c r="F110" s="31"/>
      <c r="G110" s="32">
        <f>TRUNC(SUM(G94:G109),2)</f>
        <v>3622.88</v>
      </c>
      <c r="H110" s="32"/>
      <c r="I110" s="33"/>
      <c r="J110" s="33"/>
      <c r="K110" s="44"/>
    </row>
    <row r="111" spans="1:11" s="88" customFormat="1" ht="60">
      <c r="A111" s="80" t="s">
        <v>9</v>
      </c>
      <c r="B111" s="81" t="s">
        <v>69</v>
      </c>
      <c r="C111" s="82" t="s">
        <v>70</v>
      </c>
      <c r="D111" s="83" t="s">
        <v>10</v>
      </c>
      <c r="E111" s="84">
        <v>1</v>
      </c>
      <c r="F111" s="85">
        <f>TRUNC(G125,2)</f>
        <v>1942.86</v>
      </c>
      <c r="G111" s="86">
        <f>TRUNC(F111*1.2882,2)</f>
        <v>2502.79</v>
      </c>
      <c r="H111" s="86">
        <f>TRUNC(F111*E111,2)</f>
        <v>1942.86</v>
      </c>
      <c r="I111" s="87">
        <f>TRUNC(E111*G111,2)</f>
        <v>2502.79</v>
      </c>
      <c r="J111" s="87"/>
      <c r="K111" s="84">
        <v>2000</v>
      </c>
    </row>
    <row r="112" spans="1:11" s="34" customFormat="1" ht="15">
      <c r="A112" s="30"/>
      <c r="B112" s="43" t="s">
        <v>71</v>
      </c>
      <c r="C112" s="45" t="s">
        <v>72</v>
      </c>
      <c r="D112" s="46" t="s">
        <v>10</v>
      </c>
      <c r="E112" s="44">
        <v>1</v>
      </c>
      <c r="F112" s="31">
        <f>TRUNC(1.18,2)</f>
        <v>1.18</v>
      </c>
      <c r="G112" s="32">
        <f aca="true" t="shared" si="4" ref="G112:G124">TRUNC(E112*F112,2)</f>
        <v>1.18</v>
      </c>
      <c r="H112" s="32"/>
      <c r="I112" s="33"/>
      <c r="J112" s="33"/>
      <c r="K112" s="44"/>
    </row>
    <row r="113" spans="1:11" s="34" customFormat="1" ht="15">
      <c r="A113" s="30"/>
      <c r="B113" s="43" t="s">
        <v>73</v>
      </c>
      <c r="C113" s="45" t="s">
        <v>74</v>
      </c>
      <c r="D113" s="46" t="s">
        <v>10</v>
      </c>
      <c r="E113" s="44">
        <v>4</v>
      </c>
      <c r="F113" s="31">
        <f>TRUNC(22.6,2)</f>
        <v>22.6</v>
      </c>
      <c r="G113" s="32">
        <f t="shared" si="4"/>
        <v>90.4</v>
      </c>
      <c r="H113" s="32"/>
      <c r="I113" s="33"/>
      <c r="J113" s="33"/>
      <c r="K113" s="44"/>
    </row>
    <row r="114" spans="1:11" s="34" customFormat="1" ht="15">
      <c r="A114" s="30"/>
      <c r="B114" s="43" t="s">
        <v>75</v>
      </c>
      <c r="C114" s="45" t="s">
        <v>76</v>
      </c>
      <c r="D114" s="46" t="s">
        <v>10</v>
      </c>
      <c r="E114" s="44">
        <v>4</v>
      </c>
      <c r="F114" s="31">
        <f>TRUNC(4.53,2)</f>
        <v>4.53</v>
      </c>
      <c r="G114" s="32">
        <f t="shared" si="4"/>
        <v>18.12</v>
      </c>
      <c r="H114" s="32"/>
      <c r="I114" s="33"/>
      <c r="J114" s="33"/>
      <c r="K114" s="44"/>
    </row>
    <row r="115" spans="1:11" s="34" customFormat="1" ht="15">
      <c r="A115" s="30"/>
      <c r="B115" s="43" t="s">
        <v>77</v>
      </c>
      <c r="C115" s="45" t="s">
        <v>78</v>
      </c>
      <c r="D115" s="46" t="s">
        <v>2</v>
      </c>
      <c r="E115" s="44">
        <v>6</v>
      </c>
      <c r="F115" s="31">
        <f>TRUNC(54.1,2)</f>
        <v>54.1</v>
      </c>
      <c r="G115" s="32">
        <f t="shared" si="4"/>
        <v>324.6</v>
      </c>
      <c r="H115" s="32"/>
      <c r="I115" s="33"/>
      <c r="J115" s="33"/>
      <c r="K115" s="44"/>
    </row>
    <row r="116" spans="1:11" s="34" customFormat="1" ht="15">
      <c r="A116" s="30"/>
      <c r="B116" s="43" t="s">
        <v>79</v>
      </c>
      <c r="C116" s="45" t="s">
        <v>80</v>
      </c>
      <c r="D116" s="46" t="s">
        <v>2</v>
      </c>
      <c r="E116" s="44">
        <v>1</v>
      </c>
      <c r="F116" s="31">
        <f>TRUNC(13.65,2)</f>
        <v>13.65</v>
      </c>
      <c r="G116" s="32">
        <f t="shared" si="4"/>
        <v>13.65</v>
      </c>
      <c r="H116" s="32"/>
      <c r="I116" s="33"/>
      <c r="J116" s="33"/>
      <c r="K116" s="44"/>
    </row>
    <row r="117" spans="1:11" s="34" customFormat="1" ht="15">
      <c r="A117" s="30"/>
      <c r="B117" s="43" t="s">
        <v>81</v>
      </c>
      <c r="C117" s="45" t="s">
        <v>82</v>
      </c>
      <c r="D117" s="46" t="s">
        <v>10</v>
      </c>
      <c r="E117" s="44">
        <v>1</v>
      </c>
      <c r="F117" s="31">
        <f>TRUNC(110.84,2)</f>
        <v>110.84</v>
      </c>
      <c r="G117" s="32">
        <f t="shared" si="4"/>
        <v>110.84</v>
      </c>
      <c r="H117" s="32"/>
      <c r="I117" s="33"/>
      <c r="J117" s="33"/>
      <c r="K117" s="44"/>
    </row>
    <row r="118" spans="1:11" s="34" customFormat="1" ht="15">
      <c r="A118" s="30"/>
      <c r="B118" s="43" t="s">
        <v>83</v>
      </c>
      <c r="C118" s="45" t="s">
        <v>84</v>
      </c>
      <c r="D118" s="46" t="s">
        <v>10</v>
      </c>
      <c r="E118" s="44">
        <v>2</v>
      </c>
      <c r="F118" s="31">
        <f>TRUNC(3.99,2)</f>
        <v>3.99</v>
      </c>
      <c r="G118" s="32">
        <f t="shared" si="4"/>
        <v>7.98</v>
      </c>
      <c r="H118" s="32"/>
      <c r="I118" s="33"/>
      <c r="J118" s="33"/>
      <c r="K118" s="44"/>
    </row>
    <row r="119" spans="1:11" s="34" customFormat="1" ht="15">
      <c r="A119" s="30"/>
      <c r="B119" s="43" t="s">
        <v>85</v>
      </c>
      <c r="C119" s="45" t="s">
        <v>86</v>
      </c>
      <c r="D119" s="46" t="s">
        <v>10</v>
      </c>
      <c r="E119" s="44">
        <v>3</v>
      </c>
      <c r="F119" s="31">
        <f>TRUNC(51.95,2)</f>
        <v>51.95</v>
      </c>
      <c r="G119" s="32">
        <f t="shared" si="4"/>
        <v>155.85</v>
      </c>
      <c r="H119" s="32"/>
      <c r="I119" s="33"/>
      <c r="J119" s="33"/>
      <c r="K119" s="44"/>
    </row>
    <row r="120" spans="1:11" s="34" customFormat="1" ht="30">
      <c r="A120" s="30"/>
      <c r="B120" s="43" t="s">
        <v>87</v>
      </c>
      <c r="C120" s="45" t="s">
        <v>88</v>
      </c>
      <c r="D120" s="46" t="s">
        <v>10</v>
      </c>
      <c r="E120" s="44">
        <v>4</v>
      </c>
      <c r="F120" s="31">
        <f>TRUNC(6.89,2)</f>
        <v>6.89</v>
      </c>
      <c r="G120" s="32">
        <f t="shared" si="4"/>
        <v>27.56</v>
      </c>
      <c r="H120" s="32"/>
      <c r="I120" s="33"/>
      <c r="J120" s="33"/>
      <c r="K120" s="44"/>
    </row>
    <row r="121" spans="1:11" s="34" customFormat="1" ht="30">
      <c r="A121" s="30"/>
      <c r="B121" s="43" t="s">
        <v>89</v>
      </c>
      <c r="C121" s="45" t="s">
        <v>90</v>
      </c>
      <c r="D121" s="46" t="s">
        <v>2</v>
      </c>
      <c r="E121" s="44">
        <v>20</v>
      </c>
      <c r="F121" s="31">
        <f>TRUNC(10.28,2)</f>
        <v>10.28</v>
      </c>
      <c r="G121" s="32">
        <f t="shared" si="4"/>
        <v>205.6</v>
      </c>
      <c r="H121" s="32"/>
      <c r="I121" s="33"/>
      <c r="J121" s="33"/>
      <c r="K121" s="44"/>
    </row>
    <row r="122" spans="1:11" s="34" customFormat="1" ht="15">
      <c r="A122" s="30"/>
      <c r="B122" s="43" t="s">
        <v>91</v>
      </c>
      <c r="C122" s="45" t="s">
        <v>92</v>
      </c>
      <c r="D122" s="46" t="s">
        <v>2</v>
      </c>
      <c r="E122" s="44">
        <v>2</v>
      </c>
      <c r="F122" s="31">
        <f>TRUNC(71.45,2)</f>
        <v>71.45</v>
      </c>
      <c r="G122" s="32">
        <f t="shared" si="4"/>
        <v>142.9</v>
      </c>
      <c r="H122" s="32"/>
      <c r="I122" s="33"/>
      <c r="J122" s="33"/>
      <c r="K122" s="44"/>
    </row>
    <row r="123" spans="1:11" s="34" customFormat="1" ht="30">
      <c r="A123" s="30"/>
      <c r="B123" s="43" t="s">
        <v>26</v>
      </c>
      <c r="C123" s="45" t="s">
        <v>27</v>
      </c>
      <c r="D123" s="46" t="s">
        <v>4</v>
      </c>
      <c r="E123" s="44">
        <v>24.72</v>
      </c>
      <c r="F123" s="31">
        <f>TRUNC(14.34,2)</f>
        <v>14.34</v>
      </c>
      <c r="G123" s="32">
        <f t="shared" si="4"/>
        <v>354.48</v>
      </c>
      <c r="H123" s="32"/>
      <c r="I123" s="33"/>
      <c r="J123" s="33"/>
      <c r="K123" s="44"/>
    </row>
    <row r="124" spans="1:11" s="34" customFormat="1" ht="30">
      <c r="A124" s="30"/>
      <c r="B124" s="43" t="s">
        <v>93</v>
      </c>
      <c r="C124" s="45" t="s">
        <v>94</v>
      </c>
      <c r="D124" s="46" t="s">
        <v>4</v>
      </c>
      <c r="E124" s="44">
        <v>24.72</v>
      </c>
      <c r="F124" s="31">
        <f>TRUNC(19.81,2)</f>
        <v>19.81</v>
      </c>
      <c r="G124" s="32">
        <f t="shared" si="4"/>
        <v>489.7</v>
      </c>
      <c r="H124" s="32"/>
      <c r="I124" s="33"/>
      <c r="J124" s="33"/>
      <c r="K124" s="44"/>
    </row>
    <row r="125" spans="1:11" s="34" customFormat="1" ht="15">
      <c r="A125" s="30"/>
      <c r="B125" s="43"/>
      <c r="C125" s="45"/>
      <c r="D125" s="46"/>
      <c r="E125" s="44" t="s">
        <v>5</v>
      </c>
      <c r="F125" s="31"/>
      <c r="G125" s="32">
        <f>TRUNC(SUM(G112:G124),2)</f>
        <v>1942.86</v>
      </c>
      <c r="H125" s="32"/>
      <c r="I125" s="33"/>
      <c r="J125" s="33"/>
      <c r="K125" s="44"/>
    </row>
    <row r="126" spans="1:11" s="88" customFormat="1" ht="30">
      <c r="A126" s="80" t="s">
        <v>37</v>
      </c>
      <c r="B126" s="81" t="s">
        <v>247</v>
      </c>
      <c r="C126" s="82" t="s">
        <v>248</v>
      </c>
      <c r="D126" s="83" t="s">
        <v>2</v>
      </c>
      <c r="E126" s="84">
        <v>123</v>
      </c>
      <c r="F126" s="85">
        <f>TRUNC(G138,2)</f>
        <v>54.55</v>
      </c>
      <c r="G126" s="86">
        <f>TRUNC(F126*1.2882,2)</f>
        <v>70.27</v>
      </c>
      <c r="H126" s="86">
        <f>TRUNC(F126*E126,2)</f>
        <v>6709.65</v>
      </c>
      <c r="I126" s="87">
        <f>TRUNC(E126*G126,2)</f>
        <v>8643.21</v>
      </c>
      <c r="J126" s="87"/>
      <c r="K126" s="84"/>
    </row>
    <row r="127" spans="1:11" s="34" customFormat="1" ht="15">
      <c r="A127" s="30"/>
      <c r="B127" s="43" t="s">
        <v>249</v>
      </c>
      <c r="C127" s="45" t="s">
        <v>250</v>
      </c>
      <c r="D127" s="46" t="s">
        <v>2</v>
      </c>
      <c r="E127" s="44">
        <v>0.55</v>
      </c>
      <c r="F127" s="31">
        <f>TRUNC(6.93,2)</f>
        <v>6.93</v>
      </c>
      <c r="G127" s="32">
        <f aca="true" t="shared" si="5" ref="G127:G137">TRUNC(E127*F127,2)</f>
        <v>3.81</v>
      </c>
      <c r="H127" s="32"/>
      <c r="I127" s="33"/>
      <c r="J127" s="33"/>
      <c r="K127" s="44"/>
    </row>
    <row r="128" spans="1:11" s="34" customFormat="1" ht="15">
      <c r="A128" s="30"/>
      <c r="B128" s="43" t="s">
        <v>251</v>
      </c>
      <c r="C128" s="45" t="s">
        <v>252</v>
      </c>
      <c r="D128" s="46" t="s">
        <v>253</v>
      </c>
      <c r="E128" s="44">
        <v>0.0256</v>
      </c>
      <c r="F128" s="31">
        <f>TRUNC(22.49,2)</f>
        <v>22.49</v>
      </c>
      <c r="G128" s="32">
        <f t="shared" si="5"/>
        <v>0.57</v>
      </c>
      <c r="H128" s="32"/>
      <c r="I128" s="33"/>
      <c r="J128" s="33"/>
      <c r="K128" s="44"/>
    </row>
    <row r="129" spans="1:11" s="34" customFormat="1" ht="15">
      <c r="A129" s="30"/>
      <c r="B129" s="43" t="s">
        <v>254</v>
      </c>
      <c r="C129" s="45" t="s">
        <v>255</v>
      </c>
      <c r="D129" s="46" t="s">
        <v>3</v>
      </c>
      <c r="E129" s="44">
        <v>0.111</v>
      </c>
      <c r="F129" s="31">
        <f>TRUNC(15.07,2)</f>
        <v>15.07</v>
      </c>
      <c r="G129" s="32">
        <f t="shared" si="5"/>
        <v>1.67</v>
      </c>
      <c r="H129" s="32"/>
      <c r="I129" s="33"/>
      <c r="J129" s="33"/>
      <c r="K129" s="44"/>
    </row>
    <row r="130" spans="1:11" s="34" customFormat="1" ht="30">
      <c r="A130" s="30"/>
      <c r="B130" s="43" t="s">
        <v>256</v>
      </c>
      <c r="C130" s="45" t="s">
        <v>257</v>
      </c>
      <c r="D130" s="46" t="s">
        <v>2</v>
      </c>
      <c r="E130" s="44">
        <v>0.4125</v>
      </c>
      <c r="F130" s="31">
        <f>TRUNC(25.22,2)</f>
        <v>25.22</v>
      </c>
      <c r="G130" s="32">
        <f t="shared" si="5"/>
        <v>10.4</v>
      </c>
      <c r="H130" s="32"/>
      <c r="I130" s="33"/>
      <c r="J130" s="33"/>
      <c r="K130" s="44"/>
    </row>
    <row r="131" spans="1:11" s="34" customFormat="1" ht="30">
      <c r="A131" s="30"/>
      <c r="B131" s="43" t="s">
        <v>258</v>
      </c>
      <c r="C131" s="45" t="s">
        <v>259</v>
      </c>
      <c r="D131" s="46" t="s">
        <v>2</v>
      </c>
      <c r="E131" s="44">
        <v>0.7445</v>
      </c>
      <c r="F131" s="31">
        <f>TRUNC(7.02,2)</f>
        <v>7.02</v>
      </c>
      <c r="G131" s="32">
        <f t="shared" si="5"/>
        <v>5.22</v>
      </c>
      <c r="H131" s="32"/>
      <c r="I131" s="33"/>
      <c r="J131" s="33"/>
      <c r="K131" s="44"/>
    </row>
    <row r="132" spans="1:11" s="34" customFormat="1" ht="15">
      <c r="A132" s="30"/>
      <c r="B132" s="43" t="s">
        <v>260</v>
      </c>
      <c r="C132" s="45" t="s">
        <v>261</v>
      </c>
      <c r="D132" s="46" t="s">
        <v>4</v>
      </c>
      <c r="E132" s="44">
        <v>0.7125</v>
      </c>
      <c r="F132" s="31">
        <f>TRUNC(26.52,2)</f>
        <v>26.52</v>
      </c>
      <c r="G132" s="32">
        <f t="shared" si="5"/>
        <v>18.89</v>
      </c>
      <c r="H132" s="32"/>
      <c r="I132" s="33"/>
      <c r="J132" s="33"/>
      <c r="K132" s="44"/>
    </row>
    <row r="133" spans="1:11" s="34" customFormat="1" ht="15">
      <c r="A133" s="30"/>
      <c r="B133" s="43" t="s">
        <v>262</v>
      </c>
      <c r="C133" s="45" t="s">
        <v>263</v>
      </c>
      <c r="D133" s="46" t="s">
        <v>4</v>
      </c>
      <c r="E133" s="44">
        <v>0.3563</v>
      </c>
      <c r="F133" s="31">
        <f>TRUNC(22.41,2)</f>
        <v>22.41</v>
      </c>
      <c r="G133" s="32">
        <f t="shared" si="5"/>
        <v>7.98</v>
      </c>
      <c r="H133" s="32"/>
      <c r="I133" s="33"/>
      <c r="J133" s="33"/>
      <c r="K133" s="44"/>
    </row>
    <row r="134" spans="1:11" s="34" customFormat="1" ht="15">
      <c r="A134" s="30"/>
      <c r="B134" s="43" t="s">
        <v>264</v>
      </c>
      <c r="C134" s="45" t="s">
        <v>265</v>
      </c>
      <c r="D134" s="46" t="s">
        <v>10</v>
      </c>
      <c r="E134" s="44">
        <v>1.5</v>
      </c>
      <c r="F134" s="31">
        <f>TRUNC(2.48,2)</f>
        <v>2.48</v>
      </c>
      <c r="G134" s="32">
        <f t="shared" si="5"/>
        <v>3.72</v>
      </c>
      <c r="H134" s="32"/>
      <c r="I134" s="33"/>
      <c r="J134" s="33"/>
      <c r="K134" s="44"/>
    </row>
    <row r="135" spans="1:11" s="34" customFormat="1" ht="30">
      <c r="A135" s="30"/>
      <c r="B135" s="43" t="s">
        <v>266</v>
      </c>
      <c r="C135" s="45" t="s">
        <v>267</v>
      </c>
      <c r="D135" s="46" t="s">
        <v>1</v>
      </c>
      <c r="E135" s="44">
        <v>0.0046</v>
      </c>
      <c r="F135" s="31">
        <f>TRUNC(360.62,2)</f>
        <v>360.62</v>
      </c>
      <c r="G135" s="32">
        <f t="shared" si="5"/>
        <v>1.65</v>
      </c>
      <c r="H135" s="32"/>
      <c r="I135" s="33"/>
      <c r="J135" s="33"/>
      <c r="K135" s="44"/>
    </row>
    <row r="136" spans="1:11" s="34" customFormat="1" ht="30">
      <c r="A136" s="30"/>
      <c r="B136" s="43" t="s">
        <v>268</v>
      </c>
      <c r="C136" s="45" t="s">
        <v>269</v>
      </c>
      <c r="D136" s="46" t="s">
        <v>38</v>
      </c>
      <c r="E136" s="44">
        <v>0.0168</v>
      </c>
      <c r="F136" s="31">
        <f>TRUNC(30.54,2)</f>
        <v>30.54</v>
      </c>
      <c r="G136" s="32">
        <f t="shared" si="5"/>
        <v>0.51</v>
      </c>
      <c r="H136" s="32"/>
      <c r="I136" s="33"/>
      <c r="J136" s="33"/>
      <c r="K136" s="44"/>
    </row>
    <row r="137" spans="1:11" s="34" customFormat="1" ht="30">
      <c r="A137" s="30"/>
      <c r="B137" s="43" t="s">
        <v>270</v>
      </c>
      <c r="C137" s="45" t="s">
        <v>271</v>
      </c>
      <c r="D137" s="46" t="s">
        <v>21</v>
      </c>
      <c r="E137" s="44">
        <v>0.0039</v>
      </c>
      <c r="F137" s="31">
        <f>TRUNC(33.47,2)</f>
        <v>33.47</v>
      </c>
      <c r="G137" s="32">
        <f t="shared" si="5"/>
        <v>0.13</v>
      </c>
      <c r="H137" s="32"/>
      <c r="I137" s="33"/>
      <c r="J137" s="33"/>
      <c r="K137" s="44"/>
    </row>
    <row r="138" spans="1:11" s="34" customFormat="1" ht="15">
      <c r="A138" s="30"/>
      <c r="B138" s="43"/>
      <c r="C138" s="45"/>
      <c r="D138" s="46"/>
      <c r="E138" s="44" t="s">
        <v>5</v>
      </c>
      <c r="F138" s="31"/>
      <c r="G138" s="32">
        <f>TRUNC(SUM(G127:G137),2)</f>
        <v>54.55</v>
      </c>
      <c r="H138" s="32"/>
      <c r="I138" s="33"/>
      <c r="J138" s="33"/>
      <c r="K138" s="44"/>
    </row>
    <row r="139" spans="1:11" s="72" customFormat="1" ht="15">
      <c r="A139" s="65" t="s">
        <v>1363</v>
      </c>
      <c r="B139" s="66"/>
      <c r="C139" s="67"/>
      <c r="D139" s="68"/>
      <c r="E139" s="69"/>
      <c r="F139" s="70"/>
      <c r="G139" s="73" t="s">
        <v>23</v>
      </c>
      <c r="H139" s="74">
        <f>H126+H111+H93+H20+H13</f>
        <v>30747.89</v>
      </c>
      <c r="I139" s="75">
        <f>I126+I111+I93+I20+I13</f>
        <v>39608.99</v>
      </c>
      <c r="J139" s="71"/>
      <c r="K139" s="69"/>
    </row>
    <row r="140" spans="1:11" s="21" customFormat="1" ht="15.75">
      <c r="A140" s="21" t="s">
        <v>888</v>
      </c>
      <c r="B140" s="28"/>
      <c r="C140" s="29" t="s">
        <v>272</v>
      </c>
      <c r="D140" s="29"/>
      <c r="E140" s="29"/>
      <c r="F140" s="29"/>
      <c r="G140" s="29"/>
      <c r="H140" s="29"/>
      <c r="I140" s="27"/>
      <c r="J140" s="29"/>
      <c r="K140" s="29"/>
    </row>
    <row r="141" spans="1:11" s="88" customFormat="1" ht="75">
      <c r="A141" s="80" t="s">
        <v>1358</v>
      </c>
      <c r="B141" s="81" t="s">
        <v>273</v>
      </c>
      <c r="C141" s="82" t="s">
        <v>274</v>
      </c>
      <c r="D141" s="83" t="s">
        <v>1</v>
      </c>
      <c r="E141" s="84">
        <v>225.6</v>
      </c>
      <c r="F141" s="85">
        <f>TRUNC(G145,2)</f>
        <v>120.21</v>
      </c>
      <c r="G141" s="86">
        <f>TRUNC(F141*1.2882,2)</f>
        <v>154.85</v>
      </c>
      <c r="H141" s="86">
        <f>TRUNC(F141*E141,2)</f>
        <v>27119.37</v>
      </c>
      <c r="I141" s="87">
        <f>TRUNC(E141*G141,2)</f>
        <v>34934.16</v>
      </c>
      <c r="J141" s="87"/>
      <c r="K141" s="84"/>
    </row>
    <row r="142" spans="1:11" s="34" customFormat="1" ht="30">
      <c r="A142" s="30"/>
      <c r="B142" s="43" t="s">
        <v>26</v>
      </c>
      <c r="C142" s="45" t="s">
        <v>27</v>
      </c>
      <c r="D142" s="46" t="s">
        <v>4</v>
      </c>
      <c r="E142" s="44">
        <v>6.901000000000001</v>
      </c>
      <c r="F142" s="31">
        <f>TRUNC(14.34,2)</f>
        <v>14.34</v>
      </c>
      <c r="G142" s="32">
        <f>TRUNC(E142*F142,2)</f>
        <v>98.96</v>
      </c>
      <c r="H142" s="32"/>
      <c r="I142" s="33"/>
      <c r="J142" s="33"/>
      <c r="K142" s="44"/>
    </row>
    <row r="143" spans="1:11" s="34" customFormat="1" ht="15">
      <c r="A143" s="30"/>
      <c r="B143" s="43" t="s">
        <v>275</v>
      </c>
      <c r="C143" s="45" t="s">
        <v>276</v>
      </c>
      <c r="D143" s="46" t="s">
        <v>4</v>
      </c>
      <c r="E143" s="44">
        <v>0.34</v>
      </c>
      <c r="F143" s="31">
        <f>TRUNC(46.7989,2)</f>
        <v>46.79</v>
      </c>
      <c r="G143" s="32">
        <f>TRUNC(E143*F143,2)</f>
        <v>15.9</v>
      </c>
      <c r="H143" s="32"/>
      <c r="I143" s="33"/>
      <c r="J143" s="33"/>
      <c r="K143" s="44"/>
    </row>
    <row r="144" spans="1:11" s="34" customFormat="1" ht="15">
      <c r="A144" s="30"/>
      <c r="B144" s="43" t="s">
        <v>277</v>
      </c>
      <c r="C144" s="45" t="s">
        <v>278</v>
      </c>
      <c r="D144" s="46" t="s">
        <v>4</v>
      </c>
      <c r="E144" s="44">
        <v>0.0356</v>
      </c>
      <c r="F144" s="31">
        <f>TRUNC(150.467,2)</f>
        <v>150.46</v>
      </c>
      <c r="G144" s="32">
        <f>TRUNC(E144*F144,2)</f>
        <v>5.35</v>
      </c>
      <c r="H144" s="32"/>
      <c r="I144" s="33"/>
      <c r="J144" s="33"/>
      <c r="K144" s="44"/>
    </row>
    <row r="145" spans="1:11" s="34" customFormat="1" ht="15">
      <c r="A145" s="30"/>
      <c r="B145" s="43"/>
      <c r="C145" s="45"/>
      <c r="D145" s="46"/>
      <c r="E145" s="44" t="s">
        <v>5</v>
      </c>
      <c r="F145" s="31"/>
      <c r="G145" s="32">
        <f>TRUNC(SUM(G142:G144),2)</f>
        <v>120.21</v>
      </c>
      <c r="H145" s="32"/>
      <c r="I145" s="33"/>
      <c r="J145" s="33"/>
      <c r="K145" s="44"/>
    </row>
    <row r="146" spans="1:11" s="88" customFormat="1" ht="45">
      <c r="A146" s="80" t="s">
        <v>1359</v>
      </c>
      <c r="B146" s="81" t="s">
        <v>279</v>
      </c>
      <c r="C146" s="82" t="s">
        <v>280</v>
      </c>
      <c r="D146" s="83" t="s">
        <v>1</v>
      </c>
      <c r="E146" s="84">
        <v>137</v>
      </c>
      <c r="F146" s="85">
        <f>TRUNC(G148,2)</f>
        <v>50.21</v>
      </c>
      <c r="G146" s="86">
        <f>TRUNC(F146*1.2882,2)</f>
        <v>64.68</v>
      </c>
      <c r="H146" s="86">
        <f>TRUNC(F146*E146,2)</f>
        <v>6878.77</v>
      </c>
      <c r="I146" s="87">
        <f>TRUNC(E146*G146,2)</f>
        <v>8861.16</v>
      </c>
      <c r="J146" s="87"/>
      <c r="K146" s="84"/>
    </row>
    <row r="147" spans="1:11" s="34" customFormat="1" ht="30">
      <c r="A147" s="30"/>
      <c r="B147" s="43" t="s">
        <v>26</v>
      </c>
      <c r="C147" s="45" t="s">
        <v>27</v>
      </c>
      <c r="D147" s="46" t="s">
        <v>4</v>
      </c>
      <c r="E147" s="44">
        <v>3.502</v>
      </c>
      <c r="F147" s="31">
        <f>TRUNC(14.34,2)</f>
        <v>14.34</v>
      </c>
      <c r="G147" s="32">
        <f>TRUNC(E147*F147,2)</f>
        <v>50.21</v>
      </c>
      <c r="H147" s="32"/>
      <c r="I147" s="33"/>
      <c r="J147" s="33"/>
      <c r="K147" s="44"/>
    </row>
    <row r="148" spans="1:11" s="34" customFormat="1" ht="15">
      <c r="A148" s="30"/>
      <c r="B148" s="43"/>
      <c r="C148" s="45"/>
      <c r="D148" s="46"/>
      <c r="E148" s="44" t="s">
        <v>5</v>
      </c>
      <c r="F148" s="31"/>
      <c r="G148" s="32">
        <f>TRUNC(SUM(G147:G147),2)</f>
        <v>50.21</v>
      </c>
      <c r="H148" s="32"/>
      <c r="I148" s="33"/>
      <c r="J148" s="33"/>
      <c r="K148" s="44"/>
    </row>
    <row r="149" spans="1:11" s="88" customFormat="1" ht="30">
      <c r="A149" s="80" t="s">
        <v>1360</v>
      </c>
      <c r="B149" s="81" t="s">
        <v>281</v>
      </c>
      <c r="C149" s="82" t="s">
        <v>282</v>
      </c>
      <c r="D149" s="83" t="s">
        <v>0</v>
      </c>
      <c r="E149" s="84">
        <v>121.3</v>
      </c>
      <c r="F149" s="85">
        <f>TRUNC(G157,2)</f>
        <v>1.95</v>
      </c>
      <c r="G149" s="86">
        <f>TRUNC(F149*1.2882,2)</f>
        <v>2.51</v>
      </c>
      <c r="H149" s="86">
        <f>TRUNC(F149*E149,2)</f>
        <v>236.53</v>
      </c>
      <c r="I149" s="87">
        <f>TRUNC(E149*G149,2)</f>
        <v>304.46</v>
      </c>
      <c r="J149" s="87"/>
      <c r="K149" s="84"/>
    </row>
    <row r="150" spans="1:11" s="34" customFormat="1" ht="15">
      <c r="A150" s="30"/>
      <c r="B150" s="43" t="s">
        <v>283</v>
      </c>
      <c r="C150" s="45" t="s">
        <v>32</v>
      </c>
      <c r="D150" s="46" t="s">
        <v>4</v>
      </c>
      <c r="E150" s="44">
        <v>0.008</v>
      </c>
      <c r="F150" s="31">
        <f>TRUNC(21.13,2)</f>
        <v>21.13</v>
      </c>
      <c r="G150" s="32">
        <f aca="true" t="shared" si="6" ref="G150:G156">TRUNC(E150*F150,2)</f>
        <v>0.16</v>
      </c>
      <c r="H150" s="32"/>
      <c r="I150" s="33"/>
      <c r="J150" s="33"/>
      <c r="K150" s="44"/>
    </row>
    <row r="151" spans="1:11" s="34" customFormat="1" ht="45">
      <c r="A151" s="30"/>
      <c r="B151" s="43" t="s">
        <v>284</v>
      </c>
      <c r="C151" s="45" t="s">
        <v>285</v>
      </c>
      <c r="D151" s="46" t="s">
        <v>38</v>
      </c>
      <c r="E151" s="44">
        <v>0.006</v>
      </c>
      <c r="F151" s="31">
        <f>TRUNC(52.58,2)</f>
        <v>52.58</v>
      </c>
      <c r="G151" s="32">
        <f t="shared" si="6"/>
        <v>0.31</v>
      </c>
      <c r="H151" s="32"/>
      <c r="I151" s="33"/>
      <c r="J151" s="33"/>
      <c r="K151" s="44"/>
    </row>
    <row r="152" spans="1:11" s="34" customFormat="1" ht="45">
      <c r="A152" s="30"/>
      <c r="B152" s="43" t="s">
        <v>286</v>
      </c>
      <c r="C152" s="45" t="s">
        <v>287</v>
      </c>
      <c r="D152" s="46" t="s">
        <v>21</v>
      </c>
      <c r="E152" s="44">
        <v>0.002</v>
      </c>
      <c r="F152" s="31">
        <f>TRUNC(178.8,2)</f>
        <v>178.8</v>
      </c>
      <c r="G152" s="32">
        <f t="shared" si="6"/>
        <v>0.35</v>
      </c>
      <c r="H152" s="32"/>
      <c r="I152" s="33"/>
      <c r="J152" s="33"/>
      <c r="K152" s="44"/>
    </row>
    <row r="153" spans="1:11" s="34" customFormat="1" ht="45">
      <c r="A153" s="30"/>
      <c r="B153" s="43" t="s">
        <v>288</v>
      </c>
      <c r="C153" s="45" t="s">
        <v>289</v>
      </c>
      <c r="D153" s="46" t="s">
        <v>38</v>
      </c>
      <c r="E153" s="44">
        <v>0.008</v>
      </c>
      <c r="F153" s="31">
        <f>TRUNC(72.26,2)</f>
        <v>72.26</v>
      </c>
      <c r="G153" s="32">
        <f t="shared" si="6"/>
        <v>0.57</v>
      </c>
      <c r="H153" s="32"/>
      <c r="I153" s="33"/>
      <c r="J153" s="33"/>
      <c r="K153" s="44"/>
    </row>
    <row r="154" spans="1:11" s="34" customFormat="1" ht="45">
      <c r="A154" s="30"/>
      <c r="B154" s="43" t="s">
        <v>290</v>
      </c>
      <c r="C154" s="45" t="s">
        <v>291</v>
      </c>
      <c r="D154" s="46" t="s">
        <v>21</v>
      </c>
      <c r="E154" s="44">
        <v>0.0001</v>
      </c>
      <c r="F154" s="31">
        <f>TRUNC(187.51,2)</f>
        <v>187.51</v>
      </c>
      <c r="G154" s="32">
        <f t="shared" si="6"/>
        <v>0.01</v>
      </c>
      <c r="H154" s="32"/>
      <c r="I154" s="33"/>
      <c r="J154" s="33"/>
      <c r="K154" s="44"/>
    </row>
    <row r="155" spans="1:11" s="34" customFormat="1" ht="45">
      <c r="A155" s="30"/>
      <c r="B155" s="43" t="s">
        <v>292</v>
      </c>
      <c r="C155" s="45" t="s">
        <v>293</v>
      </c>
      <c r="D155" s="46" t="s">
        <v>38</v>
      </c>
      <c r="E155" s="44">
        <v>0.007</v>
      </c>
      <c r="F155" s="31">
        <f>TRUNC(48.17,2)</f>
        <v>48.17</v>
      </c>
      <c r="G155" s="32">
        <f t="shared" si="6"/>
        <v>0.33</v>
      </c>
      <c r="H155" s="32"/>
      <c r="I155" s="33"/>
      <c r="J155" s="33"/>
      <c r="K155" s="44"/>
    </row>
    <row r="156" spans="1:11" s="34" customFormat="1" ht="60">
      <c r="A156" s="30"/>
      <c r="B156" s="43" t="s">
        <v>294</v>
      </c>
      <c r="C156" s="45" t="s">
        <v>295</v>
      </c>
      <c r="D156" s="46" t="s">
        <v>21</v>
      </c>
      <c r="E156" s="44">
        <v>0.001</v>
      </c>
      <c r="F156" s="31">
        <f>TRUNC(225.55,2)</f>
        <v>225.55</v>
      </c>
      <c r="G156" s="32">
        <f t="shared" si="6"/>
        <v>0.22</v>
      </c>
      <c r="H156" s="32"/>
      <c r="I156" s="33"/>
      <c r="J156" s="33"/>
      <c r="K156" s="44"/>
    </row>
    <row r="157" spans="1:11" s="34" customFormat="1" ht="15">
      <c r="A157" s="30"/>
      <c r="B157" s="43"/>
      <c r="C157" s="45"/>
      <c r="D157" s="46"/>
      <c r="E157" s="44" t="s">
        <v>5</v>
      </c>
      <c r="F157" s="31"/>
      <c r="G157" s="32">
        <f>TRUNC(SUM(G150:G156),2)</f>
        <v>1.95</v>
      </c>
      <c r="H157" s="32"/>
      <c r="I157" s="33"/>
      <c r="J157" s="33"/>
      <c r="K157" s="44"/>
    </row>
    <row r="158" spans="1:11" s="88" customFormat="1" ht="15">
      <c r="A158" s="80" t="s">
        <v>1361</v>
      </c>
      <c r="B158" s="81" t="s">
        <v>296</v>
      </c>
      <c r="C158" s="82" t="s">
        <v>297</v>
      </c>
      <c r="D158" s="83" t="s">
        <v>1</v>
      </c>
      <c r="E158" s="84">
        <v>74.88</v>
      </c>
      <c r="F158" s="85">
        <f>TRUNC(G160,2)</f>
        <v>50.68</v>
      </c>
      <c r="G158" s="86">
        <f>TRUNC(F158*1.2882,2)</f>
        <v>65.28</v>
      </c>
      <c r="H158" s="86">
        <f>TRUNC(F158*E158,2)</f>
        <v>3794.91</v>
      </c>
      <c r="I158" s="87">
        <f>TRUNC(E158*G158,2)</f>
        <v>4888.16</v>
      </c>
      <c r="J158" s="87"/>
      <c r="K158" s="84"/>
    </row>
    <row r="159" spans="1:11" s="34" customFormat="1" ht="15">
      <c r="A159" s="30"/>
      <c r="B159" s="43" t="s">
        <v>283</v>
      </c>
      <c r="C159" s="45" t="s">
        <v>32</v>
      </c>
      <c r="D159" s="46" t="s">
        <v>4</v>
      </c>
      <c r="E159" s="44">
        <v>2.3986</v>
      </c>
      <c r="F159" s="31">
        <f>TRUNC(21.13,2)</f>
        <v>21.13</v>
      </c>
      <c r="G159" s="32">
        <f>TRUNC(E159*F159,2)</f>
        <v>50.68</v>
      </c>
      <c r="H159" s="32"/>
      <c r="I159" s="33"/>
      <c r="J159" s="33"/>
      <c r="K159" s="44"/>
    </row>
    <row r="160" spans="1:11" s="34" customFormat="1" ht="15">
      <c r="A160" s="30"/>
      <c r="B160" s="43"/>
      <c r="C160" s="45"/>
      <c r="D160" s="46"/>
      <c r="E160" s="44" t="s">
        <v>5</v>
      </c>
      <c r="F160" s="31"/>
      <c r="G160" s="32">
        <f>TRUNC(SUM(G159:G159),2)</f>
        <v>50.68</v>
      </c>
      <c r="H160" s="32"/>
      <c r="I160" s="33"/>
      <c r="J160" s="33"/>
      <c r="K160" s="44"/>
    </row>
    <row r="161" spans="1:11" s="107" customFormat="1" ht="45">
      <c r="A161" s="99" t="s">
        <v>2445</v>
      </c>
      <c r="B161" s="100" t="s">
        <v>2439</v>
      </c>
      <c r="C161" s="101" t="s">
        <v>2440</v>
      </c>
      <c r="D161" s="102" t="s">
        <v>1</v>
      </c>
      <c r="E161" s="103">
        <v>960.58</v>
      </c>
      <c r="F161" s="104">
        <f>TRUNC(7.40161174,2)</f>
        <v>7.4</v>
      </c>
      <c r="G161" s="105">
        <f>TRUNC(F161*1.2247,2)</f>
        <v>9.06</v>
      </c>
      <c r="H161" s="105">
        <f>TRUNC(F161*E161,2)</f>
        <v>7108.29</v>
      </c>
      <c r="I161" s="106">
        <f>TRUNC(E161*G161,2)</f>
        <v>8702.85</v>
      </c>
      <c r="J161" s="106"/>
      <c r="K161" s="103"/>
    </row>
    <row r="162" spans="1:11" s="34" customFormat="1" ht="30">
      <c r="A162" s="30"/>
      <c r="B162" s="43" t="s">
        <v>26</v>
      </c>
      <c r="C162" s="45" t="s">
        <v>27</v>
      </c>
      <c r="D162" s="46" t="s">
        <v>4</v>
      </c>
      <c r="E162" s="44">
        <v>0.0554</v>
      </c>
      <c r="F162" s="31">
        <f>TRUNC(14.34,2)</f>
        <v>14.34</v>
      </c>
      <c r="G162" s="32">
        <f>TRUNC(E162*F162,2)</f>
        <v>0.79</v>
      </c>
      <c r="H162" s="32"/>
      <c r="I162" s="33"/>
      <c r="J162" s="33"/>
      <c r="K162" s="44"/>
    </row>
    <row r="163" spans="1:11" s="34" customFormat="1" ht="15">
      <c r="A163" s="30"/>
      <c r="B163" s="43" t="s">
        <v>2441</v>
      </c>
      <c r="C163" s="45" t="s">
        <v>2442</v>
      </c>
      <c r="D163" s="46" t="s">
        <v>4</v>
      </c>
      <c r="E163" s="44">
        <v>0.0084</v>
      </c>
      <c r="F163" s="31">
        <f>TRUNC(41.3136,2)</f>
        <v>41.31</v>
      </c>
      <c r="G163" s="32">
        <f>TRUNC(E163*F163,2)</f>
        <v>0.34</v>
      </c>
      <c r="H163" s="32"/>
      <c r="I163" s="33"/>
      <c r="J163" s="33"/>
      <c r="K163" s="44"/>
    </row>
    <row r="164" spans="1:11" s="34" customFormat="1" ht="15">
      <c r="A164" s="30"/>
      <c r="B164" s="43" t="s">
        <v>2443</v>
      </c>
      <c r="C164" s="45" t="s">
        <v>2444</v>
      </c>
      <c r="D164" s="46" t="s">
        <v>4</v>
      </c>
      <c r="E164" s="44">
        <v>0.047</v>
      </c>
      <c r="F164" s="31">
        <f>TRUNC(133.1945,2)</f>
        <v>133.19</v>
      </c>
      <c r="G164" s="32">
        <f>TRUNC(E164*F164,2)</f>
        <v>6.25</v>
      </c>
      <c r="H164" s="32"/>
      <c r="I164" s="33"/>
      <c r="J164" s="33"/>
      <c r="K164" s="44"/>
    </row>
    <row r="165" spans="1:11" s="34" customFormat="1" ht="15">
      <c r="A165" s="30"/>
      <c r="B165" s="43"/>
      <c r="C165" s="45"/>
      <c r="D165" s="46"/>
      <c r="E165" s="44" t="s">
        <v>5</v>
      </c>
      <c r="F165" s="31"/>
      <c r="G165" s="32">
        <f>TRUNC(SUM(G162:G164),2)</f>
        <v>7.38</v>
      </c>
      <c r="H165" s="32"/>
      <c r="I165" s="33"/>
      <c r="J165" s="33"/>
      <c r="K165" s="44"/>
    </row>
    <row r="166" spans="1:11" s="72" customFormat="1" ht="15">
      <c r="A166" s="65" t="s">
        <v>1363</v>
      </c>
      <c r="B166" s="66"/>
      <c r="C166" s="67"/>
      <c r="D166" s="68"/>
      <c r="E166" s="69"/>
      <c r="F166" s="70"/>
      <c r="G166" s="73" t="s">
        <v>1362</v>
      </c>
      <c r="H166" s="75">
        <f>H158+H149+H146+H141+H161</f>
        <v>45137.87</v>
      </c>
      <c r="I166" s="75">
        <f>I158+I149+I146+I141+I161</f>
        <v>57690.79</v>
      </c>
      <c r="J166" s="71"/>
      <c r="K166" s="69"/>
    </row>
    <row r="167" spans="1:11" s="21" customFormat="1" ht="15.75">
      <c r="A167" s="21" t="s">
        <v>889</v>
      </c>
      <c r="B167" s="28"/>
      <c r="C167" s="29" t="s">
        <v>298</v>
      </c>
      <c r="D167" s="29"/>
      <c r="E167" s="29"/>
      <c r="F167" s="29"/>
      <c r="G167" s="29"/>
      <c r="H167" s="29"/>
      <c r="I167" s="27"/>
      <c r="J167" s="29"/>
      <c r="K167" s="29"/>
    </row>
    <row r="168" spans="1:11" s="88" customFormat="1" ht="30">
      <c r="A168" s="80" t="s">
        <v>1397</v>
      </c>
      <c r="B168" s="81" t="s">
        <v>1385</v>
      </c>
      <c r="C168" s="82" t="s">
        <v>1382</v>
      </c>
      <c r="D168" s="83" t="s">
        <v>3</v>
      </c>
      <c r="E168" s="84">
        <v>31</v>
      </c>
      <c r="F168" s="85">
        <f>TRUNC(G175,2)</f>
        <v>32.38</v>
      </c>
      <c r="G168" s="86">
        <f>TRUNC(F168*1.2882,2)</f>
        <v>41.71</v>
      </c>
      <c r="H168" s="86">
        <f>TRUNC(F168*E168,2)</f>
        <v>1003.78</v>
      </c>
      <c r="I168" s="87">
        <f>TRUNC(E168*G168,2)</f>
        <v>1293.01</v>
      </c>
      <c r="J168" s="87"/>
      <c r="K168" s="84"/>
    </row>
    <row r="169" spans="1:11" s="34" customFormat="1" ht="15">
      <c r="A169" s="30"/>
      <c r="B169" s="43" t="s">
        <v>1380</v>
      </c>
      <c r="C169" s="45" t="s">
        <v>1381</v>
      </c>
      <c r="D169" s="46" t="s">
        <v>3</v>
      </c>
      <c r="E169" s="44">
        <v>1</v>
      </c>
      <c r="F169" s="31">
        <v>10.1</v>
      </c>
      <c r="G169" s="32">
        <f aca="true" t="shared" si="7" ref="G169:G174">TRUNC(E169*F169,2)</f>
        <v>10.1</v>
      </c>
      <c r="H169" s="32"/>
      <c r="I169" s="33"/>
      <c r="J169" s="33"/>
      <c r="K169" s="44"/>
    </row>
    <row r="170" spans="1:11" s="34" customFormat="1" ht="30">
      <c r="A170" s="30"/>
      <c r="B170" s="43" t="s">
        <v>1364</v>
      </c>
      <c r="C170" s="45" t="s">
        <v>1365</v>
      </c>
      <c r="D170" s="46" t="s">
        <v>3</v>
      </c>
      <c r="E170" s="44">
        <v>0.025</v>
      </c>
      <c r="F170" s="31">
        <f>TRUNC(18.6,2)</f>
        <v>18.6</v>
      </c>
      <c r="G170" s="32">
        <f t="shared" si="7"/>
        <v>0.46</v>
      </c>
      <c r="H170" s="32"/>
      <c r="I170" s="33"/>
      <c r="J170" s="33"/>
      <c r="K170" s="44"/>
    </row>
    <row r="171" spans="1:11" s="34" customFormat="1" ht="30">
      <c r="A171" s="30"/>
      <c r="B171" s="43" t="s">
        <v>1366</v>
      </c>
      <c r="C171" s="45" t="s">
        <v>1367</v>
      </c>
      <c r="D171" s="46" t="s">
        <v>10</v>
      </c>
      <c r="E171" s="44">
        <v>1.9665</v>
      </c>
      <c r="F171" s="31">
        <f>TRUNC(0.32,2)</f>
        <v>0.32</v>
      </c>
      <c r="G171" s="32">
        <f t="shared" si="7"/>
        <v>0.62</v>
      </c>
      <c r="H171" s="32"/>
      <c r="I171" s="33"/>
      <c r="J171" s="33"/>
      <c r="K171" s="44"/>
    </row>
    <row r="172" spans="1:11" s="34" customFormat="1" ht="15">
      <c r="A172" s="30"/>
      <c r="B172" s="43" t="s">
        <v>1368</v>
      </c>
      <c r="C172" s="45" t="s">
        <v>1369</v>
      </c>
      <c r="D172" s="46" t="s">
        <v>4</v>
      </c>
      <c r="E172" s="44">
        <v>0.1945</v>
      </c>
      <c r="F172" s="31">
        <f>TRUNC(26.62,2)</f>
        <v>26.62</v>
      </c>
      <c r="G172" s="32">
        <f t="shared" si="7"/>
        <v>5.17</v>
      </c>
      <c r="H172" s="32"/>
      <c r="I172" s="33"/>
      <c r="J172" s="33"/>
      <c r="K172" s="44"/>
    </row>
    <row r="173" spans="1:11" s="34" customFormat="1" ht="15">
      <c r="A173" s="30"/>
      <c r="B173" s="43" t="s">
        <v>1370</v>
      </c>
      <c r="C173" s="45" t="s">
        <v>1371</v>
      </c>
      <c r="D173" s="46" t="s">
        <v>4</v>
      </c>
      <c r="E173" s="44">
        <v>0.0635</v>
      </c>
      <c r="F173" s="31">
        <f>TRUNC(20.71,2)</f>
        <v>20.71</v>
      </c>
      <c r="G173" s="32">
        <f t="shared" si="7"/>
        <v>1.31</v>
      </c>
      <c r="H173" s="32"/>
      <c r="I173" s="33"/>
      <c r="J173" s="33"/>
      <c r="K173" s="44"/>
    </row>
    <row r="174" spans="1:11" s="34" customFormat="1" ht="30">
      <c r="A174" s="30"/>
      <c r="B174" s="43" t="s">
        <v>1378</v>
      </c>
      <c r="C174" s="45" t="s">
        <v>1379</v>
      </c>
      <c r="D174" s="46" t="s">
        <v>3</v>
      </c>
      <c r="E174" s="44">
        <v>1</v>
      </c>
      <c r="F174" s="31">
        <f>TRUNC(14.72,2)</f>
        <v>14.72</v>
      </c>
      <c r="G174" s="32">
        <f t="shared" si="7"/>
        <v>14.72</v>
      </c>
      <c r="H174" s="32"/>
      <c r="I174" s="33"/>
      <c r="J174" s="33"/>
      <c r="K174" s="44"/>
    </row>
    <row r="175" spans="1:11" s="34" customFormat="1" ht="15">
      <c r="A175" s="30"/>
      <c r="B175" s="43"/>
      <c r="C175" s="45"/>
      <c r="D175" s="46"/>
      <c r="E175" s="44" t="s">
        <v>5</v>
      </c>
      <c r="F175" s="31"/>
      <c r="G175" s="32">
        <f>TRUNC(SUM(G169:G174),2)</f>
        <v>32.38</v>
      </c>
      <c r="H175" s="32"/>
      <c r="I175" s="33"/>
      <c r="J175" s="33"/>
      <c r="K175" s="44"/>
    </row>
    <row r="176" spans="1:11" s="88" customFormat="1" ht="30">
      <c r="A176" s="80" t="s">
        <v>1398</v>
      </c>
      <c r="B176" s="81" t="s">
        <v>1386</v>
      </c>
      <c r="C176" s="82" t="s">
        <v>1384</v>
      </c>
      <c r="D176" s="83" t="s">
        <v>3</v>
      </c>
      <c r="E176" s="84">
        <v>369</v>
      </c>
      <c r="F176" s="85">
        <f>TRUNC(G183,2)</f>
        <v>27.38</v>
      </c>
      <c r="G176" s="86">
        <f>TRUNC(F176*1.2882,2)</f>
        <v>35.27</v>
      </c>
      <c r="H176" s="86">
        <f>TRUNC(F176*E176,2)</f>
        <v>10103.22</v>
      </c>
      <c r="I176" s="87">
        <f>TRUNC(E176*G176,2)</f>
        <v>13014.63</v>
      </c>
      <c r="J176" s="87"/>
      <c r="K176" s="84"/>
    </row>
    <row r="177" spans="1:11" s="34" customFormat="1" ht="15">
      <c r="A177" s="30"/>
      <c r="B177" s="43" t="s">
        <v>720</v>
      </c>
      <c r="C177" s="45" t="s">
        <v>721</v>
      </c>
      <c r="D177" s="46" t="s">
        <v>3</v>
      </c>
      <c r="E177" s="44">
        <v>1</v>
      </c>
      <c r="F177" s="31">
        <v>9.8</v>
      </c>
      <c r="G177" s="32">
        <f aca="true" t="shared" si="8" ref="G177:G182">TRUNC(E177*F177,2)</f>
        <v>9.8</v>
      </c>
      <c r="H177" s="32"/>
      <c r="I177" s="33"/>
      <c r="J177" s="33"/>
      <c r="K177" s="44"/>
    </row>
    <row r="178" spans="1:11" s="34" customFormat="1" ht="30">
      <c r="A178" s="30"/>
      <c r="B178" s="43" t="s">
        <v>1364</v>
      </c>
      <c r="C178" s="45" t="s">
        <v>1365</v>
      </c>
      <c r="D178" s="46" t="s">
        <v>3</v>
      </c>
      <c r="E178" s="44">
        <v>0.025</v>
      </c>
      <c r="F178" s="31">
        <f>TRUNC(18.6,2)</f>
        <v>18.6</v>
      </c>
      <c r="G178" s="76">
        <f t="shared" si="8"/>
        <v>0.46</v>
      </c>
      <c r="H178" s="32"/>
      <c r="I178" s="33"/>
      <c r="J178" s="33"/>
      <c r="K178" s="44"/>
    </row>
    <row r="179" spans="1:11" s="34" customFormat="1" ht="30">
      <c r="A179" s="30"/>
      <c r="B179" s="43" t="s">
        <v>1366</v>
      </c>
      <c r="C179" s="45" t="s">
        <v>1367</v>
      </c>
      <c r="D179" s="46" t="s">
        <v>10</v>
      </c>
      <c r="E179" s="44">
        <v>0.4655</v>
      </c>
      <c r="F179" s="31">
        <f>TRUNC(0.32,2)</f>
        <v>0.32</v>
      </c>
      <c r="G179" s="76">
        <f t="shared" si="8"/>
        <v>0.14</v>
      </c>
      <c r="H179" s="32"/>
      <c r="I179" s="33"/>
      <c r="J179" s="33"/>
      <c r="K179" s="44"/>
    </row>
    <row r="180" spans="1:11" s="34" customFormat="1" ht="15.75">
      <c r="A180" s="30"/>
      <c r="B180" s="43" t="s">
        <v>1368</v>
      </c>
      <c r="C180" s="45" t="s">
        <v>1369</v>
      </c>
      <c r="D180" s="46" t="s">
        <v>4</v>
      </c>
      <c r="E180" s="44">
        <v>0.089</v>
      </c>
      <c r="F180" s="31">
        <f>TRUNC(26.62,2)</f>
        <v>26.62</v>
      </c>
      <c r="G180" s="76">
        <f t="shared" si="8"/>
        <v>2.36</v>
      </c>
      <c r="H180" s="32"/>
      <c r="I180" s="33"/>
      <c r="J180" s="33"/>
      <c r="K180" s="44"/>
    </row>
    <row r="181" spans="1:11" s="34" customFormat="1" ht="15.75">
      <c r="A181" s="30"/>
      <c r="B181" s="43" t="s">
        <v>1370</v>
      </c>
      <c r="C181" s="45" t="s">
        <v>1371</v>
      </c>
      <c r="D181" s="46" t="s">
        <v>4</v>
      </c>
      <c r="E181" s="44">
        <v>0.029</v>
      </c>
      <c r="F181" s="31">
        <f>TRUNC(20.71,2)</f>
        <v>20.71</v>
      </c>
      <c r="G181" s="76">
        <f t="shared" si="8"/>
        <v>0.6</v>
      </c>
      <c r="H181" s="32"/>
      <c r="I181" s="33"/>
      <c r="J181" s="33"/>
      <c r="K181" s="44"/>
    </row>
    <row r="182" spans="1:11" s="34" customFormat="1" ht="30">
      <c r="A182" s="30"/>
      <c r="B182" s="43" t="s">
        <v>1372</v>
      </c>
      <c r="C182" s="45" t="s">
        <v>1373</v>
      </c>
      <c r="D182" s="46" t="s">
        <v>3</v>
      </c>
      <c r="E182" s="44">
        <v>1</v>
      </c>
      <c r="F182" s="31">
        <f>TRUNC(14.02,2)</f>
        <v>14.02</v>
      </c>
      <c r="G182" s="76">
        <f t="shared" si="8"/>
        <v>14.02</v>
      </c>
      <c r="H182" s="32"/>
      <c r="I182" s="33"/>
      <c r="J182" s="33"/>
      <c r="K182" s="44"/>
    </row>
    <row r="183" spans="1:11" s="34" customFormat="1" ht="15.75">
      <c r="A183" s="30"/>
      <c r="B183" s="43"/>
      <c r="C183" s="45"/>
      <c r="D183" s="46"/>
      <c r="E183" s="44" t="s">
        <v>5</v>
      </c>
      <c r="F183" s="31"/>
      <c r="G183" s="78">
        <f>TRUNC(SUM(G177:G182),2)</f>
        <v>27.38</v>
      </c>
      <c r="H183" s="32"/>
      <c r="I183" s="33"/>
      <c r="J183" s="33"/>
      <c r="K183" s="44"/>
    </row>
    <row r="184" spans="1:11" s="88" customFormat="1" ht="30">
      <c r="A184" s="80" t="s">
        <v>1399</v>
      </c>
      <c r="B184" s="81" t="s">
        <v>1387</v>
      </c>
      <c r="C184" s="82" t="s">
        <v>1383</v>
      </c>
      <c r="D184" s="83" t="s">
        <v>3</v>
      </c>
      <c r="E184" s="84">
        <v>326</v>
      </c>
      <c r="F184" s="85">
        <f>TRUNC(G191,2)</f>
        <v>23.44</v>
      </c>
      <c r="G184" s="86">
        <f>TRUNC(F184*1.2882,2)</f>
        <v>30.19</v>
      </c>
      <c r="H184" s="86">
        <f>TRUNC(F184*E184,2)</f>
        <v>7641.44</v>
      </c>
      <c r="I184" s="87">
        <f>TRUNC(E184*G184,2)</f>
        <v>9841.94</v>
      </c>
      <c r="J184" s="87"/>
      <c r="K184" s="84"/>
    </row>
    <row r="185" spans="1:11" s="34" customFormat="1" ht="15">
      <c r="A185" s="30"/>
      <c r="B185" s="43" t="s">
        <v>1376</v>
      </c>
      <c r="C185" s="45" t="s">
        <v>1377</v>
      </c>
      <c r="D185" s="46" t="s">
        <v>3</v>
      </c>
      <c r="E185" s="44">
        <v>1</v>
      </c>
      <c r="F185" s="31">
        <v>8.6</v>
      </c>
      <c r="G185" s="32">
        <f aca="true" t="shared" si="9" ref="G185:G190">TRUNC(E185*F185,2)</f>
        <v>8.6</v>
      </c>
      <c r="H185" s="32"/>
      <c r="I185" s="33"/>
      <c r="J185" s="33"/>
      <c r="K185" s="44"/>
    </row>
    <row r="186" spans="2:7" s="76" customFormat="1" ht="30">
      <c r="B186" s="43" t="s">
        <v>1364</v>
      </c>
      <c r="C186" s="77" t="s">
        <v>1365</v>
      </c>
      <c r="D186" s="76" t="s">
        <v>3</v>
      </c>
      <c r="E186" s="76">
        <v>0.025</v>
      </c>
      <c r="F186" s="76">
        <f>TRUNC(18.6,2)</f>
        <v>18.6</v>
      </c>
      <c r="G186" s="76">
        <f t="shared" si="9"/>
        <v>0.46</v>
      </c>
    </row>
    <row r="187" spans="2:7" s="76" customFormat="1" ht="15">
      <c r="B187" s="43" t="s">
        <v>1366</v>
      </c>
      <c r="C187" s="76" t="s">
        <v>1367</v>
      </c>
      <c r="D187" s="76" t="s">
        <v>10</v>
      </c>
      <c r="E187" s="76">
        <v>0.306</v>
      </c>
      <c r="F187" s="76">
        <f>TRUNC(0.32,2)</f>
        <v>0.32</v>
      </c>
      <c r="G187" s="76">
        <f t="shared" si="9"/>
        <v>0.09</v>
      </c>
    </row>
    <row r="188" spans="2:7" s="76" customFormat="1" ht="15">
      <c r="B188" s="43" t="s">
        <v>1368</v>
      </c>
      <c r="C188" s="76" t="s">
        <v>1369</v>
      </c>
      <c r="D188" s="76" t="s">
        <v>4</v>
      </c>
      <c r="E188" s="76">
        <v>0.068</v>
      </c>
      <c r="F188" s="76">
        <f>TRUNC(26.62,2)</f>
        <v>26.62</v>
      </c>
      <c r="G188" s="76">
        <f t="shared" si="9"/>
        <v>1.81</v>
      </c>
    </row>
    <row r="189" spans="2:7" s="76" customFormat="1" ht="15">
      <c r="B189" s="43" t="s">
        <v>1370</v>
      </c>
      <c r="C189" s="76" t="s">
        <v>1371</v>
      </c>
      <c r="D189" s="76" t="s">
        <v>4</v>
      </c>
      <c r="E189" s="76">
        <v>0.022</v>
      </c>
      <c r="F189" s="76">
        <f>TRUNC(20.71,2)</f>
        <v>20.71</v>
      </c>
      <c r="G189" s="76">
        <f t="shared" si="9"/>
        <v>0.45</v>
      </c>
    </row>
    <row r="190" spans="2:7" s="76" customFormat="1" ht="15">
      <c r="B190" s="43" t="s">
        <v>1374</v>
      </c>
      <c r="C190" s="76" t="s">
        <v>1375</v>
      </c>
      <c r="D190" s="76" t="s">
        <v>3</v>
      </c>
      <c r="E190" s="76">
        <v>1</v>
      </c>
      <c r="F190" s="76">
        <f>TRUNC(12.03,2)</f>
        <v>12.03</v>
      </c>
      <c r="G190" s="76">
        <f t="shared" si="9"/>
        <v>12.03</v>
      </c>
    </row>
    <row r="191" spans="2:7" s="76" customFormat="1" ht="15">
      <c r="B191" s="43"/>
      <c r="E191" s="76" t="s">
        <v>5</v>
      </c>
      <c r="G191" s="78">
        <f>TRUNC(SUM(G185:G190),2)</f>
        <v>23.44</v>
      </c>
    </row>
    <row r="192" spans="1:11" s="88" customFormat="1" ht="45">
      <c r="A192" s="80" t="s">
        <v>1400</v>
      </c>
      <c r="B192" s="81" t="s">
        <v>1395</v>
      </c>
      <c r="C192" s="82" t="s">
        <v>1396</v>
      </c>
      <c r="D192" s="83" t="s">
        <v>3</v>
      </c>
      <c r="E192" s="84">
        <f>475+150.4+193.9+117.5+312.6</f>
        <v>1249.4</v>
      </c>
      <c r="F192" s="85">
        <f>TRUNC(G199,2)</f>
        <v>32.39</v>
      </c>
      <c r="G192" s="86">
        <f>TRUNC(F192*1.2882,2)</f>
        <v>41.72</v>
      </c>
      <c r="H192" s="86">
        <f>TRUNC(F192*E192,2)</f>
        <v>40468.06</v>
      </c>
      <c r="I192" s="87">
        <f>TRUNC(E192*G192,2)</f>
        <v>52124.96</v>
      </c>
      <c r="J192" s="87"/>
      <c r="K192" s="84"/>
    </row>
    <row r="193" spans="1:11" s="34" customFormat="1" ht="15">
      <c r="A193" s="30"/>
      <c r="B193" s="43" t="s">
        <v>1380</v>
      </c>
      <c r="C193" s="45" t="s">
        <v>1381</v>
      </c>
      <c r="D193" s="46" t="s">
        <v>3</v>
      </c>
      <c r="E193" s="44">
        <v>1</v>
      </c>
      <c r="F193" s="31">
        <v>10.1</v>
      </c>
      <c r="G193" s="32">
        <f aca="true" t="shared" si="10" ref="G193:G198">TRUNC(E193*F193,2)</f>
        <v>10.1</v>
      </c>
      <c r="H193" s="32"/>
      <c r="I193" s="33"/>
      <c r="J193" s="33"/>
      <c r="K193" s="44"/>
    </row>
    <row r="194" spans="2:7" s="76" customFormat="1" ht="15">
      <c r="B194" s="43" t="s">
        <v>1364</v>
      </c>
      <c r="C194" s="76" t="s">
        <v>1365</v>
      </c>
      <c r="D194" s="76" t="s">
        <v>3</v>
      </c>
      <c r="E194" s="76">
        <v>0.025</v>
      </c>
      <c r="F194" s="76">
        <f>TRUNC(18.6,2)</f>
        <v>18.6</v>
      </c>
      <c r="G194" s="78">
        <f t="shared" si="10"/>
        <v>0.46</v>
      </c>
    </row>
    <row r="195" spans="2:7" s="76" customFormat="1" ht="15">
      <c r="B195" s="43" t="s">
        <v>1366</v>
      </c>
      <c r="C195" s="76" t="s">
        <v>1367</v>
      </c>
      <c r="D195" s="76" t="s">
        <v>10</v>
      </c>
      <c r="E195" s="76">
        <v>1.19</v>
      </c>
      <c r="F195" s="76">
        <f>TRUNC(0.32,2)</f>
        <v>0.32</v>
      </c>
      <c r="G195" s="78">
        <f t="shared" si="10"/>
        <v>0.38</v>
      </c>
    </row>
    <row r="196" spans="2:7" s="76" customFormat="1" ht="15">
      <c r="B196" s="43" t="s">
        <v>1368</v>
      </c>
      <c r="C196" s="76" t="s">
        <v>1369</v>
      </c>
      <c r="D196" s="76" t="s">
        <v>4</v>
      </c>
      <c r="E196" s="76">
        <v>0.2245</v>
      </c>
      <c r="F196" s="76">
        <f>TRUNC(26.62,2)</f>
        <v>26.62</v>
      </c>
      <c r="G196" s="78">
        <f t="shared" si="10"/>
        <v>5.97</v>
      </c>
    </row>
    <row r="197" spans="2:7" s="76" customFormat="1" ht="15">
      <c r="B197" s="43" t="s">
        <v>1370</v>
      </c>
      <c r="C197" s="76" t="s">
        <v>1371</v>
      </c>
      <c r="D197" s="76" t="s">
        <v>4</v>
      </c>
      <c r="E197" s="76">
        <v>0.0367</v>
      </c>
      <c r="F197" s="76">
        <f>TRUNC(20.71,2)</f>
        <v>20.71</v>
      </c>
      <c r="G197" s="78">
        <f t="shared" si="10"/>
        <v>0.76</v>
      </c>
    </row>
    <row r="198" spans="2:7" s="76" customFormat="1" ht="15">
      <c r="B198" s="43" t="s">
        <v>1378</v>
      </c>
      <c r="C198" s="76" t="s">
        <v>1379</v>
      </c>
      <c r="D198" s="76" t="s">
        <v>3</v>
      </c>
      <c r="E198" s="76">
        <v>1</v>
      </c>
      <c r="F198" s="76">
        <f>TRUNC(14.72,2)</f>
        <v>14.72</v>
      </c>
      <c r="G198" s="78">
        <f t="shared" si="10"/>
        <v>14.72</v>
      </c>
    </row>
    <row r="199" spans="2:7" s="76" customFormat="1" ht="15">
      <c r="B199" s="43"/>
      <c r="E199" s="76" t="s">
        <v>5</v>
      </c>
      <c r="G199" s="78">
        <f>TRUNC(SUM(G193:G198),2)</f>
        <v>32.39</v>
      </c>
    </row>
    <row r="200" spans="1:11" s="88" customFormat="1" ht="45">
      <c r="A200" s="80" t="s">
        <v>1401</v>
      </c>
      <c r="B200" s="81" t="s">
        <v>1820</v>
      </c>
      <c r="C200" s="82" t="s">
        <v>1444</v>
      </c>
      <c r="D200" s="83" t="s">
        <v>3</v>
      </c>
      <c r="E200" s="84">
        <f>7.1+6.9+17</f>
        <v>31</v>
      </c>
      <c r="F200" s="85">
        <f>TRUNC(G207,2)</f>
        <v>28.85</v>
      </c>
      <c r="G200" s="86">
        <f>TRUNC(F200*1.2882,2)</f>
        <v>37.16</v>
      </c>
      <c r="H200" s="86">
        <f>TRUNC(F200*E200,2)</f>
        <v>894.35</v>
      </c>
      <c r="I200" s="87">
        <f>TRUNC(E200*G200,2)</f>
        <v>1151.96</v>
      </c>
      <c r="J200" s="87"/>
      <c r="K200" s="84"/>
    </row>
    <row r="201" spans="1:11" s="34" customFormat="1" ht="15.75">
      <c r="A201" s="30"/>
      <c r="B201" s="43" t="s">
        <v>1446</v>
      </c>
      <c r="C201" s="45" t="s">
        <v>1447</v>
      </c>
      <c r="D201" s="46" t="s">
        <v>3</v>
      </c>
      <c r="E201" s="44">
        <v>1</v>
      </c>
      <c r="F201" s="31">
        <v>7.8492</v>
      </c>
      <c r="G201" s="78">
        <f aca="true" t="shared" si="11" ref="G201:G206">TRUNC(E201*F201,2)</f>
        <v>7.84</v>
      </c>
      <c r="H201" s="32"/>
      <c r="I201" s="33"/>
      <c r="J201" s="33"/>
      <c r="K201" s="44"/>
    </row>
    <row r="202" spans="1:11" s="34" customFormat="1" ht="30">
      <c r="A202" s="30"/>
      <c r="B202" s="43" t="s">
        <v>1364</v>
      </c>
      <c r="C202" s="45" t="s">
        <v>1365</v>
      </c>
      <c r="D202" s="46" t="s">
        <v>3</v>
      </c>
      <c r="E202" s="44">
        <v>0.025</v>
      </c>
      <c r="F202" s="31">
        <f>TRUNC(18.6,2)</f>
        <v>18.6</v>
      </c>
      <c r="G202" s="32">
        <f t="shared" si="11"/>
        <v>0.46</v>
      </c>
      <c r="H202" s="32"/>
      <c r="I202" s="33"/>
      <c r="J202" s="33"/>
      <c r="K202" s="44"/>
    </row>
    <row r="203" spans="1:11" s="34" customFormat="1" ht="30">
      <c r="A203" s="30"/>
      <c r="B203" s="43" t="s">
        <v>1366</v>
      </c>
      <c r="C203" s="45" t="s">
        <v>1367</v>
      </c>
      <c r="D203" s="46" t="s">
        <v>10</v>
      </c>
      <c r="E203" s="44">
        <v>0.97</v>
      </c>
      <c r="F203" s="31">
        <f>TRUNC(0.32,2)</f>
        <v>0.32</v>
      </c>
      <c r="G203" s="32">
        <f t="shared" si="11"/>
        <v>0.31</v>
      </c>
      <c r="H203" s="32"/>
      <c r="I203" s="33"/>
      <c r="J203" s="33"/>
      <c r="K203" s="44"/>
    </row>
    <row r="204" spans="1:11" s="34" customFormat="1" ht="15">
      <c r="A204" s="30"/>
      <c r="B204" s="43" t="s">
        <v>1368</v>
      </c>
      <c r="C204" s="45" t="s">
        <v>1369</v>
      </c>
      <c r="D204" s="46" t="s">
        <v>4</v>
      </c>
      <c r="E204" s="44">
        <v>0.1713</v>
      </c>
      <c r="F204" s="31">
        <f>TRUNC(26.62,2)</f>
        <v>26.62</v>
      </c>
      <c r="G204" s="32">
        <f t="shared" si="11"/>
        <v>4.56</v>
      </c>
      <c r="H204" s="32"/>
      <c r="I204" s="33"/>
      <c r="J204" s="33"/>
      <c r="K204" s="44"/>
    </row>
    <row r="205" spans="1:11" s="34" customFormat="1" ht="15">
      <c r="A205" s="30"/>
      <c r="B205" s="43" t="s">
        <v>1370</v>
      </c>
      <c r="C205" s="45" t="s">
        <v>1371</v>
      </c>
      <c r="D205" s="46" t="s">
        <v>4</v>
      </c>
      <c r="E205" s="44">
        <v>0.028</v>
      </c>
      <c r="F205" s="31">
        <f>TRUNC(20.71,2)</f>
        <v>20.71</v>
      </c>
      <c r="G205" s="32">
        <f t="shared" si="11"/>
        <v>0.57</v>
      </c>
      <c r="H205" s="32"/>
      <c r="I205" s="33"/>
      <c r="J205" s="33"/>
      <c r="K205" s="44"/>
    </row>
    <row r="206" spans="1:11" s="34" customFormat="1" ht="30">
      <c r="A206" s="30"/>
      <c r="B206" s="43" t="s">
        <v>1442</v>
      </c>
      <c r="C206" s="45" t="s">
        <v>1443</v>
      </c>
      <c r="D206" s="46" t="s">
        <v>3</v>
      </c>
      <c r="E206" s="44">
        <v>1</v>
      </c>
      <c r="F206" s="31">
        <f>TRUNC(15.11,2)</f>
        <v>15.11</v>
      </c>
      <c r="G206" s="32">
        <f t="shared" si="11"/>
        <v>15.11</v>
      </c>
      <c r="H206" s="32"/>
      <c r="I206" s="33"/>
      <c r="J206" s="33"/>
      <c r="K206" s="44"/>
    </row>
    <row r="207" spans="1:11" s="34" customFormat="1" ht="15">
      <c r="A207" s="30"/>
      <c r="B207" s="43"/>
      <c r="C207" s="45"/>
      <c r="D207" s="46"/>
      <c r="E207" s="44" t="s">
        <v>5</v>
      </c>
      <c r="F207" s="31"/>
      <c r="G207" s="32">
        <f>TRUNC(SUM(G201:G206),2)</f>
        <v>28.85</v>
      </c>
      <c r="H207" s="32"/>
      <c r="I207" s="33"/>
      <c r="J207" s="33"/>
      <c r="K207" s="44"/>
    </row>
    <row r="208" spans="1:11" s="88" customFormat="1" ht="45">
      <c r="A208" s="80" t="s">
        <v>1402</v>
      </c>
      <c r="B208" s="81" t="s">
        <v>1827</v>
      </c>
      <c r="C208" s="82" t="s">
        <v>1394</v>
      </c>
      <c r="D208" s="83" t="s">
        <v>3</v>
      </c>
      <c r="E208" s="84">
        <f>706+269.3+306.4+248.6</f>
        <v>1530.2999999999997</v>
      </c>
      <c r="F208" s="85">
        <f>TRUNC(G215,2)</f>
        <v>30.06</v>
      </c>
      <c r="G208" s="86">
        <f>TRUNC(F208*1.2882,2)</f>
        <v>38.72</v>
      </c>
      <c r="H208" s="86">
        <f>TRUNC(F208*E208,2)</f>
        <v>46000.81</v>
      </c>
      <c r="I208" s="87">
        <f>TRUNC(E208*G208,2)</f>
        <v>59253.21</v>
      </c>
      <c r="J208" s="87"/>
      <c r="K208" s="84"/>
    </row>
    <row r="209" spans="1:11" s="34" customFormat="1" ht="15.75">
      <c r="A209" s="30"/>
      <c r="B209" s="43" t="s">
        <v>1390</v>
      </c>
      <c r="C209" s="45" t="s">
        <v>1391</v>
      </c>
      <c r="D209" s="46" t="s">
        <v>3</v>
      </c>
      <c r="E209" s="44">
        <v>1</v>
      </c>
      <c r="F209" s="31">
        <v>10.4</v>
      </c>
      <c r="G209" s="76">
        <f aca="true" t="shared" si="12" ref="G209:G214">TRUNC(E209*F209,2)</f>
        <v>10.4</v>
      </c>
      <c r="H209" s="32"/>
      <c r="I209" s="33"/>
      <c r="J209" s="33"/>
      <c r="K209" s="44"/>
    </row>
    <row r="210" spans="2:7" s="76" customFormat="1" ht="15">
      <c r="B210" s="76" t="s">
        <v>1364</v>
      </c>
      <c r="C210" s="76" t="s">
        <v>1365</v>
      </c>
      <c r="D210" s="76" t="s">
        <v>3</v>
      </c>
      <c r="E210" s="76">
        <v>0.025</v>
      </c>
      <c r="F210" s="76">
        <f>TRUNC(18.6,2)</f>
        <v>18.6</v>
      </c>
      <c r="G210" s="76">
        <f t="shared" si="12"/>
        <v>0.46</v>
      </c>
    </row>
    <row r="211" spans="2:7" s="76" customFormat="1" ht="15">
      <c r="B211" s="76" t="s">
        <v>1366</v>
      </c>
      <c r="C211" s="76" t="s">
        <v>1367</v>
      </c>
      <c r="D211" s="76" t="s">
        <v>10</v>
      </c>
      <c r="E211" s="76">
        <v>0.743</v>
      </c>
      <c r="F211" s="76">
        <f>TRUNC(0.32,2)</f>
        <v>0.32</v>
      </c>
      <c r="G211" s="76">
        <f t="shared" si="12"/>
        <v>0.23</v>
      </c>
    </row>
    <row r="212" spans="2:7" s="76" customFormat="1" ht="15">
      <c r="B212" s="76" t="s">
        <v>1368</v>
      </c>
      <c r="C212" s="76" t="s">
        <v>1369</v>
      </c>
      <c r="D212" s="76" t="s">
        <v>4</v>
      </c>
      <c r="E212" s="76">
        <v>0.1278</v>
      </c>
      <c r="F212" s="76">
        <f>TRUNC(26.62,2)</f>
        <v>26.62</v>
      </c>
      <c r="G212" s="76">
        <f t="shared" si="12"/>
        <v>3.4</v>
      </c>
    </row>
    <row r="213" spans="2:7" s="76" customFormat="1" ht="15">
      <c r="B213" s="76" t="s">
        <v>1370</v>
      </c>
      <c r="C213" s="76" t="s">
        <v>1371</v>
      </c>
      <c r="D213" s="76" t="s">
        <v>4</v>
      </c>
      <c r="E213" s="76">
        <v>0.0209</v>
      </c>
      <c r="F213" s="76">
        <f>TRUNC(20.71,2)</f>
        <v>20.71</v>
      </c>
      <c r="G213" s="76">
        <f t="shared" si="12"/>
        <v>0.43</v>
      </c>
    </row>
    <row r="214" spans="2:7" s="76" customFormat="1" ht="15">
      <c r="B214" s="76" t="s">
        <v>1388</v>
      </c>
      <c r="C214" s="76" t="s">
        <v>1389</v>
      </c>
      <c r="D214" s="76" t="s">
        <v>3</v>
      </c>
      <c r="E214" s="76">
        <v>1</v>
      </c>
      <c r="F214" s="76">
        <f>TRUNC(15.14,2)</f>
        <v>15.14</v>
      </c>
      <c r="G214" s="76">
        <f t="shared" si="12"/>
        <v>15.14</v>
      </c>
    </row>
    <row r="215" spans="5:7" s="76" customFormat="1" ht="15">
      <c r="E215" s="76" t="s">
        <v>5</v>
      </c>
      <c r="G215" s="78">
        <f>TRUNC(SUM(G209:G214),2)</f>
        <v>30.06</v>
      </c>
    </row>
    <row r="216" spans="1:11" s="88" customFormat="1" ht="45">
      <c r="A216" s="80" t="s">
        <v>1403</v>
      </c>
      <c r="B216" s="81" t="s">
        <v>1828</v>
      </c>
      <c r="C216" s="82" t="s">
        <v>1393</v>
      </c>
      <c r="D216" s="83" t="s">
        <v>3</v>
      </c>
      <c r="E216" s="84">
        <f>8+55.1+12.3+63.1+665.4</f>
        <v>803.9</v>
      </c>
      <c r="F216" s="85">
        <f>TRUNC(G223,2)</f>
        <v>27.31</v>
      </c>
      <c r="G216" s="86">
        <f>TRUNC(F216*1.2882,2)</f>
        <v>35.18</v>
      </c>
      <c r="H216" s="86">
        <f>TRUNC(F216*E216,2)</f>
        <v>21954.5</v>
      </c>
      <c r="I216" s="87">
        <f>TRUNC(E216*G216,2)</f>
        <v>28281.2</v>
      </c>
      <c r="J216" s="87"/>
      <c r="K216" s="84"/>
    </row>
    <row r="217" spans="1:11" s="34" customFormat="1" ht="15">
      <c r="A217" s="30"/>
      <c r="B217" s="43" t="s">
        <v>720</v>
      </c>
      <c r="C217" s="45" t="s">
        <v>721</v>
      </c>
      <c r="D217" s="79" t="s">
        <v>3</v>
      </c>
      <c r="E217" s="44">
        <v>1</v>
      </c>
      <c r="F217" s="31">
        <v>9.8</v>
      </c>
      <c r="G217" s="32">
        <f aca="true" t="shared" si="13" ref="G217:G222">TRUNC(E217*F217,2)</f>
        <v>9.8</v>
      </c>
      <c r="H217" s="32"/>
      <c r="I217" s="33"/>
      <c r="J217" s="33"/>
      <c r="K217" s="44"/>
    </row>
    <row r="218" spans="2:7" s="76" customFormat="1" ht="15">
      <c r="B218" s="76" t="s">
        <v>1364</v>
      </c>
      <c r="C218" s="76" t="s">
        <v>1365</v>
      </c>
      <c r="D218" s="76" t="s">
        <v>3</v>
      </c>
      <c r="E218" s="76">
        <v>0.025</v>
      </c>
      <c r="F218" s="76">
        <f>TRUNC(18.6,2)</f>
        <v>18.6</v>
      </c>
      <c r="G218" s="76">
        <f t="shared" si="13"/>
        <v>0.46</v>
      </c>
    </row>
    <row r="219" spans="2:7" s="76" customFormat="1" ht="15">
      <c r="B219" s="76" t="s">
        <v>1366</v>
      </c>
      <c r="C219" s="76" t="s">
        <v>1367</v>
      </c>
      <c r="D219" s="76" t="s">
        <v>10</v>
      </c>
      <c r="E219" s="76">
        <v>0.543</v>
      </c>
      <c r="F219" s="76">
        <f>TRUNC(0.32,2)</f>
        <v>0.32</v>
      </c>
      <c r="G219" s="76">
        <f t="shared" si="13"/>
        <v>0.17</v>
      </c>
    </row>
    <row r="220" spans="2:7" s="76" customFormat="1" ht="15">
      <c r="B220" s="76" t="s">
        <v>1368</v>
      </c>
      <c r="C220" s="76" t="s">
        <v>1369</v>
      </c>
      <c r="D220" s="76" t="s">
        <v>4</v>
      </c>
      <c r="E220" s="76">
        <v>0.0956</v>
      </c>
      <c r="F220" s="76">
        <f>TRUNC(26.62,2)</f>
        <v>26.62</v>
      </c>
      <c r="G220" s="76">
        <f t="shared" si="13"/>
        <v>2.54</v>
      </c>
    </row>
    <row r="221" spans="2:7" s="76" customFormat="1" ht="15">
      <c r="B221" s="76" t="s">
        <v>1370</v>
      </c>
      <c r="C221" s="76" t="s">
        <v>1371</v>
      </c>
      <c r="D221" s="76" t="s">
        <v>4</v>
      </c>
      <c r="E221" s="76">
        <v>0.0156</v>
      </c>
      <c r="F221" s="76">
        <f>TRUNC(20.71,2)</f>
        <v>20.71</v>
      </c>
      <c r="G221" s="76">
        <f t="shared" si="13"/>
        <v>0.32</v>
      </c>
    </row>
    <row r="222" spans="2:7" s="76" customFormat="1" ht="15">
      <c r="B222" s="76" t="s">
        <v>1372</v>
      </c>
      <c r="C222" s="76" t="s">
        <v>1373</v>
      </c>
      <c r="D222" s="76" t="s">
        <v>3</v>
      </c>
      <c r="E222" s="76">
        <v>1</v>
      </c>
      <c r="F222" s="76">
        <f>TRUNC(14.02,2)</f>
        <v>14.02</v>
      </c>
      <c r="G222" s="76">
        <f t="shared" si="13"/>
        <v>14.02</v>
      </c>
    </row>
    <row r="223" spans="5:7" s="76" customFormat="1" ht="15">
      <c r="E223" s="76" t="s">
        <v>5</v>
      </c>
      <c r="G223" s="78">
        <f>TRUNC(SUM(G217:G222),2)</f>
        <v>27.31</v>
      </c>
    </row>
    <row r="224" spans="1:11" s="88" customFormat="1" ht="45">
      <c r="A224" s="80" t="s">
        <v>1416</v>
      </c>
      <c r="B224" s="81" t="s">
        <v>1829</v>
      </c>
      <c r="C224" s="82" t="s">
        <v>1392</v>
      </c>
      <c r="D224" s="83" t="s">
        <v>3</v>
      </c>
      <c r="E224" s="84">
        <v>773</v>
      </c>
      <c r="F224" s="85">
        <f>TRUNC(G231,2)</f>
        <v>23.28</v>
      </c>
      <c r="G224" s="86">
        <f>TRUNC(F224*1.2882,2)</f>
        <v>29.98</v>
      </c>
      <c r="H224" s="86">
        <f>TRUNC(F224*E224,2)</f>
        <v>17995.44</v>
      </c>
      <c r="I224" s="87">
        <f>TRUNC(E224*G224,2)</f>
        <v>23174.54</v>
      </c>
      <c r="J224" s="87"/>
      <c r="K224" s="84"/>
    </row>
    <row r="225" spans="1:11" s="34" customFormat="1" ht="15">
      <c r="A225" s="30"/>
      <c r="B225" s="43" t="s">
        <v>1376</v>
      </c>
      <c r="C225" s="45" t="s">
        <v>1377</v>
      </c>
      <c r="D225" s="46" t="s">
        <v>3</v>
      </c>
      <c r="E225" s="44">
        <v>1</v>
      </c>
      <c r="F225" s="31">
        <v>8.6</v>
      </c>
      <c r="G225" s="32">
        <f aca="true" t="shared" si="14" ref="G225:G230">TRUNC(E225*F225,2)</f>
        <v>8.6</v>
      </c>
      <c r="H225" s="32"/>
      <c r="I225" s="33"/>
      <c r="J225" s="33"/>
      <c r="K225" s="44"/>
    </row>
    <row r="226" spans="1:11" s="34" customFormat="1" ht="30">
      <c r="A226" s="30"/>
      <c r="B226" s="43" t="s">
        <v>1364</v>
      </c>
      <c r="C226" s="45" t="s">
        <v>1365</v>
      </c>
      <c r="D226" s="46" t="s">
        <v>3</v>
      </c>
      <c r="E226" s="44">
        <v>0.025</v>
      </c>
      <c r="F226" s="31">
        <f>TRUNC(18.6,2)</f>
        <v>18.6</v>
      </c>
      <c r="G226" s="32">
        <f t="shared" si="14"/>
        <v>0.46</v>
      </c>
      <c r="H226" s="32"/>
      <c r="I226" s="33"/>
      <c r="J226" s="33"/>
      <c r="K226" s="44"/>
    </row>
    <row r="227" spans="1:11" s="34" customFormat="1" ht="30">
      <c r="A227" s="30"/>
      <c r="B227" s="43" t="s">
        <v>1366</v>
      </c>
      <c r="C227" s="45" t="s">
        <v>1367</v>
      </c>
      <c r="D227" s="46" t="s">
        <v>10</v>
      </c>
      <c r="E227" s="44">
        <v>0.367</v>
      </c>
      <c r="F227" s="31">
        <f>TRUNC(0.32,2)</f>
        <v>0.32</v>
      </c>
      <c r="G227" s="32">
        <f t="shared" si="14"/>
        <v>0.11</v>
      </c>
      <c r="H227" s="32"/>
      <c r="I227" s="33"/>
      <c r="J227" s="33"/>
      <c r="K227" s="44"/>
    </row>
    <row r="228" spans="1:11" s="34" customFormat="1" ht="15">
      <c r="A228" s="30"/>
      <c r="B228" s="43" t="s">
        <v>1368</v>
      </c>
      <c r="C228" s="45" t="s">
        <v>1369</v>
      </c>
      <c r="D228" s="46" t="s">
        <v>4</v>
      </c>
      <c r="E228" s="44">
        <v>0.0698</v>
      </c>
      <c r="F228" s="31">
        <f>TRUNC(26.62,2)</f>
        <v>26.62</v>
      </c>
      <c r="G228" s="32">
        <f t="shared" si="14"/>
        <v>1.85</v>
      </c>
      <c r="H228" s="32"/>
      <c r="I228" s="33"/>
      <c r="J228" s="33"/>
      <c r="K228" s="44"/>
    </row>
    <row r="229" spans="1:11" s="34" customFormat="1" ht="15">
      <c r="A229" s="30"/>
      <c r="B229" s="43" t="s">
        <v>1370</v>
      </c>
      <c r="C229" s="45" t="s">
        <v>1371</v>
      </c>
      <c r="D229" s="46" t="s">
        <v>4</v>
      </c>
      <c r="E229" s="44">
        <v>0.0114</v>
      </c>
      <c r="F229" s="31">
        <f>TRUNC(20.71,2)</f>
        <v>20.71</v>
      </c>
      <c r="G229" s="32">
        <f t="shared" si="14"/>
        <v>0.23</v>
      </c>
      <c r="H229" s="32"/>
      <c r="I229" s="33"/>
      <c r="J229" s="33"/>
      <c r="K229" s="44"/>
    </row>
    <row r="230" spans="1:11" s="34" customFormat="1" ht="30">
      <c r="A230" s="30"/>
      <c r="B230" s="43" t="s">
        <v>1374</v>
      </c>
      <c r="C230" s="45" t="s">
        <v>1375</v>
      </c>
      <c r="D230" s="46" t="s">
        <v>3</v>
      </c>
      <c r="E230" s="44">
        <v>1</v>
      </c>
      <c r="F230" s="31">
        <f>TRUNC(12.03,2)</f>
        <v>12.03</v>
      </c>
      <c r="G230" s="32">
        <f t="shared" si="14"/>
        <v>12.03</v>
      </c>
      <c r="H230" s="32"/>
      <c r="I230" s="33"/>
      <c r="J230" s="33"/>
      <c r="K230" s="44"/>
    </row>
    <row r="231" spans="1:11" s="34" customFormat="1" ht="15">
      <c r="A231" s="30"/>
      <c r="B231" s="43"/>
      <c r="C231" s="45"/>
      <c r="D231" s="46"/>
      <c r="E231" s="44" t="s">
        <v>5</v>
      </c>
      <c r="F231" s="31"/>
      <c r="G231" s="32">
        <f>TRUNC(SUM(G225:G230),2)</f>
        <v>23.28</v>
      </c>
      <c r="H231" s="32"/>
      <c r="I231" s="33"/>
      <c r="J231" s="33"/>
      <c r="K231" s="44"/>
    </row>
    <row r="232" spans="1:11" s="88" customFormat="1" ht="30">
      <c r="A232" s="80" t="s">
        <v>1417</v>
      </c>
      <c r="B232" s="81" t="s">
        <v>1426</v>
      </c>
      <c r="C232" s="82" t="s">
        <v>1427</v>
      </c>
      <c r="D232" s="83" t="s">
        <v>3</v>
      </c>
      <c r="E232" s="84">
        <v>902.2</v>
      </c>
      <c r="F232" s="85">
        <f>TRUNC(14.804944,2)</f>
        <v>14.8</v>
      </c>
      <c r="G232" s="86">
        <f>TRUNC(F232*1.2882,2)</f>
        <v>19.06</v>
      </c>
      <c r="H232" s="86">
        <f>TRUNC(F232*E232,2)</f>
        <v>13352.56</v>
      </c>
      <c r="I232" s="87">
        <f>TRUNC(E232*G232,2)</f>
        <v>17195.93</v>
      </c>
      <c r="J232" s="87"/>
      <c r="K232" s="84"/>
    </row>
    <row r="233" spans="1:11" s="34" customFormat="1" ht="15">
      <c r="A233" s="30"/>
      <c r="B233" s="43" t="s">
        <v>1428</v>
      </c>
      <c r="C233" s="45" t="s">
        <v>1429</v>
      </c>
      <c r="D233" s="46" t="s">
        <v>3</v>
      </c>
      <c r="E233" s="44">
        <v>1.07</v>
      </c>
      <c r="F233" s="31">
        <f>TRUNC(12.98,2)</f>
        <v>12.98</v>
      </c>
      <c r="G233" s="32">
        <f>TRUNC(E233*F233,2)</f>
        <v>13.88</v>
      </c>
      <c r="H233" s="32"/>
      <c r="I233" s="33"/>
      <c r="J233" s="33"/>
      <c r="K233" s="44"/>
    </row>
    <row r="234" spans="1:11" s="34" customFormat="1" ht="15">
      <c r="A234" s="30"/>
      <c r="B234" s="43" t="s">
        <v>1368</v>
      </c>
      <c r="C234" s="45" t="s">
        <v>1369</v>
      </c>
      <c r="D234" s="46" t="s">
        <v>4</v>
      </c>
      <c r="E234" s="44">
        <v>0.031</v>
      </c>
      <c r="F234" s="31">
        <f>TRUNC(26.62,2)</f>
        <v>26.62</v>
      </c>
      <c r="G234" s="32">
        <f>TRUNC(E234*F234,2)</f>
        <v>0.82</v>
      </c>
      <c r="H234" s="32"/>
      <c r="I234" s="33"/>
      <c r="J234" s="33"/>
      <c r="K234" s="44"/>
    </row>
    <row r="235" spans="1:11" s="34" customFormat="1" ht="15">
      <c r="A235" s="30"/>
      <c r="B235" s="43" t="s">
        <v>1370</v>
      </c>
      <c r="C235" s="45" t="s">
        <v>1371</v>
      </c>
      <c r="D235" s="46" t="s">
        <v>4</v>
      </c>
      <c r="E235" s="44">
        <v>0.0044</v>
      </c>
      <c r="F235" s="31">
        <f>TRUNC(20.71,2)</f>
        <v>20.71</v>
      </c>
      <c r="G235" s="32">
        <f>TRUNC(E235*F235,2)</f>
        <v>0.09</v>
      </c>
      <c r="H235" s="32"/>
      <c r="I235" s="33"/>
      <c r="J235" s="33"/>
      <c r="K235" s="44"/>
    </row>
    <row r="236" spans="1:11" s="34" customFormat="1" ht="15">
      <c r="A236" s="30"/>
      <c r="B236" s="43"/>
      <c r="C236" s="45"/>
      <c r="D236" s="46"/>
      <c r="E236" s="44" t="s">
        <v>5</v>
      </c>
      <c r="F236" s="31"/>
      <c r="G236" s="32">
        <f>TRUNC(SUM(G233:G235),2)</f>
        <v>14.79</v>
      </c>
      <c r="H236" s="32"/>
      <c r="I236" s="33"/>
      <c r="J236" s="33"/>
      <c r="K236" s="44"/>
    </row>
    <row r="237" spans="1:11" s="88" customFormat="1" ht="30">
      <c r="A237" s="80" t="s">
        <v>1422</v>
      </c>
      <c r="B237" s="81" t="s">
        <v>1430</v>
      </c>
      <c r="C237" s="82" t="s">
        <v>1431</v>
      </c>
      <c r="D237" s="83" t="s">
        <v>3</v>
      </c>
      <c r="E237" s="84">
        <v>472.5</v>
      </c>
      <c r="F237" s="85">
        <f>TRUNC(14.975477,2)</f>
        <v>14.97</v>
      </c>
      <c r="G237" s="86">
        <f>TRUNC(F237*1.2882,2)</f>
        <v>19.28</v>
      </c>
      <c r="H237" s="86">
        <f>TRUNC(F237*E237,2)</f>
        <v>7073.32</v>
      </c>
      <c r="I237" s="87">
        <f>TRUNC(E237*G237,2)</f>
        <v>9109.8</v>
      </c>
      <c r="J237" s="87"/>
      <c r="K237" s="84"/>
    </row>
    <row r="238" spans="1:11" s="34" customFormat="1" ht="15">
      <c r="A238" s="30"/>
      <c r="B238" s="43" t="s">
        <v>1432</v>
      </c>
      <c r="C238" s="45" t="s">
        <v>1433</v>
      </c>
      <c r="D238" s="46" t="s">
        <v>3</v>
      </c>
      <c r="E238" s="44">
        <v>1.11</v>
      </c>
      <c r="F238" s="31">
        <f>TRUNC(13.06,2)</f>
        <v>13.06</v>
      </c>
      <c r="G238" s="32">
        <f>TRUNC(E238*F238,2)</f>
        <v>14.49</v>
      </c>
      <c r="H238" s="32"/>
      <c r="I238" s="33"/>
      <c r="J238" s="33"/>
      <c r="K238" s="44"/>
    </row>
    <row r="239" spans="1:11" s="34" customFormat="1" ht="15">
      <c r="A239" s="30"/>
      <c r="B239" s="43" t="s">
        <v>1368</v>
      </c>
      <c r="C239" s="45" t="s">
        <v>1369</v>
      </c>
      <c r="D239" s="46" t="s">
        <v>4</v>
      </c>
      <c r="E239" s="44">
        <v>0.0162</v>
      </c>
      <c r="F239" s="31">
        <f>TRUNC(26.62,2)</f>
        <v>26.62</v>
      </c>
      <c r="G239" s="32">
        <f>TRUNC(E239*F239,2)</f>
        <v>0.43</v>
      </c>
      <c r="H239" s="32"/>
      <c r="I239" s="33"/>
      <c r="J239" s="33"/>
      <c r="K239" s="44"/>
    </row>
    <row r="240" spans="1:11" s="34" customFormat="1" ht="15">
      <c r="A240" s="30"/>
      <c r="B240" s="43" t="s">
        <v>1370</v>
      </c>
      <c r="C240" s="45" t="s">
        <v>1371</v>
      </c>
      <c r="D240" s="46" t="s">
        <v>4</v>
      </c>
      <c r="E240" s="44">
        <v>0.0023</v>
      </c>
      <c r="F240" s="31">
        <f>TRUNC(20.71,2)</f>
        <v>20.71</v>
      </c>
      <c r="G240" s="32">
        <f>TRUNC(E240*F240,2)</f>
        <v>0.04</v>
      </c>
      <c r="H240" s="32"/>
      <c r="I240" s="33"/>
      <c r="J240" s="33"/>
      <c r="K240" s="44"/>
    </row>
    <row r="241" spans="1:11" s="34" customFormat="1" ht="15">
      <c r="A241" s="30"/>
      <c r="B241" s="43"/>
      <c r="C241" s="45"/>
      <c r="D241" s="46"/>
      <c r="E241" s="44" t="s">
        <v>5</v>
      </c>
      <c r="F241" s="31"/>
      <c r="G241" s="32">
        <f>TRUNC(SUM(G238:G240),2)</f>
        <v>14.96</v>
      </c>
      <c r="H241" s="32"/>
      <c r="I241" s="33"/>
      <c r="J241" s="33"/>
      <c r="K241" s="44"/>
    </row>
    <row r="242" spans="1:11" s="88" customFormat="1" ht="30">
      <c r="A242" s="80" t="s">
        <v>1425</v>
      </c>
      <c r="B242" s="81" t="s">
        <v>1434</v>
      </c>
      <c r="C242" s="82" t="s">
        <v>1435</v>
      </c>
      <c r="D242" s="83" t="s">
        <v>3</v>
      </c>
      <c r="E242" s="84">
        <v>9.2</v>
      </c>
      <c r="F242" s="85">
        <f>TRUNC(13.923208,2)</f>
        <v>13.92</v>
      </c>
      <c r="G242" s="86">
        <f>TRUNC(F242*1.2882,2)</f>
        <v>17.93</v>
      </c>
      <c r="H242" s="86">
        <f>TRUNC(F242*E242,2)</f>
        <v>128.06</v>
      </c>
      <c r="I242" s="87">
        <f>TRUNC(E242*G242,2)</f>
        <v>164.95</v>
      </c>
      <c r="J242" s="87"/>
      <c r="K242" s="84"/>
    </row>
    <row r="243" spans="1:11" s="34" customFormat="1" ht="15">
      <c r="A243" s="30"/>
      <c r="B243" s="43" t="s">
        <v>1436</v>
      </c>
      <c r="C243" s="45" t="s">
        <v>1437</v>
      </c>
      <c r="D243" s="46" t="s">
        <v>3</v>
      </c>
      <c r="E243" s="44">
        <v>1.11</v>
      </c>
      <c r="F243" s="31">
        <f>TRUNC(12.31,2)</f>
        <v>12.31</v>
      </c>
      <c r="G243" s="32">
        <f>TRUNC(E243*F243,2)</f>
        <v>13.66</v>
      </c>
      <c r="H243" s="32"/>
      <c r="I243" s="33"/>
      <c r="J243" s="33"/>
      <c r="K243" s="44"/>
    </row>
    <row r="244" spans="1:11" s="34" customFormat="1" ht="15">
      <c r="A244" s="30"/>
      <c r="B244" s="43" t="s">
        <v>1368</v>
      </c>
      <c r="C244" s="45" t="s">
        <v>1369</v>
      </c>
      <c r="D244" s="46" t="s">
        <v>4</v>
      </c>
      <c r="E244" s="44">
        <v>0.0088</v>
      </c>
      <c r="F244" s="31">
        <f>TRUNC(26.62,2)</f>
        <v>26.62</v>
      </c>
      <c r="G244" s="32">
        <f>TRUNC(E244*F244,2)</f>
        <v>0.23</v>
      </c>
      <c r="H244" s="32"/>
      <c r="I244" s="33"/>
      <c r="J244" s="33"/>
      <c r="K244" s="44"/>
    </row>
    <row r="245" spans="1:11" s="34" customFormat="1" ht="15">
      <c r="A245" s="30"/>
      <c r="B245" s="43" t="s">
        <v>1370</v>
      </c>
      <c r="C245" s="45" t="s">
        <v>1371</v>
      </c>
      <c r="D245" s="46" t="s">
        <v>4</v>
      </c>
      <c r="E245" s="44">
        <v>0.0012</v>
      </c>
      <c r="F245" s="31">
        <f>TRUNC(20.71,2)</f>
        <v>20.71</v>
      </c>
      <c r="G245" s="32">
        <f>TRUNC(E245*F245,2)</f>
        <v>0.02</v>
      </c>
      <c r="H245" s="32"/>
      <c r="I245" s="33"/>
      <c r="J245" s="33"/>
      <c r="K245" s="44"/>
    </row>
    <row r="246" spans="1:11" s="34" customFormat="1" ht="15">
      <c r="A246" s="30"/>
      <c r="B246" s="43"/>
      <c r="C246" s="45"/>
      <c r="D246" s="46"/>
      <c r="E246" s="44" t="s">
        <v>5</v>
      </c>
      <c r="F246" s="31"/>
      <c r="G246" s="32">
        <f>TRUNC(SUM(G243:G245),2)</f>
        <v>13.91</v>
      </c>
      <c r="H246" s="32"/>
      <c r="I246" s="33"/>
      <c r="J246" s="33"/>
      <c r="K246" s="44"/>
    </row>
    <row r="247" spans="1:11" s="88" customFormat="1" ht="30">
      <c r="A247" s="80" t="s">
        <v>1445</v>
      </c>
      <c r="B247" s="81" t="s">
        <v>1438</v>
      </c>
      <c r="C247" s="82" t="s">
        <v>1439</v>
      </c>
      <c r="D247" s="83" t="s">
        <v>3</v>
      </c>
      <c r="E247" s="84">
        <v>956.3</v>
      </c>
      <c r="F247" s="85">
        <f>TRUNC(14.181944,2)</f>
        <v>14.18</v>
      </c>
      <c r="G247" s="86">
        <f>TRUNC(F247*1.2882,2)</f>
        <v>18.26</v>
      </c>
      <c r="H247" s="86">
        <f>TRUNC(F247*E247,2)</f>
        <v>13560.33</v>
      </c>
      <c r="I247" s="87">
        <f>TRUNC(E247*G247,2)</f>
        <v>17462.03</v>
      </c>
      <c r="J247" s="87"/>
      <c r="K247" s="84"/>
    </row>
    <row r="248" spans="1:11" s="34" customFormat="1" ht="15">
      <c r="A248" s="30"/>
      <c r="B248" s="43" t="s">
        <v>1440</v>
      </c>
      <c r="C248" s="45" t="s">
        <v>1441</v>
      </c>
      <c r="D248" s="46" t="s">
        <v>3</v>
      </c>
      <c r="E248" s="44">
        <v>1.07</v>
      </c>
      <c r="F248" s="31">
        <f>TRUNC(11.65,2)</f>
        <v>11.65</v>
      </c>
      <c r="G248" s="32">
        <f>TRUNC(E248*F248,2)</f>
        <v>12.46</v>
      </c>
      <c r="H248" s="32"/>
      <c r="I248" s="33"/>
      <c r="J248" s="33"/>
      <c r="K248" s="44"/>
    </row>
    <row r="249" spans="1:11" s="34" customFormat="1" ht="15">
      <c r="A249" s="30"/>
      <c r="B249" s="43" t="s">
        <v>1368</v>
      </c>
      <c r="C249" s="45" t="s">
        <v>1369</v>
      </c>
      <c r="D249" s="46" t="s">
        <v>4</v>
      </c>
      <c r="E249" s="44">
        <v>0.0581</v>
      </c>
      <c r="F249" s="31">
        <f>TRUNC(26.62,2)</f>
        <v>26.62</v>
      </c>
      <c r="G249" s="32">
        <f>TRUNC(E249*F249,2)</f>
        <v>1.54</v>
      </c>
      <c r="H249" s="32"/>
      <c r="I249" s="33"/>
      <c r="J249" s="33"/>
      <c r="K249" s="44"/>
    </row>
    <row r="250" spans="1:11" s="34" customFormat="1" ht="15">
      <c r="A250" s="30"/>
      <c r="B250" s="43" t="s">
        <v>1370</v>
      </c>
      <c r="C250" s="45" t="s">
        <v>1371</v>
      </c>
      <c r="D250" s="46" t="s">
        <v>4</v>
      </c>
      <c r="E250" s="44">
        <v>0.0082</v>
      </c>
      <c r="F250" s="31">
        <f>TRUNC(20.71,2)</f>
        <v>20.71</v>
      </c>
      <c r="G250" s="32">
        <f>TRUNC(E250*F250,2)</f>
        <v>0.16</v>
      </c>
      <c r="H250" s="32"/>
      <c r="I250" s="33"/>
      <c r="J250" s="33"/>
      <c r="K250" s="44"/>
    </row>
    <row r="251" spans="1:11" s="34" customFormat="1" ht="15">
      <c r="A251" s="30"/>
      <c r="B251" s="43"/>
      <c r="C251" s="45"/>
      <c r="D251" s="46"/>
      <c r="E251" s="44" t="s">
        <v>5</v>
      </c>
      <c r="F251" s="31"/>
      <c r="G251" s="32">
        <f>TRUNC(SUM(G248:G250),2)</f>
        <v>14.16</v>
      </c>
      <c r="H251" s="32"/>
      <c r="I251" s="33"/>
      <c r="J251" s="33"/>
      <c r="K251" s="44"/>
    </row>
    <row r="252" spans="1:11" s="88" customFormat="1" ht="45">
      <c r="A252" s="80" t="s">
        <v>1448</v>
      </c>
      <c r="B252" s="81" t="s">
        <v>1412</v>
      </c>
      <c r="C252" s="82" t="s">
        <v>1413</v>
      </c>
      <c r="D252" s="83" t="s">
        <v>1</v>
      </c>
      <c r="E252" s="84">
        <f>22.39+9.84+10.06+8.37+42.07</f>
        <v>92.73</v>
      </c>
      <c r="F252" s="85">
        <f>TRUNC(405.9678,2)</f>
        <v>405.96</v>
      </c>
      <c r="G252" s="86">
        <f>TRUNC(F252*1.2882,2)</f>
        <v>522.95</v>
      </c>
      <c r="H252" s="86">
        <f>TRUNC(F252*E252,2)</f>
        <v>37644.67</v>
      </c>
      <c r="I252" s="87">
        <f>TRUNC(E252*G252,2)</f>
        <v>48493.15</v>
      </c>
      <c r="J252" s="87"/>
      <c r="K252" s="84"/>
    </row>
    <row r="253" spans="1:11" s="34" customFormat="1" ht="30">
      <c r="A253" s="30"/>
      <c r="B253" s="43" t="s">
        <v>1414</v>
      </c>
      <c r="C253" s="45" t="s">
        <v>1415</v>
      </c>
      <c r="D253" s="46" t="s">
        <v>1</v>
      </c>
      <c r="E253" s="44">
        <v>1.103</v>
      </c>
      <c r="F253" s="31">
        <f>TRUNC(334.67,2)</f>
        <v>334.67</v>
      </c>
      <c r="G253" s="32">
        <f aca="true" t="shared" si="15" ref="G253:G258">TRUNC(E253*F253,2)</f>
        <v>369.14</v>
      </c>
      <c r="H253" s="32"/>
      <c r="I253" s="33"/>
      <c r="J253" s="33"/>
      <c r="K253" s="44"/>
    </row>
    <row r="254" spans="1:11" s="34" customFormat="1" ht="15">
      <c r="A254" s="30"/>
      <c r="B254" s="43" t="s">
        <v>283</v>
      </c>
      <c r="C254" s="45" t="s">
        <v>32</v>
      </c>
      <c r="D254" s="46" t="s">
        <v>4</v>
      </c>
      <c r="E254" s="44">
        <v>0.744</v>
      </c>
      <c r="F254" s="31">
        <f>TRUNC(21.13,2)</f>
        <v>21.13</v>
      </c>
      <c r="G254" s="32">
        <f t="shared" si="15"/>
        <v>15.72</v>
      </c>
      <c r="H254" s="32"/>
      <c r="I254" s="33"/>
      <c r="J254" s="33"/>
      <c r="K254" s="44"/>
    </row>
    <row r="255" spans="1:11" s="34" customFormat="1" ht="15">
      <c r="A255" s="30"/>
      <c r="B255" s="43" t="s">
        <v>306</v>
      </c>
      <c r="C255" s="45" t="s">
        <v>307</v>
      </c>
      <c r="D255" s="46" t="s">
        <v>4</v>
      </c>
      <c r="E255" s="44">
        <v>0.67</v>
      </c>
      <c r="F255" s="31">
        <f>TRUNC(26.76,2)</f>
        <v>26.76</v>
      </c>
      <c r="G255" s="32">
        <f t="shared" si="15"/>
        <v>17.92</v>
      </c>
      <c r="H255" s="32"/>
      <c r="I255" s="33"/>
      <c r="J255" s="33"/>
      <c r="K255" s="44"/>
    </row>
    <row r="256" spans="1:11" s="34" customFormat="1" ht="15">
      <c r="A256" s="30"/>
      <c r="B256" s="43" t="s">
        <v>260</v>
      </c>
      <c r="C256" s="45" t="s">
        <v>261</v>
      </c>
      <c r="D256" s="46" t="s">
        <v>4</v>
      </c>
      <c r="E256" s="44">
        <v>0.112</v>
      </c>
      <c r="F256" s="31">
        <f>TRUNC(26.52,2)</f>
        <v>26.52</v>
      </c>
      <c r="G256" s="32">
        <f t="shared" si="15"/>
        <v>2.97</v>
      </c>
      <c r="H256" s="32"/>
      <c r="I256" s="33"/>
      <c r="J256" s="33"/>
      <c r="K256" s="44"/>
    </row>
    <row r="257" spans="1:11" s="34" customFormat="1" ht="30">
      <c r="A257" s="30"/>
      <c r="B257" s="43" t="s">
        <v>1408</v>
      </c>
      <c r="C257" s="45" t="s">
        <v>1409</v>
      </c>
      <c r="D257" s="46" t="s">
        <v>38</v>
      </c>
      <c r="E257" s="44">
        <v>0.144</v>
      </c>
      <c r="F257" s="31">
        <f>TRUNC(0.42,2)</f>
        <v>0.42</v>
      </c>
      <c r="G257" s="32">
        <f t="shared" si="15"/>
        <v>0.06</v>
      </c>
      <c r="H257" s="32"/>
      <c r="I257" s="33"/>
      <c r="J257" s="33"/>
      <c r="K257" s="44"/>
    </row>
    <row r="258" spans="1:11" s="34" customFormat="1" ht="30">
      <c r="A258" s="30"/>
      <c r="B258" s="43" t="s">
        <v>1410</v>
      </c>
      <c r="C258" s="45" t="s">
        <v>1411</v>
      </c>
      <c r="D258" s="46" t="s">
        <v>21</v>
      </c>
      <c r="E258" s="44">
        <v>0.079</v>
      </c>
      <c r="F258" s="31">
        <f>TRUNC(1.85,2)</f>
        <v>1.85</v>
      </c>
      <c r="G258" s="32">
        <f t="shared" si="15"/>
        <v>0.14</v>
      </c>
      <c r="H258" s="32"/>
      <c r="I258" s="33"/>
      <c r="J258" s="33"/>
      <c r="K258" s="44"/>
    </row>
    <row r="259" spans="1:11" s="34" customFormat="1" ht="15">
      <c r="A259" s="30"/>
      <c r="B259" s="43"/>
      <c r="C259" s="45"/>
      <c r="D259" s="46"/>
      <c r="E259" s="44" t="s">
        <v>5</v>
      </c>
      <c r="F259" s="31"/>
      <c r="G259" s="32">
        <f>TRUNC(SUM(G253:G258),2)</f>
        <v>405.95</v>
      </c>
      <c r="H259" s="32"/>
      <c r="I259" s="33"/>
      <c r="J259" s="33"/>
      <c r="K259" s="44"/>
    </row>
    <row r="260" spans="1:11" s="88" customFormat="1" ht="45">
      <c r="A260" s="80" t="s">
        <v>1449</v>
      </c>
      <c r="B260" s="81" t="s">
        <v>1404</v>
      </c>
      <c r="C260" s="82" t="s">
        <v>1405</v>
      </c>
      <c r="D260" s="83" t="s">
        <v>1</v>
      </c>
      <c r="E260" s="84">
        <f>5.52+11.01</f>
        <v>16.53</v>
      </c>
      <c r="F260" s="85">
        <f>TRUNC(416.8364,2)</f>
        <v>416.83</v>
      </c>
      <c r="G260" s="86">
        <f>TRUNC(F260*1.2882,2)</f>
        <v>536.96</v>
      </c>
      <c r="H260" s="86">
        <f>TRUNC(F260*E260,2)</f>
        <v>6890.19</v>
      </c>
      <c r="I260" s="87">
        <f>TRUNC(E260*G260,2)</f>
        <v>8875.94</v>
      </c>
      <c r="J260" s="87"/>
      <c r="K260" s="84"/>
    </row>
    <row r="261" spans="2:7" s="76" customFormat="1" ht="15">
      <c r="B261" s="76" t="s">
        <v>1406</v>
      </c>
      <c r="C261" s="76" t="s">
        <v>1407</v>
      </c>
      <c r="D261" s="76" t="s">
        <v>1</v>
      </c>
      <c r="E261" s="76">
        <v>1.103</v>
      </c>
      <c r="F261" s="76">
        <f>TRUNC(345.3,2)</f>
        <v>345.3</v>
      </c>
      <c r="G261" s="76">
        <f aca="true" t="shared" si="16" ref="G261:G266">TRUNC(E261*F261,2)</f>
        <v>380.86</v>
      </c>
    </row>
    <row r="262" spans="2:7" s="76" customFormat="1" ht="15">
      <c r="B262" s="76" t="s">
        <v>283</v>
      </c>
      <c r="C262" s="76" t="s">
        <v>32</v>
      </c>
      <c r="D262" s="76" t="s">
        <v>4</v>
      </c>
      <c r="E262" s="76">
        <v>1.192</v>
      </c>
      <c r="F262" s="76">
        <f>TRUNC(21.13,2)</f>
        <v>21.13</v>
      </c>
      <c r="G262" s="76">
        <f t="shared" si="16"/>
        <v>25.18</v>
      </c>
    </row>
    <row r="263" spans="2:7" s="76" customFormat="1" ht="15">
      <c r="B263" s="76" t="s">
        <v>306</v>
      </c>
      <c r="C263" s="76" t="s">
        <v>307</v>
      </c>
      <c r="D263" s="76" t="s">
        <v>4</v>
      </c>
      <c r="E263" s="76">
        <v>0.199</v>
      </c>
      <c r="F263" s="76">
        <f>TRUNC(26.76,2)</f>
        <v>26.76</v>
      </c>
      <c r="G263" s="76">
        <f t="shared" si="16"/>
        <v>5.32</v>
      </c>
    </row>
    <row r="264" spans="2:7" s="76" customFormat="1" ht="15">
      <c r="B264" s="76" t="s">
        <v>260</v>
      </c>
      <c r="C264" s="76" t="s">
        <v>261</v>
      </c>
      <c r="D264" s="76" t="s">
        <v>4</v>
      </c>
      <c r="E264" s="76">
        <v>0.199</v>
      </c>
      <c r="F264" s="76">
        <f>TRUNC(26.52,2)</f>
        <v>26.52</v>
      </c>
      <c r="G264" s="76">
        <f t="shared" si="16"/>
        <v>5.27</v>
      </c>
    </row>
    <row r="265" spans="2:7" s="76" customFormat="1" ht="15">
      <c r="B265" s="76" t="s">
        <v>1408</v>
      </c>
      <c r="C265" s="76" t="s">
        <v>1409</v>
      </c>
      <c r="D265" s="76" t="s">
        <v>38</v>
      </c>
      <c r="E265" s="76">
        <v>0.131</v>
      </c>
      <c r="F265" s="76">
        <f>TRUNC(0.42,2)</f>
        <v>0.42</v>
      </c>
      <c r="G265" s="76">
        <f t="shared" si="16"/>
        <v>0.05</v>
      </c>
    </row>
    <row r="266" spans="2:7" s="76" customFormat="1" ht="15">
      <c r="B266" s="76" t="s">
        <v>1410</v>
      </c>
      <c r="C266" s="76" t="s">
        <v>1411</v>
      </c>
      <c r="D266" s="76" t="s">
        <v>21</v>
      </c>
      <c r="E266" s="76">
        <v>0.068</v>
      </c>
      <c r="F266" s="76">
        <f>TRUNC(1.85,2)</f>
        <v>1.85</v>
      </c>
      <c r="G266" s="76">
        <f t="shared" si="16"/>
        <v>0.12</v>
      </c>
    </row>
    <row r="267" spans="5:7" s="76" customFormat="1" ht="15">
      <c r="E267" s="76" t="s">
        <v>5</v>
      </c>
      <c r="G267" s="76">
        <f>TRUNC(SUM(G261:G266),2)</f>
        <v>416.8</v>
      </c>
    </row>
    <row r="268" spans="1:11" s="88" customFormat="1" ht="30">
      <c r="A268" s="80" t="s">
        <v>1450</v>
      </c>
      <c r="B268" s="81" t="s">
        <v>1418</v>
      </c>
      <c r="C268" s="82" t="s">
        <v>1419</v>
      </c>
      <c r="D268" s="83" t="s">
        <v>1</v>
      </c>
      <c r="E268" s="84">
        <v>17.03</v>
      </c>
      <c r="F268" s="85">
        <f>TRUNC(438.4118,2)</f>
        <v>438.41</v>
      </c>
      <c r="G268" s="86">
        <f>TRUNC(F268*1.2882,2)</f>
        <v>564.75</v>
      </c>
      <c r="H268" s="86">
        <f>TRUNC(F268*E268,2)</f>
        <v>7466.12</v>
      </c>
      <c r="I268" s="87">
        <f>TRUNC(E268*G268,2)</f>
        <v>9617.69</v>
      </c>
      <c r="J268" s="87"/>
      <c r="K268" s="84"/>
    </row>
    <row r="269" spans="2:7" s="76" customFormat="1" ht="15">
      <c r="B269" s="76" t="s">
        <v>1420</v>
      </c>
      <c r="C269" s="76" t="s">
        <v>1421</v>
      </c>
      <c r="D269" s="76" t="s">
        <v>1</v>
      </c>
      <c r="E269" s="76">
        <v>1.15</v>
      </c>
      <c r="F269" s="76">
        <f>TRUNC(355.92,2)</f>
        <v>355.92</v>
      </c>
      <c r="G269" s="76">
        <f>TRUNC(E269*F269,2)</f>
        <v>409.3</v>
      </c>
    </row>
    <row r="270" spans="2:7" s="76" customFormat="1" ht="15">
      <c r="B270" s="76" t="s">
        <v>283</v>
      </c>
      <c r="C270" s="76" t="s">
        <v>32</v>
      </c>
      <c r="D270" s="76" t="s">
        <v>4</v>
      </c>
      <c r="E270" s="76">
        <v>0.74</v>
      </c>
      <c r="F270" s="76">
        <f>TRUNC(21.13,2)</f>
        <v>21.13</v>
      </c>
      <c r="G270" s="76">
        <f>TRUNC(E270*F270,2)</f>
        <v>15.63</v>
      </c>
    </row>
    <row r="271" spans="2:7" s="76" customFormat="1" ht="15">
      <c r="B271" s="76" t="s">
        <v>306</v>
      </c>
      <c r="C271" s="76" t="s">
        <v>307</v>
      </c>
      <c r="D271" s="76" t="s">
        <v>4</v>
      </c>
      <c r="E271" s="76">
        <v>0.493</v>
      </c>
      <c r="F271" s="76">
        <f>TRUNC(26.76,2)</f>
        <v>26.76</v>
      </c>
      <c r="G271" s="76">
        <f>TRUNC(E271*F271,2)</f>
        <v>13.19</v>
      </c>
    </row>
    <row r="272" spans="2:7" s="76" customFormat="1" ht="15">
      <c r="B272" s="76" t="s">
        <v>1408</v>
      </c>
      <c r="C272" s="76" t="s">
        <v>1409</v>
      </c>
      <c r="D272" s="76" t="s">
        <v>38</v>
      </c>
      <c r="E272" s="76">
        <v>0.126</v>
      </c>
      <c r="F272" s="76">
        <f>TRUNC(0.42,2)</f>
        <v>0.42</v>
      </c>
      <c r="G272" s="76">
        <f>TRUNC(E272*F272,2)</f>
        <v>0.05</v>
      </c>
    </row>
    <row r="273" spans="2:7" s="76" customFormat="1" ht="15">
      <c r="B273" s="76" t="s">
        <v>1410</v>
      </c>
      <c r="C273" s="76" t="s">
        <v>1411</v>
      </c>
      <c r="D273" s="76" t="s">
        <v>21</v>
      </c>
      <c r="E273" s="76">
        <v>0.12</v>
      </c>
      <c r="F273" s="76">
        <f>TRUNC(1.85,2)</f>
        <v>1.85</v>
      </c>
      <c r="G273" s="76">
        <f>TRUNC(E273*F273,2)</f>
        <v>0.22</v>
      </c>
    </row>
    <row r="274" spans="5:7" s="76" customFormat="1" ht="15">
      <c r="E274" s="76" t="s">
        <v>5</v>
      </c>
      <c r="G274" s="76">
        <f>TRUNC(SUM(G269:G273),2)</f>
        <v>438.39</v>
      </c>
    </row>
    <row r="275" spans="1:11" s="88" customFormat="1" ht="60">
      <c r="A275" s="80" t="s">
        <v>1451</v>
      </c>
      <c r="B275" s="81" t="s">
        <v>1452</v>
      </c>
      <c r="C275" s="82" t="s">
        <v>1453</v>
      </c>
      <c r="D275" s="83" t="s">
        <v>0</v>
      </c>
      <c r="E275" s="84">
        <f>(403.32+163.37+158.21+138.86+219.91+536.16)/2</f>
        <v>809.915</v>
      </c>
      <c r="F275" s="85">
        <f>TRUNC(G283,2)</f>
        <v>63.15</v>
      </c>
      <c r="G275" s="86">
        <f>TRUNC(F275*1.2882,2)</f>
        <v>81.34</v>
      </c>
      <c r="H275" s="86">
        <f>TRUNC(F275*E275,2)</f>
        <v>51146.13</v>
      </c>
      <c r="I275" s="87">
        <f>TRUNC(E275*G275,2)</f>
        <v>65878.48</v>
      </c>
      <c r="J275" s="87"/>
      <c r="K275" s="84"/>
    </row>
    <row r="276" spans="2:7" s="76" customFormat="1" ht="15">
      <c r="B276" s="76" t="s">
        <v>63</v>
      </c>
      <c r="C276" s="76" t="s">
        <v>64</v>
      </c>
      <c r="D276" s="76" t="s">
        <v>3</v>
      </c>
      <c r="E276" s="76">
        <v>0.1</v>
      </c>
      <c r="F276" s="76">
        <f>TRUNC(15.94,2)</f>
        <v>15.94</v>
      </c>
      <c r="G276" s="76">
        <f aca="true" t="shared" si="17" ref="G276:G282">TRUNC(E276*F276,2)</f>
        <v>1.59</v>
      </c>
    </row>
    <row r="277" spans="2:7" s="76" customFormat="1" ht="15">
      <c r="B277" s="76" t="s">
        <v>65</v>
      </c>
      <c r="C277" s="76" t="s">
        <v>66</v>
      </c>
      <c r="D277" s="76" t="s">
        <v>2</v>
      </c>
      <c r="E277" s="76">
        <v>0.55</v>
      </c>
      <c r="F277" s="76">
        <f>TRUNC(5.45,2)</f>
        <v>5.45</v>
      </c>
      <c r="G277" s="76">
        <f t="shared" si="17"/>
        <v>2.99</v>
      </c>
    </row>
    <row r="278" spans="2:7" s="76" customFormat="1" ht="15">
      <c r="B278" s="76" t="s">
        <v>718</v>
      </c>
      <c r="C278" s="76" t="s">
        <v>719</v>
      </c>
      <c r="D278" s="76" t="s">
        <v>2</v>
      </c>
      <c r="E278" s="76">
        <v>1.05</v>
      </c>
      <c r="F278" s="76">
        <f>TRUNC(9.23,2)</f>
        <v>9.23</v>
      </c>
      <c r="G278" s="76">
        <f t="shared" si="17"/>
        <v>9.69</v>
      </c>
    </row>
    <row r="279" spans="2:7" s="76" customFormat="1" ht="15">
      <c r="B279" s="76" t="s">
        <v>26</v>
      </c>
      <c r="C279" s="76" t="s">
        <v>27</v>
      </c>
      <c r="D279" s="76" t="s">
        <v>4</v>
      </c>
      <c r="E279" s="76">
        <v>1.0815000000000001</v>
      </c>
      <c r="F279" s="76">
        <f>TRUNC(14.34,2)</f>
        <v>14.34</v>
      </c>
      <c r="G279" s="76">
        <f t="shared" si="17"/>
        <v>15.5</v>
      </c>
    </row>
    <row r="280" spans="2:7" s="76" customFormat="1" ht="15">
      <c r="B280" s="76" t="s">
        <v>581</v>
      </c>
      <c r="C280" s="76" t="s">
        <v>582</v>
      </c>
      <c r="D280" s="76" t="s">
        <v>4</v>
      </c>
      <c r="E280" s="76">
        <v>1.0815000000000001</v>
      </c>
      <c r="F280" s="76">
        <f>TRUNC(19.81,2)</f>
        <v>19.81</v>
      </c>
      <c r="G280" s="76">
        <f t="shared" si="17"/>
        <v>21.42</v>
      </c>
    </row>
    <row r="281" spans="2:7" s="76" customFormat="1" ht="15">
      <c r="B281" s="76" t="s">
        <v>225</v>
      </c>
      <c r="C281" s="76" t="s">
        <v>226</v>
      </c>
      <c r="D281" s="76" t="s">
        <v>2</v>
      </c>
      <c r="E281" s="76">
        <v>1.4</v>
      </c>
      <c r="F281" s="76">
        <f>TRUNC(6.2736,2)</f>
        <v>6.27</v>
      </c>
      <c r="G281" s="76">
        <f t="shared" si="17"/>
        <v>8.77</v>
      </c>
    </row>
    <row r="282" spans="2:7" s="76" customFormat="1" ht="15">
      <c r="B282" s="76" t="s">
        <v>1423</v>
      </c>
      <c r="C282" s="76" t="s">
        <v>1424</v>
      </c>
      <c r="D282" s="76" t="s">
        <v>0</v>
      </c>
      <c r="E282" s="76">
        <v>1</v>
      </c>
      <c r="F282" s="76">
        <f>TRUNC(3.192,2)</f>
        <v>3.19</v>
      </c>
      <c r="G282" s="76">
        <f t="shared" si="17"/>
        <v>3.19</v>
      </c>
    </row>
    <row r="283" spans="5:7" s="76" customFormat="1" ht="15">
      <c r="E283" s="76" t="s">
        <v>5</v>
      </c>
      <c r="G283" s="76">
        <f>TRUNC(SUM(G276:G282),2)</f>
        <v>63.15</v>
      </c>
    </row>
    <row r="284" spans="1:11" s="72" customFormat="1" ht="15">
      <c r="A284" s="65" t="s">
        <v>1363</v>
      </c>
      <c r="B284" s="66"/>
      <c r="C284" s="67"/>
      <c r="D284" s="68"/>
      <c r="E284" s="69"/>
      <c r="F284" s="70"/>
      <c r="G284" s="73" t="s">
        <v>1454</v>
      </c>
      <c r="H284" s="75">
        <f>H275+H268+H260+H252+H224+H216+H208+H192+H184+H176+H168+H247+H242+H237+H232</f>
        <v>282428.62999999995</v>
      </c>
      <c r="I284" s="75">
        <f>I275+I268+I260+I252+I224+I216+I208+I192+I184+I176+I168+I247+I242+I237+I232</f>
        <v>363781.46</v>
      </c>
      <c r="J284" s="71"/>
      <c r="K284" s="69"/>
    </row>
    <row r="285" spans="1:11" s="21" customFormat="1" ht="15.75">
      <c r="A285" s="21" t="s">
        <v>890</v>
      </c>
      <c r="B285" s="28"/>
      <c r="C285" s="29" t="s">
        <v>310</v>
      </c>
      <c r="D285" s="29"/>
      <c r="E285" s="29"/>
      <c r="F285" s="29"/>
      <c r="G285" s="29"/>
      <c r="H285" s="29"/>
      <c r="I285" s="27"/>
      <c r="J285" s="29"/>
      <c r="K285" s="29"/>
    </row>
    <row r="286" spans="1:11" s="88" customFormat="1" ht="60">
      <c r="A286" s="80" t="s">
        <v>891</v>
      </c>
      <c r="B286" s="81" t="s">
        <v>315</v>
      </c>
      <c r="C286" s="82" t="s">
        <v>303</v>
      </c>
      <c r="D286" s="83" t="s">
        <v>0</v>
      </c>
      <c r="E286" s="84">
        <f>860.64+253</f>
        <v>1113.6399999999999</v>
      </c>
      <c r="F286" s="85">
        <f>TRUNC(G291,2)</f>
        <v>53.96</v>
      </c>
      <c r="G286" s="86">
        <f>TRUNC(F286*1.2882,2)</f>
        <v>69.51</v>
      </c>
      <c r="H286" s="86">
        <f>TRUNC(F286*E286,2)</f>
        <v>60092.01</v>
      </c>
      <c r="I286" s="87">
        <f>TRUNC(E286*G286,2)</f>
        <v>77409.11</v>
      </c>
      <c r="J286" s="87"/>
      <c r="K286" s="84"/>
    </row>
    <row r="287" spans="1:11" s="34" customFormat="1" ht="15">
      <c r="A287" s="30"/>
      <c r="B287" s="43" t="s">
        <v>231</v>
      </c>
      <c r="C287" s="45" t="s">
        <v>232</v>
      </c>
      <c r="D287" s="46" t="s">
        <v>10</v>
      </c>
      <c r="E287" s="44">
        <v>27</v>
      </c>
      <c r="F287" s="31">
        <f>TRUNC(0.7,2)</f>
        <v>0.7</v>
      </c>
      <c r="G287" s="32">
        <f>TRUNC(E287*F287,2)</f>
        <v>18.9</v>
      </c>
      <c r="H287" s="32"/>
      <c r="I287" s="33"/>
      <c r="J287" s="33"/>
      <c r="K287" s="44"/>
    </row>
    <row r="288" spans="1:11" s="34" customFormat="1" ht="30">
      <c r="A288" s="30"/>
      <c r="B288" s="43" t="s">
        <v>26</v>
      </c>
      <c r="C288" s="45" t="s">
        <v>27</v>
      </c>
      <c r="D288" s="46" t="s">
        <v>4</v>
      </c>
      <c r="E288" s="44">
        <v>0.5871</v>
      </c>
      <c r="F288" s="31">
        <f>TRUNC(14.34,2)</f>
        <v>14.34</v>
      </c>
      <c r="G288" s="32">
        <f>TRUNC(E288*F288,2)</f>
        <v>8.41</v>
      </c>
      <c r="H288" s="32"/>
      <c r="I288" s="33"/>
      <c r="J288" s="33"/>
      <c r="K288" s="44"/>
    </row>
    <row r="289" spans="1:11" s="34" customFormat="1" ht="15">
      <c r="A289" s="30"/>
      <c r="B289" s="43" t="s">
        <v>239</v>
      </c>
      <c r="C289" s="45" t="s">
        <v>240</v>
      </c>
      <c r="D289" s="46" t="s">
        <v>4</v>
      </c>
      <c r="E289" s="44">
        <v>1.1536000000000002</v>
      </c>
      <c r="F289" s="31">
        <f>TRUNC(19.81,2)</f>
        <v>19.81</v>
      </c>
      <c r="G289" s="32">
        <f>TRUNC(E289*F289,2)</f>
        <v>22.85</v>
      </c>
      <c r="H289" s="32"/>
      <c r="I289" s="33"/>
      <c r="J289" s="33"/>
      <c r="K289" s="44"/>
    </row>
    <row r="290" spans="1:11" s="34" customFormat="1" ht="15">
      <c r="A290" s="30"/>
      <c r="B290" s="43" t="s">
        <v>299</v>
      </c>
      <c r="C290" s="45" t="s">
        <v>300</v>
      </c>
      <c r="D290" s="46" t="s">
        <v>1</v>
      </c>
      <c r="E290" s="44">
        <v>0.015</v>
      </c>
      <c r="F290" s="31">
        <f>TRUNC(253.5061,2)</f>
        <v>253.5</v>
      </c>
      <c r="G290" s="32">
        <f>TRUNC(E290*F290,2)</f>
        <v>3.8</v>
      </c>
      <c r="H290" s="32"/>
      <c r="I290" s="33"/>
      <c r="J290" s="33"/>
      <c r="K290" s="44"/>
    </row>
    <row r="291" spans="1:11" s="34" customFormat="1" ht="15">
      <c r="A291" s="30"/>
      <c r="B291" s="43"/>
      <c r="C291" s="45"/>
      <c r="D291" s="46"/>
      <c r="E291" s="44" t="s">
        <v>5</v>
      </c>
      <c r="F291" s="31"/>
      <c r="G291" s="32">
        <f>TRUNC(SUM(G287:G290),2)</f>
        <v>53.96</v>
      </c>
      <c r="H291" s="32"/>
      <c r="I291" s="33"/>
      <c r="J291" s="33"/>
      <c r="K291" s="44"/>
    </row>
    <row r="292" spans="1:11" s="88" customFormat="1" ht="60">
      <c r="A292" s="80" t="s">
        <v>892</v>
      </c>
      <c r="B292" s="81" t="s">
        <v>301</v>
      </c>
      <c r="C292" s="82" t="s">
        <v>302</v>
      </c>
      <c r="D292" s="83" t="s">
        <v>0</v>
      </c>
      <c r="E292" s="84">
        <v>72.18</v>
      </c>
      <c r="F292" s="85">
        <f>TRUNC(G297,2)</f>
        <v>105.76</v>
      </c>
      <c r="G292" s="86">
        <f>TRUNC(F292*1.2882,2)</f>
        <v>136.24</v>
      </c>
      <c r="H292" s="86">
        <f>TRUNC(F292*E292,2)</f>
        <v>7633.75</v>
      </c>
      <c r="I292" s="87">
        <f>TRUNC(E292*G292,2)</f>
        <v>9833.8</v>
      </c>
      <c r="J292" s="87"/>
      <c r="K292" s="84"/>
    </row>
    <row r="293" spans="1:11" s="34" customFormat="1" ht="15">
      <c r="A293" s="30"/>
      <c r="B293" s="43" t="s">
        <v>231</v>
      </c>
      <c r="C293" s="45" t="s">
        <v>232</v>
      </c>
      <c r="D293" s="46" t="s">
        <v>10</v>
      </c>
      <c r="E293" s="44">
        <v>51</v>
      </c>
      <c r="F293" s="31">
        <f>TRUNC(0.7,2)</f>
        <v>0.7</v>
      </c>
      <c r="G293" s="32">
        <f>TRUNC(E293*F293,2)</f>
        <v>35.7</v>
      </c>
      <c r="H293" s="32"/>
      <c r="I293" s="33"/>
      <c r="J293" s="33"/>
      <c r="K293" s="44"/>
    </row>
    <row r="294" spans="1:11" s="34" customFormat="1" ht="30">
      <c r="A294" s="30"/>
      <c r="B294" s="43" t="s">
        <v>26</v>
      </c>
      <c r="C294" s="45" t="s">
        <v>27</v>
      </c>
      <c r="D294" s="46" t="s">
        <v>4</v>
      </c>
      <c r="E294" s="44">
        <v>1.0506</v>
      </c>
      <c r="F294" s="31">
        <f>TRUNC(14.34,2)</f>
        <v>14.34</v>
      </c>
      <c r="G294" s="32">
        <f>TRUNC(E294*F294,2)</f>
        <v>15.06</v>
      </c>
      <c r="H294" s="32"/>
      <c r="I294" s="33"/>
      <c r="J294" s="33"/>
      <c r="K294" s="44"/>
    </row>
    <row r="295" spans="1:11" s="34" customFormat="1" ht="15">
      <c r="A295" s="30"/>
      <c r="B295" s="43" t="s">
        <v>239</v>
      </c>
      <c r="C295" s="45" t="s">
        <v>240</v>
      </c>
      <c r="D295" s="46" t="s">
        <v>4</v>
      </c>
      <c r="E295" s="44">
        <v>2.1115</v>
      </c>
      <c r="F295" s="31">
        <f>TRUNC(19.81,2)</f>
        <v>19.81</v>
      </c>
      <c r="G295" s="32">
        <f>TRUNC(E295*F295,2)</f>
        <v>41.82</v>
      </c>
      <c r="H295" s="32"/>
      <c r="I295" s="33"/>
      <c r="J295" s="33"/>
      <c r="K295" s="44"/>
    </row>
    <row r="296" spans="1:11" s="34" customFormat="1" ht="15">
      <c r="A296" s="30"/>
      <c r="B296" s="43" t="s">
        <v>299</v>
      </c>
      <c r="C296" s="45" t="s">
        <v>300</v>
      </c>
      <c r="D296" s="46" t="s">
        <v>1</v>
      </c>
      <c r="E296" s="44">
        <v>0.052</v>
      </c>
      <c r="F296" s="31">
        <f>TRUNC(253.5061,2)</f>
        <v>253.5</v>
      </c>
      <c r="G296" s="32">
        <f>TRUNC(E296*F296,2)</f>
        <v>13.18</v>
      </c>
      <c r="H296" s="32"/>
      <c r="I296" s="33"/>
      <c r="J296" s="33"/>
      <c r="K296" s="44"/>
    </row>
    <row r="297" spans="1:11" s="34" customFormat="1" ht="15">
      <c r="A297" s="30"/>
      <c r="B297" s="43"/>
      <c r="C297" s="45"/>
      <c r="D297" s="46"/>
      <c r="E297" s="44" t="s">
        <v>5</v>
      </c>
      <c r="F297" s="31"/>
      <c r="G297" s="32">
        <f>TRUNC(SUM(G293:G296),2)</f>
        <v>105.76</v>
      </c>
      <c r="H297" s="32"/>
      <c r="I297" s="33"/>
      <c r="J297" s="33"/>
      <c r="K297" s="44"/>
    </row>
    <row r="298" spans="1:11" s="88" customFormat="1" ht="30">
      <c r="A298" s="80" t="s">
        <v>893</v>
      </c>
      <c r="B298" s="81" t="s">
        <v>304</v>
      </c>
      <c r="C298" s="82" t="s">
        <v>305</v>
      </c>
      <c r="D298" s="83" t="s">
        <v>2</v>
      </c>
      <c r="E298" s="84">
        <v>277.12</v>
      </c>
      <c r="F298" s="85">
        <f>TRUNC(G302,2)</f>
        <v>6.09</v>
      </c>
      <c r="G298" s="86">
        <f>TRUNC(F298*1.2882,2)</f>
        <v>7.84</v>
      </c>
      <c r="H298" s="86">
        <f>TRUNC(F298*E298,2)</f>
        <v>1687.66</v>
      </c>
      <c r="I298" s="87">
        <f>TRUNC(E298*G298,2)</f>
        <v>2172.62</v>
      </c>
      <c r="J298" s="87"/>
      <c r="K298" s="84"/>
    </row>
    <row r="299" spans="1:11" s="34" customFormat="1" ht="15">
      <c r="A299" s="30"/>
      <c r="B299" s="43" t="s">
        <v>283</v>
      </c>
      <c r="C299" s="45" t="s">
        <v>32</v>
      </c>
      <c r="D299" s="46" t="s">
        <v>4</v>
      </c>
      <c r="E299" s="44">
        <v>0.03</v>
      </c>
      <c r="F299" s="31">
        <f>TRUNC(21.13,2)</f>
        <v>21.13</v>
      </c>
      <c r="G299" s="32">
        <f>TRUNC(E299*F299,2)</f>
        <v>0.63</v>
      </c>
      <c r="H299" s="32"/>
      <c r="I299" s="33"/>
      <c r="J299" s="33"/>
      <c r="K299" s="44"/>
    </row>
    <row r="300" spans="1:11" s="34" customFormat="1" ht="15">
      <c r="A300" s="30"/>
      <c r="B300" s="43" t="s">
        <v>306</v>
      </c>
      <c r="C300" s="45" t="s">
        <v>307</v>
      </c>
      <c r="D300" s="46" t="s">
        <v>4</v>
      </c>
      <c r="E300" s="44">
        <v>0.15</v>
      </c>
      <c r="F300" s="31">
        <f>TRUNC(26.76,2)</f>
        <v>26.76</v>
      </c>
      <c r="G300" s="32">
        <f>TRUNC(E300*F300,2)</f>
        <v>4.01</v>
      </c>
      <c r="H300" s="32"/>
      <c r="I300" s="33"/>
      <c r="J300" s="33"/>
      <c r="K300" s="44"/>
    </row>
    <row r="301" spans="1:11" s="34" customFormat="1" ht="45">
      <c r="A301" s="30"/>
      <c r="B301" s="43" t="s">
        <v>308</v>
      </c>
      <c r="C301" s="45" t="s">
        <v>309</v>
      </c>
      <c r="D301" s="46" t="s">
        <v>1</v>
      </c>
      <c r="E301" s="44">
        <v>0.0035</v>
      </c>
      <c r="F301" s="31">
        <f>TRUNC(416.49,2)</f>
        <v>416.49</v>
      </c>
      <c r="G301" s="32">
        <f>TRUNC(E301*F301,2)</f>
        <v>1.45</v>
      </c>
      <c r="H301" s="32"/>
      <c r="I301" s="33"/>
      <c r="J301" s="33"/>
      <c r="K301" s="44"/>
    </row>
    <row r="302" spans="1:11" s="34" customFormat="1" ht="15">
      <c r="A302" s="30"/>
      <c r="B302" s="43"/>
      <c r="C302" s="45"/>
      <c r="D302" s="46"/>
      <c r="E302" s="44" t="s">
        <v>5</v>
      </c>
      <c r="F302" s="31"/>
      <c r="G302" s="32">
        <f>TRUNC(SUM(G299:G301),2)</f>
        <v>6.09</v>
      </c>
      <c r="H302" s="32"/>
      <c r="I302" s="33"/>
      <c r="J302" s="33"/>
      <c r="K302" s="44"/>
    </row>
    <row r="303" spans="1:11" s="88" customFormat="1" ht="60">
      <c r="A303" s="80" t="s">
        <v>894</v>
      </c>
      <c r="B303" s="81" t="s">
        <v>311</v>
      </c>
      <c r="C303" s="82" t="s">
        <v>312</v>
      </c>
      <c r="D303" s="83" t="s">
        <v>0</v>
      </c>
      <c r="E303" s="84">
        <v>34.15</v>
      </c>
      <c r="F303" s="85">
        <f>TRUNC(G307,2)</f>
        <v>398.58</v>
      </c>
      <c r="G303" s="86">
        <f>TRUNC(F303*1.2882,2)</f>
        <v>513.45</v>
      </c>
      <c r="H303" s="86">
        <f>TRUNC(F303*E303,2)</f>
        <v>13611.5</v>
      </c>
      <c r="I303" s="87">
        <f>TRUNC(E303*G303,2)</f>
        <v>17534.31</v>
      </c>
      <c r="J303" s="87"/>
      <c r="K303" s="84"/>
    </row>
    <row r="304" spans="1:11" s="34" customFormat="1" ht="15">
      <c r="A304" s="30"/>
      <c r="B304" s="43" t="s">
        <v>313</v>
      </c>
      <c r="C304" s="45" t="s">
        <v>314</v>
      </c>
      <c r="D304" s="46" t="s">
        <v>0</v>
      </c>
      <c r="E304" s="44">
        <v>1</v>
      </c>
      <c r="F304" s="31">
        <f>TRUNC(298.7,2)</f>
        <v>298.7</v>
      </c>
      <c r="G304" s="32">
        <f>TRUNC(E304*F304,2)</f>
        <v>298.7</v>
      </c>
      <c r="H304" s="32"/>
      <c r="I304" s="33"/>
      <c r="J304" s="33"/>
      <c r="K304" s="44"/>
    </row>
    <row r="305" spans="1:11" s="34" customFormat="1" ht="30">
      <c r="A305" s="30"/>
      <c r="B305" s="43" t="s">
        <v>26</v>
      </c>
      <c r="C305" s="45" t="s">
        <v>27</v>
      </c>
      <c r="D305" s="46" t="s">
        <v>4</v>
      </c>
      <c r="E305" s="44">
        <v>4.12</v>
      </c>
      <c r="F305" s="31">
        <f>TRUNC(14.34,2)</f>
        <v>14.34</v>
      </c>
      <c r="G305" s="32">
        <f>TRUNC(E305*F305,2)</f>
        <v>59.08</v>
      </c>
      <c r="H305" s="32"/>
      <c r="I305" s="33"/>
      <c r="J305" s="33"/>
      <c r="K305" s="44"/>
    </row>
    <row r="306" spans="1:11" s="34" customFormat="1" ht="15">
      <c r="A306" s="30"/>
      <c r="B306" s="43" t="s">
        <v>239</v>
      </c>
      <c r="C306" s="45" t="s">
        <v>240</v>
      </c>
      <c r="D306" s="46" t="s">
        <v>4</v>
      </c>
      <c r="E306" s="44">
        <v>2.06</v>
      </c>
      <c r="F306" s="31">
        <f>TRUNC(19.81,2)</f>
        <v>19.81</v>
      </c>
      <c r="G306" s="32">
        <f>TRUNC(E306*F306,2)</f>
        <v>40.8</v>
      </c>
      <c r="H306" s="32"/>
      <c r="I306" s="33"/>
      <c r="J306" s="33"/>
      <c r="K306" s="44"/>
    </row>
    <row r="307" spans="1:11" s="34" customFormat="1" ht="15">
      <c r="A307" s="30"/>
      <c r="B307" s="43"/>
      <c r="C307" s="45"/>
      <c r="D307" s="46"/>
      <c r="E307" s="44" t="s">
        <v>5</v>
      </c>
      <c r="F307" s="31"/>
      <c r="G307" s="32">
        <f>TRUNC(SUM(G304:G306),2)</f>
        <v>398.58</v>
      </c>
      <c r="H307" s="32"/>
      <c r="I307" s="33"/>
      <c r="J307" s="33"/>
      <c r="K307" s="44"/>
    </row>
    <row r="308" spans="1:11" s="88" customFormat="1" ht="45">
      <c r="A308" s="80" t="s">
        <v>895</v>
      </c>
      <c r="B308" s="81" t="s">
        <v>798</v>
      </c>
      <c r="C308" s="82" t="s">
        <v>799</v>
      </c>
      <c r="D308" s="83" t="s">
        <v>0</v>
      </c>
      <c r="E308" s="84">
        <f>921.96+956.4+810.87+506</f>
        <v>3195.23</v>
      </c>
      <c r="F308" s="85">
        <f>TRUNC(G313,2)</f>
        <v>28</v>
      </c>
      <c r="G308" s="86">
        <f>TRUNC(F308*1.2882,2)</f>
        <v>36.06</v>
      </c>
      <c r="H308" s="86">
        <f>TRUNC(F308*E308,2)</f>
        <v>89466.44</v>
      </c>
      <c r="I308" s="87">
        <f>TRUNC(E308*G308,2)</f>
        <v>115219.99</v>
      </c>
      <c r="J308" s="87"/>
      <c r="K308" s="84"/>
    </row>
    <row r="309" spans="1:11" s="34" customFormat="1" ht="30">
      <c r="A309" s="30"/>
      <c r="B309" s="43" t="s">
        <v>26</v>
      </c>
      <c r="C309" s="45" t="s">
        <v>27</v>
      </c>
      <c r="D309" s="46" t="s">
        <v>4</v>
      </c>
      <c r="E309" s="44">
        <v>0.41200000000000003</v>
      </c>
      <c r="F309" s="31">
        <f>TRUNC(14.34,2)</f>
        <v>14.34</v>
      </c>
      <c r="G309" s="32">
        <f>TRUNC(E309*F309,2)</f>
        <v>5.9</v>
      </c>
      <c r="H309" s="32"/>
      <c r="I309" s="33"/>
      <c r="J309" s="33"/>
      <c r="K309" s="44"/>
    </row>
    <row r="310" spans="1:11" s="34" customFormat="1" ht="15">
      <c r="A310" s="30"/>
      <c r="B310" s="43" t="s">
        <v>239</v>
      </c>
      <c r="C310" s="45" t="s">
        <v>240</v>
      </c>
      <c r="D310" s="46" t="s">
        <v>4</v>
      </c>
      <c r="E310" s="44">
        <v>0.41200000000000003</v>
      </c>
      <c r="F310" s="31">
        <f>TRUNC(19.81,2)</f>
        <v>19.81</v>
      </c>
      <c r="G310" s="32">
        <f>TRUNC(E310*F310,2)</f>
        <v>8.16</v>
      </c>
      <c r="H310" s="32"/>
      <c r="I310" s="33"/>
      <c r="J310" s="33"/>
      <c r="K310" s="44"/>
    </row>
    <row r="311" spans="1:11" s="34" customFormat="1" ht="30">
      <c r="A311" s="30"/>
      <c r="B311" s="43" t="s">
        <v>800</v>
      </c>
      <c r="C311" s="45" t="s">
        <v>801</v>
      </c>
      <c r="D311" s="46" t="s">
        <v>0</v>
      </c>
      <c r="E311" s="44">
        <v>1</v>
      </c>
      <c r="F311" s="31">
        <f>TRUNC(5.3171,2)</f>
        <v>5.31</v>
      </c>
      <c r="G311" s="32">
        <f>TRUNC(E311*F311,2)</f>
        <v>5.31</v>
      </c>
      <c r="H311" s="32"/>
      <c r="I311" s="33"/>
      <c r="J311" s="33"/>
      <c r="K311" s="44"/>
    </row>
    <row r="312" spans="1:11" s="34" customFormat="1" ht="15">
      <c r="A312" s="30"/>
      <c r="B312" s="43" t="s">
        <v>243</v>
      </c>
      <c r="C312" s="45" t="s">
        <v>244</v>
      </c>
      <c r="D312" s="46" t="s">
        <v>1</v>
      </c>
      <c r="E312" s="44">
        <v>0.024</v>
      </c>
      <c r="F312" s="31">
        <f>TRUNC(359.9466,2)</f>
        <v>359.94</v>
      </c>
      <c r="G312" s="32">
        <f>TRUNC(E312*F312,2)</f>
        <v>8.63</v>
      </c>
      <c r="H312" s="32"/>
      <c r="I312" s="33"/>
      <c r="J312" s="33"/>
      <c r="K312" s="44"/>
    </row>
    <row r="313" spans="1:11" s="34" customFormat="1" ht="15">
      <c r="A313" s="30"/>
      <c r="B313" s="43"/>
      <c r="C313" s="45"/>
      <c r="D313" s="46"/>
      <c r="E313" s="44" t="s">
        <v>5</v>
      </c>
      <c r="F313" s="31"/>
      <c r="G313" s="32">
        <f>TRUNC(SUM(G309:G312),2)</f>
        <v>28</v>
      </c>
      <c r="H313" s="32"/>
      <c r="I313" s="33"/>
      <c r="J313" s="33"/>
      <c r="K313" s="44"/>
    </row>
    <row r="314" spans="1:11" s="88" customFormat="1" ht="45">
      <c r="A314" s="80" t="s">
        <v>896</v>
      </c>
      <c r="B314" s="81" t="s">
        <v>606</v>
      </c>
      <c r="C314" s="82" t="s">
        <v>607</v>
      </c>
      <c r="D314" s="83" t="s">
        <v>0</v>
      </c>
      <c r="E314" s="84">
        <f>46.15+38.21</f>
        <v>84.36</v>
      </c>
      <c r="F314" s="85">
        <f>TRUNC(G319+G323,2)</f>
        <v>261.74</v>
      </c>
      <c r="G314" s="86">
        <f>TRUNC(F314*1.2882,2)</f>
        <v>337.17</v>
      </c>
      <c r="H314" s="86">
        <f>TRUNC(F314*E314,2)</f>
        <v>22080.38</v>
      </c>
      <c r="I314" s="87">
        <f>TRUNC(E314*G314,2)</f>
        <v>28443.66</v>
      </c>
      <c r="J314" s="87"/>
      <c r="K314" s="84"/>
    </row>
    <row r="315" spans="1:11" s="58" customFormat="1" ht="14.25" customHeight="1">
      <c r="A315" s="54"/>
      <c r="B315" s="52" t="s">
        <v>608</v>
      </c>
      <c r="C315" s="55" t="s">
        <v>609</v>
      </c>
      <c r="D315" s="56" t="s">
        <v>10</v>
      </c>
      <c r="E315" s="57">
        <v>0</v>
      </c>
      <c r="F315" s="53">
        <f>TRUNC(25.46,2)</f>
        <v>25.46</v>
      </c>
      <c r="G315" s="50">
        <f>TRUNC(E315*F315,2)</f>
        <v>0</v>
      </c>
      <c r="H315" s="50"/>
      <c r="I315" s="51"/>
      <c r="J315" s="51"/>
      <c r="K315" s="57"/>
    </row>
    <row r="316" spans="1:11" s="34" customFormat="1" ht="14.25" customHeight="1">
      <c r="A316" s="30"/>
      <c r="B316" s="43" t="s">
        <v>283</v>
      </c>
      <c r="C316" s="45" t="s">
        <v>32</v>
      </c>
      <c r="D316" s="46" t="s">
        <v>4</v>
      </c>
      <c r="E316" s="44">
        <v>1.028</v>
      </c>
      <c r="F316" s="31">
        <f>TRUNC(21.13,2)</f>
        <v>21.13</v>
      </c>
      <c r="G316" s="32">
        <f>TRUNC(E316*F316,2)</f>
        <v>21.72</v>
      </c>
      <c r="H316" s="32"/>
      <c r="I316" s="33"/>
      <c r="J316" s="33"/>
      <c r="K316" s="44"/>
    </row>
    <row r="317" spans="1:11" s="34" customFormat="1" ht="14.25" customHeight="1">
      <c r="A317" s="30"/>
      <c r="B317" s="43" t="s">
        <v>306</v>
      </c>
      <c r="C317" s="45" t="s">
        <v>307</v>
      </c>
      <c r="D317" s="46" t="s">
        <v>4</v>
      </c>
      <c r="E317" s="44">
        <v>2.055</v>
      </c>
      <c r="F317" s="31">
        <f>TRUNC(26.76,2)</f>
        <v>26.76</v>
      </c>
      <c r="G317" s="32">
        <f>TRUNC(E317*F317,2)</f>
        <v>54.99</v>
      </c>
      <c r="H317" s="32"/>
      <c r="I317" s="33"/>
      <c r="J317" s="33"/>
      <c r="K317" s="44"/>
    </row>
    <row r="318" spans="1:11" s="34" customFormat="1" ht="14.25" customHeight="1">
      <c r="A318" s="30"/>
      <c r="B318" s="43" t="s">
        <v>610</v>
      </c>
      <c r="C318" s="45" t="s">
        <v>611</v>
      </c>
      <c r="D318" s="46" t="s">
        <v>1</v>
      </c>
      <c r="E318" s="44">
        <v>0.01</v>
      </c>
      <c r="F318" s="31">
        <f>TRUNC(441.33,2)</f>
        <v>441.33</v>
      </c>
      <c r="G318" s="32">
        <f>TRUNC(E318*F318,2)</f>
        <v>4.41</v>
      </c>
      <c r="H318" s="32"/>
      <c r="I318" s="33"/>
      <c r="J318" s="33"/>
      <c r="K318" s="44"/>
    </row>
    <row r="319" spans="1:11" s="34" customFormat="1" ht="14.25" customHeight="1">
      <c r="A319" s="30"/>
      <c r="B319" s="43"/>
      <c r="C319" s="45"/>
      <c r="D319" s="46"/>
      <c r="E319" s="44" t="s">
        <v>5</v>
      </c>
      <c r="F319" s="31"/>
      <c r="G319" s="32">
        <f>TRUNC(SUM(G315:G318),2)</f>
        <v>81.12</v>
      </c>
      <c r="H319" s="32"/>
      <c r="I319" s="33"/>
      <c r="J319" s="33"/>
      <c r="K319" s="44"/>
    </row>
    <row r="320" spans="1:11" s="34" customFormat="1" ht="15">
      <c r="A320" s="30"/>
      <c r="B320" s="52" t="s">
        <v>827</v>
      </c>
      <c r="C320" s="55" t="s">
        <v>828</v>
      </c>
      <c r="D320" s="46" t="s">
        <v>10</v>
      </c>
      <c r="E320" s="44">
        <v>6.25</v>
      </c>
      <c r="F320" s="44">
        <v>28.9</v>
      </c>
      <c r="G320" s="32">
        <f>TRUNC(E320*F320,2)</f>
        <v>180.62</v>
      </c>
      <c r="H320" s="32"/>
      <c r="I320" s="33"/>
      <c r="J320" s="33"/>
      <c r="K320" s="44"/>
    </row>
    <row r="321" spans="1:11" s="34" customFormat="1" ht="28.5">
      <c r="A321" s="30"/>
      <c r="B321" s="52" t="s">
        <v>827</v>
      </c>
      <c r="C321" s="55" t="s">
        <v>829</v>
      </c>
      <c r="D321" s="46" t="s">
        <v>10</v>
      </c>
      <c r="E321" s="44">
        <v>6.25</v>
      </c>
      <c r="F321" s="44">
        <v>17.83</v>
      </c>
      <c r="G321" s="32">
        <f>TRUNC(E321*F321,2)</f>
        <v>111.43</v>
      </c>
      <c r="H321" s="32"/>
      <c r="I321" s="33"/>
      <c r="J321" s="33"/>
      <c r="K321" s="44"/>
    </row>
    <row r="322" spans="1:11" s="34" customFormat="1" ht="14.25" customHeight="1">
      <c r="A322" s="30"/>
      <c r="B322" s="52" t="s">
        <v>827</v>
      </c>
      <c r="C322" s="55" t="s">
        <v>830</v>
      </c>
      <c r="D322" s="46" t="s">
        <v>10</v>
      </c>
      <c r="E322" s="44">
        <v>6.25</v>
      </c>
      <c r="F322" s="44">
        <v>49.9</v>
      </c>
      <c r="G322" s="32">
        <f>TRUNC(E322*F322,2)</f>
        <v>311.87</v>
      </c>
      <c r="H322" s="32"/>
      <c r="I322" s="33"/>
      <c r="J322" s="33"/>
      <c r="K322" s="44"/>
    </row>
    <row r="323" spans="1:11" s="34" customFormat="1" ht="14.25" customHeight="1">
      <c r="A323" s="30"/>
      <c r="B323" s="43"/>
      <c r="C323" s="45"/>
      <c r="D323" s="46"/>
      <c r="E323" s="44"/>
      <c r="F323" s="31" t="s">
        <v>831</v>
      </c>
      <c r="G323" s="32">
        <f>G320</f>
        <v>180.62</v>
      </c>
      <c r="H323" s="32"/>
      <c r="I323" s="33"/>
      <c r="J323" s="33"/>
      <c r="K323" s="44"/>
    </row>
    <row r="324" spans="1:11" s="88" customFormat="1" ht="45">
      <c r="A324" s="80" t="s">
        <v>897</v>
      </c>
      <c r="B324" s="81" t="s">
        <v>324</v>
      </c>
      <c r="C324" s="82" t="s">
        <v>325</v>
      </c>
      <c r="D324" s="83" t="s">
        <v>0</v>
      </c>
      <c r="E324" s="84">
        <v>410</v>
      </c>
      <c r="F324" s="85">
        <f>TRUNC(G330,2)</f>
        <v>32.96</v>
      </c>
      <c r="G324" s="86">
        <f>TRUNC(F324*1.2882,2)</f>
        <v>42.45</v>
      </c>
      <c r="H324" s="86">
        <f>TRUNC(F324*E324,2)</f>
        <v>13513.6</v>
      </c>
      <c r="I324" s="87">
        <f>TRUNC(E324*G324,2)</f>
        <v>17404.5</v>
      </c>
      <c r="J324" s="87"/>
      <c r="K324" s="84"/>
    </row>
    <row r="325" spans="1:11" s="34" customFormat="1" ht="15">
      <c r="A325" s="30"/>
      <c r="B325" s="43" t="s">
        <v>326</v>
      </c>
      <c r="C325" s="45" t="s">
        <v>327</v>
      </c>
      <c r="D325" s="46" t="s">
        <v>253</v>
      </c>
      <c r="E325" s="44">
        <v>0.21</v>
      </c>
      <c r="F325" s="31">
        <f>TRUNC(12.24,2)</f>
        <v>12.24</v>
      </c>
      <c r="G325" s="32">
        <f>TRUNC(E325*F325,2)</f>
        <v>2.57</v>
      </c>
      <c r="H325" s="32"/>
      <c r="I325" s="33"/>
      <c r="J325" s="33"/>
      <c r="K325" s="44"/>
    </row>
    <row r="326" spans="1:11" s="34" customFormat="1" ht="15">
      <c r="A326" s="30"/>
      <c r="B326" s="43" t="s">
        <v>328</v>
      </c>
      <c r="C326" s="45" t="s">
        <v>329</v>
      </c>
      <c r="D326" s="46" t="s">
        <v>3</v>
      </c>
      <c r="E326" s="44">
        <v>0.5</v>
      </c>
      <c r="F326" s="31">
        <f>TRUNC(0.6,2)</f>
        <v>0.6</v>
      </c>
      <c r="G326" s="32">
        <f>TRUNC(E326*F326,2)</f>
        <v>0.3</v>
      </c>
      <c r="H326" s="32"/>
      <c r="I326" s="33"/>
      <c r="J326" s="33"/>
      <c r="K326" s="44"/>
    </row>
    <row r="327" spans="1:11" s="34" customFormat="1" ht="15">
      <c r="A327" s="30"/>
      <c r="B327" s="43" t="s">
        <v>283</v>
      </c>
      <c r="C327" s="45" t="s">
        <v>32</v>
      </c>
      <c r="D327" s="46" t="s">
        <v>4</v>
      </c>
      <c r="E327" s="44">
        <v>0.123</v>
      </c>
      <c r="F327" s="31">
        <f>TRUNC(21.13,2)</f>
        <v>21.13</v>
      </c>
      <c r="G327" s="32">
        <f>TRUNC(E327*F327,2)</f>
        <v>2.59</v>
      </c>
      <c r="H327" s="32"/>
      <c r="I327" s="33"/>
      <c r="J327" s="33"/>
      <c r="K327" s="44"/>
    </row>
    <row r="328" spans="1:11" s="34" customFormat="1" ht="15">
      <c r="A328" s="30"/>
      <c r="B328" s="43" t="s">
        <v>306</v>
      </c>
      <c r="C328" s="45" t="s">
        <v>307</v>
      </c>
      <c r="D328" s="46" t="s">
        <v>4</v>
      </c>
      <c r="E328" s="44">
        <v>0.245</v>
      </c>
      <c r="F328" s="31">
        <f>TRUNC(26.76,2)</f>
        <v>26.76</v>
      </c>
      <c r="G328" s="32">
        <f>TRUNC(E328*F328,2)</f>
        <v>6.55</v>
      </c>
      <c r="H328" s="32"/>
      <c r="I328" s="33"/>
      <c r="J328" s="33"/>
      <c r="K328" s="44"/>
    </row>
    <row r="329" spans="1:11" s="34" customFormat="1" ht="30">
      <c r="A329" s="30"/>
      <c r="B329" s="43" t="s">
        <v>330</v>
      </c>
      <c r="C329" s="45" t="s">
        <v>331</v>
      </c>
      <c r="D329" s="46" t="s">
        <v>1</v>
      </c>
      <c r="E329" s="44">
        <v>0.0431</v>
      </c>
      <c r="F329" s="31">
        <f>TRUNC(486.15,2)</f>
        <v>486.15</v>
      </c>
      <c r="G329" s="32">
        <f>TRUNC(E329*F329,2)</f>
        <v>20.95</v>
      </c>
      <c r="H329" s="32"/>
      <c r="I329" s="33"/>
      <c r="J329" s="33"/>
      <c r="K329" s="44"/>
    </row>
    <row r="330" spans="1:11" s="34" customFormat="1" ht="15">
      <c r="A330" s="30"/>
      <c r="B330" s="43"/>
      <c r="C330" s="45"/>
      <c r="D330" s="46"/>
      <c r="E330" s="44" t="s">
        <v>5</v>
      </c>
      <c r="F330" s="31"/>
      <c r="G330" s="32">
        <f>TRUNC(SUM(G325:G329),2)</f>
        <v>32.96</v>
      </c>
      <c r="H330" s="32"/>
      <c r="I330" s="33"/>
      <c r="J330" s="33"/>
      <c r="K330" s="44"/>
    </row>
    <row r="331" spans="1:11" s="88" customFormat="1" ht="45">
      <c r="A331" s="80" t="s">
        <v>898</v>
      </c>
      <c r="B331" s="89" t="s">
        <v>808</v>
      </c>
      <c r="C331" s="82" t="s">
        <v>612</v>
      </c>
      <c r="D331" s="83" t="s">
        <v>0</v>
      </c>
      <c r="E331" s="84">
        <v>701.95</v>
      </c>
      <c r="F331" s="85">
        <f>TRUNC(G337+G341,2)</f>
        <v>78.71</v>
      </c>
      <c r="G331" s="86">
        <f>TRUNC(F331*1.2882,2)</f>
        <v>101.39</v>
      </c>
      <c r="H331" s="86">
        <f>TRUNC(F331*E331,2)</f>
        <v>55250.48</v>
      </c>
      <c r="I331" s="87">
        <f>TRUNC(E331*G331,2)</f>
        <v>71170.71</v>
      </c>
      <c r="J331" s="87"/>
      <c r="K331" s="84"/>
    </row>
    <row r="332" spans="1:11" s="34" customFormat="1" ht="15">
      <c r="A332" s="30"/>
      <c r="B332" s="43" t="s">
        <v>316</v>
      </c>
      <c r="C332" s="45" t="s">
        <v>317</v>
      </c>
      <c r="D332" s="46" t="s">
        <v>3</v>
      </c>
      <c r="E332" s="44">
        <v>0.29</v>
      </c>
      <c r="F332" s="31">
        <f>TRUNC(3.46,2)</f>
        <v>3.46</v>
      </c>
      <c r="G332" s="32">
        <f aca="true" t="shared" si="18" ref="G332:G339">TRUNC(E332*F332,2)</f>
        <v>1</v>
      </c>
      <c r="H332" s="32"/>
      <c r="I332" s="33"/>
      <c r="J332" s="33"/>
      <c r="K332" s="44"/>
    </row>
    <row r="333" spans="1:11" s="34" customFormat="1" ht="15">
      <c r="A333" s="30"/>
      <c r="B333" s="43" t="s">
        <v>318</v>
      </c>
      <c r="C333" s="45" t="s">
        <v>319</v>
      </c>
      <c r="D333" s="46" t="s">
        <v>3</v>
      </c>
      <c r="E333" s="44">
        <v>4.86</v>
      </c>
      <c r="F333" s="31">
        <f>TRUNC(0.59,2)</f>
        <v>0.59</v>
      </c>
      <c r="G333" s="32">
        <f t="shared" si="18"/>
        <v>2.86</v>
      </c>
      <c r="H333" s="32"/>
      <c r="I333" s="33"/>
      <c r="J333" s="33"/>
      <c r="K333" s="44"/>
    </row>
    <row r="334" spans="1:11" s="58" customFormat="1" ht="28.5">
      <c r="A334" s="54"/>
      <c r="B334" s="52" t="s">
        <v>613</v>
      </c>
      <c r="C334" s="55" t="s">
        <v>614</v>
      </c>
      <c r="D334" s="56" t="s">
        <v>0</v>
      </c>
      <c r="E334" s="57">
        <v>0</v>
      </c>
      <c r="F334" s="53">
        <f>TRUNC(32.99,2)</f>
        <v>32.99</v>
      </c>
      <c r="G334" s="50">
        <f t="shared" si="18"/>
        <v>0</v>
      </c>
      <c r="H334" s="50"/>
      <c r="I334" s="51"/>
      <c r="J334" s="51"/>
      <c r="K334" s="57"/>
    </row>
    <row r="335" spans="1:11" s="34" customFormat="1" ht="15">
      <c r="A335" s="30"/>
      <c r="B335" s="43" t="s">
        <v>283</v>
      </c>
      <c r="C335" s="45" t="s">
        <v>32</v>
      </c>
      <c r="D335" s="46" t="s">
        <v>4</v>
      </c>
      <c r="E335" s="44">
        <v>0.47</v>
      </c>
      <c r="F335" s="31">
        <f>TRUNC(21.13,2)</f>
        <v>21.13</v>
      </c>
      <c r="G335" s="32">
        <f t="shared" si="18"/>
        <v>9.93</v>
      </c>
      <c r="H335" s="32"/>
      <c r="I335" s="33"/>
      <c r="J335" s="33"/>
      <c r="K335" s="44"/>
    </row>
    <row r="336" spans="1:11" s="34" customFormat="1" ht="15">
      <c r="A336" s="30"/>
      <c r="B336" s="43" t="s">
        <v>322</v>
      </c>
      <c r="C336" s="45" t="s">
        <v>323</v>
      </c>
      <c r="D336" s="46" t="s">
        <v>4</v>
      </c>
      <c r="E336" s="44">
        <v>0.93</v>
      </c>
      <c r="F336" s="31">
        <f>TRUNC(28.16,2)</f>
        <v>28.16</v>
      </c>
      <c r="G336" s="32">
        <f t="shared" si="18"/>
        <v>26.18</v>
      </c>
      <c r="H336" s="32"/>
      <c r="I336" s="33"/>
      <c r="J336" s="33"/>
      <c r="K336" s="44"/>
    </row>
    <row r="337" spans="1:11" s="34" customFormat="1" ht="15">
      <c r="A337" s="30"/>
      <c r="B337" s="43"/>
      <c r="C337" s="45"/>
      <c r="D337" s="46"/>
      <c r="E337" s="44" t="s">
        <v>5</v>
      </c>
      <c r="F337" s="31"/>
      <c r="G337" s="32">
        <f>TRUNC(SUM(G332:G336),2)</f>
        <v>39.97</v>
      </c>
      <c r="H337" s="32"/>
      <c r="I337" s="33"/>
      <c r="J337" s="33"/>
      <c r="K337" s="44"/>
    </row>
    <row r="338" spans="1:11" s="34" customFormat="1" ht="29.25">
      <c r="A338" s="30"/>
      <c r="B338" s="52" t="s">
        <v>807</v>
      </c>
      <c r="C338" s="45" t="s">
        <v>804</v>
      </c>
      <c r="D338" s="46" t="s">
        <v>802</v>
      </c>
      <c r="E338" s="44">
        <v>1.05</v>
      </c>
      <c r="F338" s="31">
        <v>44.9</v>
      </c>
      <c r="G338" s="32">
        <f t="shared" si="18"/>
        <v>47.14</v>
      </c>
      <c r="H338" s="32"/>
      <c r="I338" s="33"/>
      <c r="J338" s="33"/>
      <c r="K338" s="44"/>
    </row>
    <row r="339" spans="1:11" s="34" customFormat="1" ht="29.25">
      <c r="A339" s="30"/>
      <c r="B339" s="52" t="s">
        <v>807</v>
      </c>
      <c r="C339" s="45" t="s">
        <v>803</v>
      </c>
      <c r="D339" s="46" t="s">
        <v>802</v>
      </c>
      <c r="E339" s="44">
        <v>1.05</v>
      </c>
      <c r="F339" s="31">
        <v>34.9</v>
      </c>
      <c r="G339" s="32">
        <f t="shared" si="18"/>
        <v>36.64</v>
      </c>
      <c r="H339" s="32"/>
      <c r="I339" s="33"/>
      <c r="J339" s="33"/>
      <c r="K339" s="44"/>
    </row>
    <row r="340" spans="1:11" s="34" customFormat="1" ht="29.25">
      <c r="A340" s="30"/>
      <c r="B340" s="52" t="s">
        <v>807</v>
      </c>
      <c r="C340" s="45" t="s">
        <v>806</v>
      </c>
      <c r="D340" s="46" t="s">
        <v>802</v>
      </c>
      <c r="E340" s="44">
        <v>1.05</v>
      </c>
      <c r="F340" s="31">
        <v>36.9</v>
      </c>
      <c r="G340" s="32">
        <f>TRUNC(E340*F340,2)</f>
        <v>38.74</v>
      </c>
      <c r="H340" s="32"/>
      <c r="I340" s="33"/>
      <c r="J340" s="33"/>
      <c r="K340" s="44"/>
    </row>
    <row r="341" spans="1:11" s="34" customFormat="1" ht="15">
      <c r="A341" s="30"/>
      <c r="B341" s="43"/>
      <c r="C341" s="45"/>
      <c r="D341" s="46"/>
      <c r="E341" s="44"/>
      <c r="F341" s="53" t="s">
        <v>805</v>
      </c>
      <c r="G341" s="50">
        <v>38.74</v>
      </c>
      <c r="H341" s="32"/>
      <c r="I341" s="33"/>
      <c r="J341" s="33"/>
      <c r="K341" s="44"/>
    </row>
    <row r="342" spans="1:11" s="88" customFormat="1" ht="65.25" customHeight="1">
      <c r="A342" s="80" t="s">
        <v>899</v>
      </c>
      <c r="B342" s="81" t="s">
        <v>809</v>
      </c>
      <c r="C342" s="82" t="s">
        <v>810</v>
      </c>
      <c r="D342" s="83" t="s">
        <v>0</v>
      </c>
      <c r="E342" s="84">
        <v>220.01</v>
      </c>
      <c r="F342" s="85">
        <f>TRUNC(G350,2)</f>
        <v>94.8</v>
      </c>
      <c r="G342" s="86">
        <f>TRUNC(F342*1.2882,2)</f>
        <v>122.12</v>
      </c>
      <c r="H342" s="86">
        <f>TRUNC(F342*E342,2)</f>
        <v>20856.94</v>
      </c>
      <c r="I342" s="87">
        <f>TRUNC(E342*G342,2)</f>
        <v>26867.62</v>
      </c>
      <c r="J342" s="87"/>
      <c r="K342" s="84"/>
    </row>
    <row r="343" spans="1:11" s="34" customFormat="1" ht="19.5" customHeight="1">
      <c r="A343" s="30"/>
      <c r="B343" s="43" t="s">
        <v>811</v>
      </c>
      <c r="C343" s="45" t="s">
        <v>812</v>
      </c>
      <c r="D343" s="46" t="s">
        <v>10</v>
      </c>
      <c r="E343" s="44">
        <v>0.32</v>
      </c>
      <c r="F343" s="31">
        <f>TRUNC(14.08,2)</f>
        <v>14.08</v>
      </c>
      <c r="G343" s="32">
        <f aca="true" t="shared" si="19" ref="G343:G349">TRUNC(E343*F343,2)</f>
        <v>4.5</v>
      </c>
      <c r="H343" s="32"/>
      <c r="I343" s="33"/>
      <c r="J343" s="33"/>
      <c r="K343" s="44"/>
    </row>
    <row r="344" spans="1:11" s="34" customFormat="1" ht="20.25" customHeight="1">
      <c r="A344" s="30"/>
      <c r="B344" s="43" t="s">
        <v>813</v>
      </c>
      <c r="C344" s="45" t="s">
        <v>814</v>
      </c>
      <c r="D344" s="46" t="s">
        <v>10</v>
      </c>
      <c r="E344" s="44">
        <v>0.2</v>
      </c>
      <c r="F344" s="31">
        <f>TRUNC(19.6,2)</f>
        <v>19.6</v>
      </c>
      <c r="G344" s="32">
        <f t="shared" si="19"/>
        <v>3.92</v>
      </c>
      <c r="H344" s="32"/>
      <c r="I344" s="33"/>
      <c r="J344" s="33"/>
      <c r="K344" s="44"/>
    </row>
    <row r="345" spans="1:11" s="34" customFormat="1" ht="30">
      <c r="A345" s="30"/>
      <c r="B345" s="43" t="s">
        <v>815</v>
      </c>
      <c r="C345" s="45" t="s">
        <v>816</v>
      </c>
      <c r="D345" s="46" t="s">
        <v>0</v>
      </c>
      <c r="E345" s="44">
        <v>1.1</v>
      </c>
      <c r="F345" s="31">
        <f>TRUNC(30.56,2)</f>
        <v>30.56</v>
      </c>
      <c r="G345" s="32">
        <f t="shared" si="19"/>
        <v>33.61</v>
      </c>
      <c r="H345" s="32"/>
      <c r="I345" s="33"/>
      <c r="J345" s="33"/>
      <c r="K345" s="44"/>
    </row>
    <row r="346" spans="1:11" s="34" customFormat="1" ht="30">
      <c r="A346" s="30"/>
      <c r="B346" s="43" t="s">
        <v>817</v>
      </c>
      <c r="C346" s="45" t="s">
        <v>818</v>
      </c>
      <c r="D346" s="46" t="s">
        <v>3</v>
      </c>
      <c r="E346" s="44">
        <v>32</v>
      </c>
      <c r="F346" s="31">
        <f>TRUNC(0.45,2)</f>
        <v>0.45</v>
      </c>
      <c r="G346" s="32">
        <f t="shared" si="19"/>
        <v>14.4</v>
      </c>
      <c r="H346" s="32"/>
      <c r="I346" s="33"/>
      <c r="J346" s="33"/>
      <c r="K346" s="44"/>
    </row>
    <row r="347" spans="1:11" s="34" customFormat="1" ht="30">
      <c r="A347" s="30"/>
      <c r="B347" s="43" t="s">
        <v>26</v>
      </c>
      <c r="C347" s="45" t="s">
        <v>27</v>
      </c>
      <c r="D347" s="46" t="s">
        <v>4</v>
      </c>
      <c r="E347" s="44">
        <v>0.927</v>
      </c>
      <c r="F347" s="31">
        <f>TRUNC(14.34,2)</f>
        <v>14.34</v>
      </c>
      <c r="G347" s="32">
        <f t="shared" si="19"/>
        <v>13.29</v>
      </c>
      <c r="H347" s="32"/>
      <c r="I347" s="33"/>
      <c r="J347" s="33"/>
      <c r="K347" s="44"/>
    </row>
    <row r="348" spans="1:11" s="34" customFormat="1" ht="15">
      <c r="A348" s="30"/>
      <c r="B348" s="43" t="s">
        <v>596</v>
      </c>
      <c r="C348" s="45" t="s">
        <v>597</v>
      </c>
      <c r="D348" s="46" t="s">
        <v>4</v>
      </c>
      <c r="E348" s="44">
        <v>0.927</v>
      </c>
      <c r="F348" s="31">
        <f>TRUNC(21.33,2)</f>
        <v>21.33</v>
      </c>
      <c r="G348" s="32">
        <f t="shared" si="19"/>
        <v>19.77</v>
      </c>
      <c r="H348" s="32"/>
      <c r="I348" s="33"/>
      <c r="J348" s="33"/>
      <c r="K348" s="44"/>
    </row>
    <row r="349" spans="1:11" s="34" customFormat="1" ht="30">
      <c r="A349" s="30"/>
      <c r="B349" s="43" t="s">
        <v>800</v>
      </c>
      <c r="C349" s="45" t="s">
        <v>801</v>
      </c>
      <c r="D349" s="46" t="s">
        <v>0</v>
      </c>
      <c r="E349" s="44">
        <v>1</v>
      </c>
      <c r="F349" s="31">
        <f>TRUNC(5.3171,2)</f>
        <v>5.31</v>
      </c>
      <c r="G349" s="32">
        <f t="shared" si="19"/>
        <v>5.31</v>
      </c>
      <c r="H349" s="32"/>
      <c r="I349" s="33"/>
      <c r="J349" s="33"/>
      <c r="K349" s="44"/>
    </row>
    <row r="350" spans="1:11" s="34" customFormat="1" ht="15">
      <c r="A350" s="30"/>
      <c r="B350" s="43"/>
      <c r="C350" s="45"/>
      <c r="D350" s="46"/>
      <c r="E350" s="44" t="s">
        <v>5</v>
      </c>
      <c r="F350" s="31"/>
      <c r="G350" s="32">
        <f>TRUNC(SUM(G343:G349),2)</f>
        <v>94.8</v>
      </c>
      <c r="H350" s="32"/>
      <c r="I350" s="33"/>
      <c r="J350" s="33"/>
      <c r="K350" s="44"/>
    </row>
    <row r="351" spans="1:11" s="88" customFormat="1" ht="65.25" customHeight="1">
      <c r="A351" s="80" t="s">
        <v>900</v>
      </c>
      <c r="B351" s="81" t="s">
        <v>820</v>
      </c>
      <c r="C351" s="82" t="s">
        <v>819</v>
      </c>
      <c r="D351" s="83" t="s">
        <v>0</v>
      </c>
      <c r="E351" s="84">
        <v>148.89</v>
      </c>
      <c r="F351" s="85">
        <f>TRUNC(G357,2)</f>
        <v>59.58</v>
      </c>
      <c r="G351" s="86">
        <f>TRUNC(F351*1.2882,2)</f>
        <v>76.75</v>
      </c>
      <c r="H351" s="86">
        <f>TRUNC(F351*E351,2)</f>
        <v>8870.86</v>
      </c>
      <c r="I351" s="87">
        <f>TRUNC(E351*G351,2)</f>
        <v>11427.3</v>
      </c>
      <c r="J351" s="87"/>
      <c r="K351" s="84"/>
    </row>
    <row r="352" spans="1:11" s="34" customFormat="1" ht="15">
      <c r="A352" s="30"/>
      <c r="B352" s="43" t="s">
        <v>316</v>
      </c>
      <c r="C352" s="45" t="s">
        <v>317</v>
      </c>
      <c r="D352" s="46" t="s">
        <v>3</v>
      </c>
      <c r="E352" s="44">
        <v>0.24</v>
      </c>
      <c r="F352" s="31">
        <f>TRUNC(3.46,2)</f>
        <v>3.46</v>
      </c>
      <c r="G352" s="32">
        <f>TRUNC(E352*F352,2)</f>
        <v>0.83</v>
      </c>
      <c r="H352" s="32"/>
      <c r="I352" s="33"/>
      <c r="J352" s="33"/>
      <c r="K352" s="44"/>
    </row>
    <row r="353" spans="1:11" s="34" customFormat="1" ht="15">
      <c r="A353" s="30"/>
      <c r="B353" s="43" t="s">
        <v>318</v>
      </c>
      <c r="C353" s="45" t="s">
        <v>319</v>
      </c>
      <c r="D353" s="46" t="s">
        <v>3</v>
      </c>
      <c r="E353" s="44">
        <v>4.86</v>
      </c>
      <c r="F353" s="31">
        <f>TRUNC(0.59,2)</f>
        <v>0.59</v>
      </c>
      <c r="G353" s="32">
        <f>TRUNC(E353*F353,2)</f>
        <v>2.86</v>
      </c>
      <c r="H353" s="32"/>
      <c r="I353" s="33"/>
      <c r="J353" s="33"/>
      <c r="K353" s="44"/>
    </row>
    <row r="354" spans="1:11" s="34" customFormat="1" ht="30">
      <c r="A354" s="30"/>
      <c r="B354" s="43" t="s">
        <v>320</v>
      </c>
      <c r="C354" s="45" t="s">
        <v>321</v>
      </c>
      <c r="D354" s="46" t="s">
        <v>0</v>
      </c>
      <c r="E354" s="44">
        <v>1.08</v>
      </c>
      <c r="F354" s="31">
        <f>TRUNC(29.99,2)</f>
        <v>29.99</v>
      </c>
      <c r="G354" s="32">
        <f>TRUNC(E354*F354,2)</f>
        <v>32.38</v>
      </c>
      <c r="H354" s="32"/>
      <c r="I354" s="33"/>
      <c r="J354" s="33"/>
      <c r="K354" s="44"/>
    </row>
    <row r="355" spans="1:11" s="34" customFormat="1" ht="15">
      <c r="A355" s="30"/>
      <c r="B355" s="43" t="s">
        <v>283</v>
      </c>
      <c r="C355" s="45" t="s">
        <v>32</v>
      </c>
      <c r="D355" s="46" t="s">
        <v>4</v>
      </c>
      <c r="E355" s="44">
        <v>0.26</v>
      </c>
      <c r="F355" s="31">
        <f>TRUNC(21.13,2)</f>
        <v>21.13</v>
      </c>
      <c r="G355" s="32">
        <f>TRUNC(E355*F355,2)</f>
        <v>5.49</v>
      </c>
      <c r="H355" s="32"/>
      <c r="I355" s="33"/>
      <c r="J355" s="33"/>
      <c r="K355" s="44"/>
    </row>
    <row r="356" spans="1:11" s="34" customFormat="1" ht="15">
      <c r="A356" s="30"/>
      <c r="B356" s="43" t="s">
        <v>322</v>
      </c>
      <c r="C356" s="45" t="s">
        <v>323</v>
      </c>
      <c r="D356" s="46" t="s">
        <v>4</v>
      </c>
      <c r="E356" s="44">
        <v>0.64</v>
      </c>
      <c r="F356" s="31">
        <f>TRUNC(28.16,2)</f>
        <v>28.16</v>
      </c>
      <c r="G356" s="32">
        <f>TRUNC(E356*F356,2)</f>
        <v>18.02</v>
      </c>
      <c r="H356" s="32"/>
      <c r="I356" s="33"/>
      <c r="J356" s="33"/>
      <c r="K356" s="44"/>
    </row>
    <row r="357" spans="1:11" s="34" customFormat="1" ht="15">
      <c r="A357" s="30"/>
      <c r="B357" s="43"/>
      <c r="C357" s="45"/>
      <c r="D357" s="46"/>
      <c r="E357" s="44" t="s">
        <v>5</v>
      </c>
      <c r="F357" s="31"/>
      <c r="G357" s="32">
        <f>TRUNC(SUM(G352:G356),2)</f>
        <v>59.58</v>
      </c>
      <c r="H357" s="32"/>
      <c r="I357" s="33"/>
      <c r="J357" s="33"/>
      <c r="K357" s="44"/>
    </row>
    <row r="358" spans="1:11" s="88" customFormat="1" ht="75">
      <c r="A358" s="80" t="s">
        <v>901</v>
      </c>
      <c r="B358" s="81" t="s">
        <v>332</v>
      </c>
      <c r="C358" s="82" t="s">
        <v>333</v>
      </c>
      <c r="D358" s="83" t="s">
        <v>0</v>
      </c>
      <c r="E358" s="84">
        <v>410.81</v>
      </c>
      <c r="F358" s="85">
        <f>TRUNC(G367,2)</f>
        <v>39.68</v>
      </c>
      <c r="G358" s="86">
        <f>TRUNC(F358*1.2882,2)</f>
        <v>51.11</v>
      </c>
      <c r="H358" s="86">
        <f>TRUNC(F358*E358,2)</f>
        <v>16300.94</v>
      </c>
      <c r="I358" s="87">
        <f>TRUNC(E358*G358,2)</f>
        <v>20996.49</v>
      </c>
      <c r="J358" s="87"/>
      <c r="K358" s="84"/>
    </row>
    <row r="359" spans="1:11" s="34" customFormat="1" ht="30">
      <c r="A359" s="30"/>
      <c r="B359" s="43" t="s">
        <v>26</v>
      </c>
      <c r="C359" s="45" t="s">
        <v>27</v>
      </c>
      <c r="D359" s="46" t="s">
        <v>4</v>
      </c>
      <c r="E359" s="44">
        <v>0.13390000000000002</v>
      </c>
      <c r="F359" s="31">
        <f>TRUNC(14.34,2)</f>
        <v>14.34</v>
      </c>
      <c r="G359" s="32">
        <f aca="true" t="shared" si="20" ref="G359:G366">TRUNC(E359*F359,2)</f>
        <v>1.92</v>
      </c>
      <c r="H359" s="32"/>
      <c r="I359" s="33"/>
      <c r="J359" s="33"/>
      <c r="K359" s="44"/>
    </row>
    <row r="360" spans="1:11" s="34" customFormat="1" ht="15">
      <c r="A360" s="30"/>
      <c r="B360" s="43" t="s">
        <v>239</v>
      </c>
      <c r="C360" s="45" t="s">
        <v>240</v>
      </c>
      <c r="D360" s="46" t="s">
        <v>4</v>
      </c>
      <c r="E360" s="44">
        <v>0.20600000000000002</v>
      </c>
      <c r="F360" s="31">
        <f>TRUNC(19.81,2)</f>
        <v>19.81</v>
      </c>
      <c r="G360" s="32">
        <f t="shared" si="20"/>
        <v>4.08</v>
      </c>
      <c r="H360" s="32"/>
      <c r="I360" s="33"/>
      <c r="J360" s="33"/>
      <c r="K360" s="44"/>
    </row>
    <row r="361" spans="1:11" s="34" customFormat="1" ht="30">
      <c r="A361" s="30"/>
      <c r="B361" s="43" t="s">
        <v>334</v>
      </c>
      <c r="C361" s="45" t="s">
        <v>335</v>
      </c>
      <c r="D361" s="46" t="s">
        <v>4</v>
      </c>
      <c r="E361" s="44">
        <v>0.20600000000000002</v>
      </c>
      <c r="F361" s="31">
        <f>TRUNC(19.81,2)</f>
        <v>19.81</v>
      </c>
      <c r="G361" s="32">
        <f t="shared" si="20"/>
        <v>4.08</v>
      </c>
      <c r="H361" s="32"/>
      <c r="I361" s="33"/>
      <c r="J361" s="33"/>
      <c r="K361" s="44"/>
    </row>
    <row r="362" spans="1:11" s="34" customFormat="1" ht="15">
      <c r="A362" s="30"/>
      <c r="B362" s="43" t="s">
        <v>336</v>
      </c>
      <c r="C362" s="45" t="s">
        <v>337</v>
      </c>
      <c r="D362" s="46" t="s">
        <v>2</v>
      </c>
      <c r="E362" s="44">
        <v>0.7</v>
      </c>
      <c r="F362" s="31">
        <f>TRUNC(1.4867,2)</f>
        <v>1.48</v>
      </c>
      <c r="G362" s="32">
        <f t="shared" si="20"/>
        <v>1.03</v>
      </c>
      <c r="H362" s="32"/>
      <c r="I362" s="33"/>
      <c r="J362" s="33"/>
      <c r="K362" s="44"/>
    </row>
    <row r="363" spans="1:11" s="34" customFormat="1" ht="15">
      <c r="A363" s="30"/>
      <c r="B363" s="43" t="s">
        <v>338</v>
      </c>
      <c r="C363" s="45" t="s">
        <v>339</v>
      </c>
      <c r="D363" s="46" t="s">
        <v>3</v>
      </c>
      <c r="E363" s="44">
        <v>0.95</v>
      </c>
      <c r="F363" s="31">
        <f>TRUNC(8.8745,2)</f>
        <v>8.87</v>
      </c>
      <c r="G363" s="32">
        <f t="shared" si="20"/>
        <v>8.42</v>
      </c>
      <c r="H363" s="32"/>
      <c r="I363" s="33"/>
      <c r="J363" s="33"/>
      <c r="K363" s="44"/>
    </row>
    <row r="364" spans="1:11" s="34" customFormat="1" ht="15">
      <c r="A364" s="30"/>
      <c r="B364" s="43" t="s">
        <v>340</v>
      </c>
      <c r="C364" s="45" t="s">
        <v>341</v>
      </c>
      <c r="D364" s="46" t="s">
        <v>1</v>
      </c>
      <c r="E364" s="44">
        <v>0.05</v>
      </c>
      <c r="F364" s="31">
        <f>TRUNC(88.3537,2)</f>
        <v>88.35</v>
      </c>
      <c r="G364" s="32">
        <f t="shared" si="20"/>
        <v>4.41</v>
      </c>
      <c r="H364" s="32"/>
      <c r="I364" s="33"/>
      <c r="J364" s="33"/>
      <c r="K364" s="44"/>
    </row>
    <row r="365" spans="1:11" s="34" customFormat="1" ht="15">
      <c r="A365" s="30"/>
      <c r="B365" s="43" t="s">
        <v>342</v>
      </c>
      <c r="C365" s="45" t="s">
        <v>343</v>
      </c>
      <c r="D365" s="46" t="s">
        <v>1</v>
      </c>
      <c r="E365" s="44">
        <v>0.05</v>
      </c>
      <c r="F365" s="31">
        <f>TRUNC(56.0006,2)</f>
        <v>56</v>
      </c>
      <c r="G365" s="32">
        <f t="shared" si="20"/>
        <v>2.8</v>
      </c>
      <c r="H365" s="32"/>
      <c r="I365" s="33"/>
      <c r="J365" s="33"/>
      <c r="K365" s="44"/>
    </row>
    <row r="366" spans="1:11" s="34" customFormat="1" ht="15">
      <c r="A366" s="30"/>
      <c r="B366" s="43" t="s">
        <v>213</v>
      </c>
      <c r="C366" s="45" t="s">
        <v>214</v>
      </c>
      <c r="D366" s="46" t="s">
        <v>1</v>
      </c>
      <c r="E366" s="44">
        <v>0.05</v>
      </c>
      <c r="F366" s="31">
        <f>TRUNC(258.9348,2)</f>
        <v>258.93</v>
      </c>
      <c r="G366" s="32">
        <f t="shared" si="20"/>
        <v>12.94</v>
      </c>
      <c r="H366" s="32"/>
      <c r="I366" s="33"/>
      <c r="J366" s="33"/>
      <c r="K366" s="44"/>
    </row>
    <row r="367" spans="1:11" s="34" customFormat="1" ht="15">
      <c r="A367" s="30"/>
      <c r="B367" s="43"/>
      <c r="C367" s="45"/>
      <c r="D367" s="46"/>
      <c r="E367" s="44" t="s">
        <v>5</v>
      </c>
      <c r="F367" s="31"/>
      <c r="G367" s="32">
        <f>TRUNC(SUM(G359:G366),2)</f>
        <v>39.68</v>
      </c>
      <c r="H367" s="32"/>
      <c r="I367" s="33"/>
      <c r="J367" s="33"/>
      <c r="K367" s="44"/>
    </row>
    <row r="368" spans="1:11" s="88" customFormat="1" ht="75">
      <c r="A368" s="80" t="s">
        <v>902</v>
      </c>
      <c r="B368" s="81" t="s">
        <v>344</v>
      </c>
      <c r="C368" s="82" t="s">
        <v>345</v>
      </c>
      <c r="D368" s="83" t="s">
        <v>0</v>
      </c>
      <c r="E368" s="84">
        <v>406.17</v>
      </c>
      <c r="F368" s="85">
        <f>TRUNC(G374,2)</f>
        <v>67.12</v>
      </c>
      <c r="G368" s="86">
        <f>TRUNC(F368*1.2882,2)</f>
        <v>86.46</v>
      </c>
      <c r="H368" s="86">
        <f>TRUNC(F368*E368,2)</f>
        <v>27262.13</v>
      </c>
      <c r="I368" s="87">
        <f>TRUNC(E368*G368,2)</f>
        <v>35117.45</v>
      </c>
      <c r="J368" s="87"/>
      <c r="K368" s="84"/>
    </row>
    <row r="369" spans="1:11" s="34" customFormat="1" ht="15">
      <c r="A369" s="30"/>
      <c r="B369" s="43" t="s">
        <v>346</v>
      </c>
      <c r="C369" s="45" t="s">
        <v>347</v>
      </c>
      <c r="D369" s="46" t="s">
        <v>3</v>
      </c>
      <c r="E369" s="44">
        <v>15</v>
      </c>
      <c r="F369" s="31">
        <f>TRUNC(1.13,2)</f>
        <v>1.13</v>
      </c>
      <c r="G369" s="32">
        <f>TRUNC(E369*F369,2)</f>
        <v>16.95</v>
      </c>
      <c r="H369" s="32"/>
      <c r="I369" s="33"/>
      <c r="J369" s="33"/>
      <c r="K369" s="44"/>
    </row>
    <row r="370" spans="1:11" s="34" customFormat="1" ht="15">
      <c r="A370" s="30"/>
      <c r="B370" s="43" t="s">
        <v>348</v>
      </c>
      <c r="C370" s="45" t="s">
        <v>349</v>
      </c>
      <c r="D370" s="46" t="s">
        <v>3</v>
      </c>
      <c r="E370" s="44">
        <v>25.8</v>
      </c>
      <c r="F370" s="31">
        <f>TRUNC(0.47,2)</f>
        <v>0.47</v>
      </c>
      <c r="G370" s="32">
        <f>TRUNC(E370*F370,2)</f>
        <v>12.12</v>
      </c>
      <c r="H370" s="32"/>
      <c r="I370" s="33"/>
      <c r="J370" s="33"/>
      <c r="K370" s="44"/>
    </row>
    <row r="371" spans="1:11" s="34" customFormat="1" ht="15">
      <c r="A371" s="30"/>
      <c r="B371" s="43" t="s">
        <v>350</v>
      </c>
      <c r="C371" s="45" t="s">
        <v>351</v>
      </c>
      <c r="D371" s="46" t="s">
        <v>1</v>
      </c>
      <c r="E371" s="44">
        <v>0.044</v>
      </c>
      <c r="F371" s="31">
        <f>TRUNC(80,2)</f>
        <v>80</v>
      </c>
      <c r="G371" s="32">
        <f>TRUNC(E371*F371,2)</f>
        <v>3.52</v>
      </c>
      <c r="H371" s="32"/>
      <c r="I371" s="33"/>
      <c r="J371" s="33"/>
      <c r="K371" s="44"/>
    </row>
    <row r="372" spans="1:11" s="34" customFormat="1" ht="30">
      <c r="A372" s="30"/>
      <c r="B372" s="43" t="s">
        <v>26</v>
      </c>
      <c r="C372" s="45" t="s">
        <v>27</v>
      </c>
      <c r="D372" s="46" t="s">
        <v>4</v>
      </c>
      <c r="E372" s="44">
        <v>0.7725</v>
      </c>
      <c r="F372" s="31">
        <f>TRUNC(14.34,2)</f>
        <v>14.34</v>
      </c>
      <c r="G372" s="32">
        <f>TRUNC(E372*F372,2)</f>
        <v>11.07</v>
      </c>
      <c r="H372" s="32"/>
      <c r="I372" s="33"/>
      <c r="J372" s="33"/>
      <c r="K372" s="44"/>
    </row>
    <row r="373" spans="1:11" s="34" customFormat="1" ht="30">
      <c r="A373" s="30"/>
      <c r="B373" s="43" t="s">
        <v>352</v>
      </c>
      <c r="C373" s="45" t="s">
        <v>353</v>
      </c>
      <c r="D373" s="46" t="s">
        <v>4</v>
      </c>
      <c r="E373" s="44">
        <v>1.1844999999999999</v>
      </c>
      <c r="F373" s="31">
        <f>TRUNC(19.81,2)</f>
        <v>19.81</v>
      </c>
      <c r="G373" s="32">
        <f>TRUNC(E373*F373,2)</f>
        <v>23.46</v>
      </c>
      <c r="H373" s="32"/>
      <c r="I373" s="33"/>
      <c r="J373" s="33"/>
      <c r="K373" s="44"/>
    </row>
    <row r="374" spans="1:11" s="34" customFormat="1" ht="15">
      <c r="A374" s="30"/>
      <c r="B374" s="43"/>
      <c r="C374" s="45"/>
      <c r="D374" s="46"/>
      <c r="E374" s="44" t="s">
        <v>5</v>
      </c>
      <c r="F374" s="31"/>
      <c r="G374" s="32">
        <f>TRUNC(SUM(G369:G373),2)</f>
        <v>67.12</v>
      </c>
      <c r="H374" s="32"/>
      <c r="I374" s="33"/>
      <c r="J374" s="33"/>
      <c r="K374" s="44"/>
    </row>
    <row r="375" spans="1:11" s="88" customFormat="1" ht="45">
      <c r="A375" s="80" t="s">
        <v>903</v>
      </c>
      <c r="B375" s="81" t="s">
        <v>354</v>
      </c>
      <c r="C375" s="82" t="s">
        <v>355</v>
      </c>
      <c r="D375" s="83" t="s">
        <v>0</v>
      </c>
      <c r="E375" s="84">
        <v>406.17</v>
      </c>
      <c r="F375" s="85">
        <f>TRUNC(G384,2)</f>
        <v>10.57</v>
      </c>
      <c r="G375" s="86">
        <f>TRUNC(F375*1.2882,2)</f>
        <v>13.61</v>
      </c>
      <c r="H375" s="86">
        <f>TRUNC(F375*E375,2)</f>
        <v>4293.21</v>
      </c>
      <c r="I375" s="87">
        <f>TRUNC(E375*G375,2)</f>
        <v>5527.97</v>
      </c>
      <c r="J375" s="87"/>
      <c r="K375" s="84"/>
    </row>
    <row r="376" spans="1:11" s="34" customFormat="1" ht="15">
      <c r="A376" s="30"/>
      <c r="B376" s="43" t="s">
        <v>356</v>
      </c>
      <c r="C376" s="45" t="s">
        <v>357</v>
      </c>
      <c r="D376" s="46" t="s">
        <v>253</v>
      </c>
      <c r="E376" s="44">
        <v>0.03</v>
      </c>
      <c r="F376" s="31">
        <f>TRUNC(7.13,2)</f>
        <v>7.13</v>
      </c>
      <c r="G376" s="32">
        <f aca="true" t="shared" si="21" ref="G376:G383">TRUNC(E376*F376,2)</f>
        <v>0.21</v>
      </c>
      <c r="H376" s="32"/>
      <c r="I376" s="33"/>
      <c r="J376" s="33"/>
      <c r="K376" s="44"/>
    </row>
    <row r="377" spans="1:11" s="34" customFormat="1" ht="15">
      <c r="A377" s="30"/>
      <c r="B377" s="43" t="s">
        <v>348</v>
      </c>
      <c r="C377" s="45" t="s">
        <v>349</v>
      </c>
      <c r="D377" s="46" t="s">
        <v>3</v>
      </c>
      <c r="E377" s="44">
        <v>0.5</v>
      </c>
      <c r="F377" s="31">
        <f>TRUNC(0.47,2)</f>
        <v>0.47</v>
      </c>
      <c r="G377" s="32">
        <f t="shared" si="21"/>
        <v>0.23</v>
      </c>
      <c r="H377" s="32"/>
      <c r="I377" s="33"/>
      <c r="J377" s="33"/>
      <c r="K377" s="44"/>
    </row>
    <row r="378" spans="1:11" s="34" customFormat="1" ht="30">
      <c r="A378" s="30"/>
      <c r="B378" s="43" t="s">
        <v>26</v>
      </c>
      <c r="C378" s="45" t="s">
        <v>27</v>
      </c>
      <c r="D378" s="46" t="s">
        <v>4</v>
      </c>
      <c r="E378" s="44">
        <v>0.16068000000000002</v>
      </c>
      <c r="F378" s="31">
        <f>TRUNC(14.34,2)</f>
        <v>14.34</v>
      </c>
      <c r="G378" s="32">
        <f t="shared" si="21"/>
        <v>2.3</v>
      </c>
      <c r="H378" s="32"/>
      <c r="I378" s="33"/>
      <c r="J378" s="33"/>
      <c r="K378" s="44"/>
    </row>
    <row r="379" spans="1:11" s="34" customFormat="1" ht="15">
      <c r="A379" s="30"/>
      <c r="B379" s="43" t="s">
        <v>239</v>
      </c>
      <c r="C379" s="45" t="s">
        <v>240</v>
      </c>
      <c r="D379" s="46" t="s">
        <v>4</v>
      </c>
      <c r="E379" s="44">
        <v>0.16068000000000002</v>
      </c>
      <c r="F379" s="31">
        <f>TRUNC(19.81,2)</f>
        <v>19.81</v>
      </c>
      <c r="G379" s="32">
        <f t="shared" si="21"/>
        <v>3.18</v>
      </c>
      <c r="H379" s="32"/>
      <c r="I379" s="33"/>
      <c r="J379" s="33"/>
      <c r="K379" s="44"/>
    </row>
    <row r="380" spans="1:11" s="34" customFormat="1" ht="15">
      <c r="A380" s="30"/>
      <c r="B380" s="43" t="s">
        <v>358</v>
      </c>
      <c r="C380" s="45" t="s">
        <v>359</v>
      </c>
      <c r="D380" s="46" t="s">
        <v>10</v>
      </c>
      <c r="E380" s="44">
        <v>0.08</v>
      </c>
      <c r="F380" s="31">
        <f>TRUNC(22.4,2)</f>
        <v>22.4</v>
      </c>
      <c r="G380" s="32">
        <f t="shared" si="21"/>
        <v>1.79</v>
      </c>
      <c r="H380" s="32"/>
      <c r="I380" s="33"/>
      <c r="J380" s="33"/>
      <c r="K380" s="44"/>
    </row>
    <row r="381" spans="1:11" s="34" customFormat="1" ht="15">
      <c r="A381" s="30"/>
      <c r="B381" s="43" t="s">
        <v>360</v>
      </c>
      <c r="C381" s="45" t="s">
        <v>361</v>
      </c>
      <c r="D381" s="46" t="s">
        <v>10</v>
      </c>
      <c r="E381" s="44">
        <v>0.08</v>
      </c>
      <c r="F381" s="31">
        <f>TRUNC(22.4,2)</f>
        <v>22.4</v>
      </c>
      <c r="G381" s="32">
        <f t="shared" si="21"/>
        <v>1.79</v>
      </c>
      <c r="H381" s="32"/>
      <c r="I381" s="33"/>
      <c r="J381" s="33"/>
      <c r="K381" s="44"/>
    </row>
    <row r="382" spans="1:11" s="34" customFormat="1" ht="15">
      <c r="A382" s="30"/>
      <c r="B382" s="43" t="s">
        <v>362</v>
      </c>
      <c r="C382" s="45" t="s">
        <v>363</v>
      </c>
      <c r="D382" s="46" t="s">
        <v>4</v>
      </c>
      <c r="E382" s="44">
        <v>0.312</v>
      </c>
      <c r="F382" s="31">
        <f>TRUNC(1.03,2)</f>
        <v>1.03</v>
      </c>
      <c r="G382" s="32">
        <f t="shared" si="21"/>
        <v>0.32</v>
      </c>
      <c r="H382" s="32"/>
      <c r="I382" s="33"/>
      <c r="J382" s="33"/>
      <c r="K382" s="44"/>
    </row>
    <row r="383" spans="1:11" s="34" customFormat="1" ht="15">
      <c r="A383" s="30"/>
      <c r="B383" s="43" t="s">
        <v>364</v>
      </c>
      <c r="C383" s="45" t="s">
        <v>365</v>
      </c>
      <c r="D383" s="46" t="s">
        <v>4</v>
      </c>
      <c r="E383" s="44">
        <v>0.156</v>
      </c>
      <c r="F383" s="31">
        <f>TRUNC(4.8273,2)</f>
        <v>4.82</v>
      </c>
      <c r="G383" s="32">
        <f t="shared" si="21"/>
        <v>0.75</v>
      </c>
      <c r="H383" s="32"/>
      <c r="I383" s="33"/>
      <c r="J383" s="33"/>
      <c r="K383" s="44"/>
    </row>
    <row r="384" spans="1:11" s="34" customFormat="1" ht="15">
      <c r="A384" s="30"/>
      <c r="B384" s="43"/>
      <c r="C384" s="45"/>
      <c r="D384" s="46"/>
      <c r="E384" s="44" t="s">
        <v>5</v>
      </c>
      <c r="F384" s="31"/>
      <c r="G384" s="32">
        <f>TRUNC(SUM(G376:G383),2)</f>
        <v>10.57</v>
      </c>
      <c r="H384" s="32"/>
      <c r="I384" s="33"/>
      <c r="J384" s="33"/>
      <c r="K384" s="44"/>
    </row>
    <row r="385" spans="1:11" s="88" customFormat="1" ht="45">
      <c r="A385" s="80" t="s">
        <v>904</v>
      </c>
      <c r="B385" s="81" t="s">
        <v>366</v>
      </c>
      <c r="C385" s="82" t="s">
        <v>367</v>
      </c>
      <c r="D385" s="83" t="s">
        <v>0</v>
      </c>
      <c r="E385" s="84">
        <v>189.45</v>
      </c>
      <c r="F385" s="85">
        <f>TRUNC(G389,2)</f>
        <v>30.27</v>
      </c>
      <c r="G385" s="86">
        <f>TRUNC(F385*1.2882,2)</f>
        <v>38.99</v>
      </c>
      <c r="H385" s="86">
        <f>TRUNC(F385*E385,2)</f>
        <v>5734.65</v>
      </c>
      <c r="I385" s="87">
        <f>TRUNC(E385*G385,2)</f>
        <v>7386.65</v>
      </c>
      <c r="J385" s="87"/>
      <c r="K385" s="84"/>
    </row>
    <row r="386" spans="1:11" s="34" customFormat="1" ht="30">
      <c r="A386" s="30"/>
      <c r="B386" s="43" t="s">
        <v>26</v>
      </c>
      <c r="C386" s="45" t="s">
        <v>27</v>
      </c>
      <c r="D386" s="46" t="s">
        <v>4</v>
      </c>
      <c r="E386" s="44">
        <v>0.7107</v>
      </c>
      <c r="F386" s="31">
        <f>TRUNC(14.34,2)</f>
        <v>14.34</v>
      </c>
      <c r="G386" s="32">
        <f>TRUNC(E386*F386,2)</f>
        <v>10.19</v>
      </c>
      <c r="H386" s="32"/>
      <c r="I386" s="33"/>
      <c r="J386" s="33"/>
      <c r="K386" s="44"/>
    </row>
    <row r="387" spans="1:11" s="34" customFormat="1" ht="15">
      <c r="A387" s="30"/>
      <c r="B387" s="43" t="s">
        <v>239</v>
      </c>
      <c r="C387" s="45" t="s">
        <v>240</v>
      </c>
      <c r="D387" s="46" t="s">
        <v>4</v>
      </c>
      <c r="E387" s="44">
        <v>0.7416</v>
      </c>
      <c r="F387" s="31">
        <f>TRUNC(19.81,2)</f>
        <v>19.81</v>
      </c>
      <c r="G387" s="32">
        <f>TRUNC(E387*F387,2)</f>
        <v>14.69</v>
      </c>
      <c r="H387" s="32"/>
      <c r="I387" s="33"/>
      <c r="J387" s="33"/>
      <c r="K387" s="44"/>
    </row>
    <row r="388" spans="1:11" s="34" customFormat="1" ht="15">
      <c r="A388" s="30"/>
      <c r="B388" s="43" t="s">
        <v>243</v>
      </c>
      <c r="C388" s="45" t="s">
        <v>244</v>
      </c>
      <c r="D388" s="46" t="s">
        <v>1</v>
      </c>
      <c r="E388" s="44">
        <v>0.015</v>
      </c>
      <c r="F388" s="31">
        <f>TRUNC(359.9466,2)</f>
        <v>359.94</v>
      </c>
      <c r="G388" s="32">
        <f>TRUNC(E388*F388,2)</f>
        <v>5.39</v>
      </c>
      <c r="H388" s="32"/>
      <c r="I388" s="33"/>
      <c r="J388" s="33"/>
      <c r="K388" s="44"/>
    </row>
    <row r="389" spans="1:11" s="34" customFormat="1" ht="15">
      <c r="A389" s="30"/>
      <c r="B389" s="43"/>
      <c r="C389" s="45"/>
      <c r="D389" s="46"/>
      <c r="E389" s="44" t="s">
        <v>5</v>
      </c>
      <c r="F389" s="31"/>
      <c r="G389" s="32">
        <f>TRUNC(SUM(G386:G388),2)</f>
        <v>30.27</v>
      </c>
      <c r="H389" s="32"/>
      <c r="I389" s="33"/>
      <c r="J389" s="33"/>
      <c r="K389" s="44"/>
    </row>
    <row r="390" spans="1:11" s="88" customFormat="1" ht="60">
      <c r="A390" s="80" t="s">
        <v>905</v>
      </c>
      <c r="B390" s="81" t="s">
        <v>368</v>
      </c>
      <c r="C390" s="82" t="s">
        <v>369</v>
      </c>
      <c r="D390" s="83" t="s">
        <v>2</v>
      </c>
      <c r="E390" s="84">
        <v>19.2</v>
      </c>
      <c r="F390" s="85">
        <f>TRUNC(59.73670516,2)</f>
        <v>59.73</v>
      </c>
      <c r="G390" s="86">
        <f>TRUNC(F390*1.2882,2)</f>
        <v>76.94</v>
      </c>
      <c r="H390" s="86">
        <f>TRUNC(F390*E390,2)</f>
        <v>1146.81</v>
      </c>
      <c r="I390" s="87">
        <f>TRUNC(E390*G390,2)</f>
        <v>1477.24</v>
      </c>
      <c r="J390" s="87"/>
      <c r="K390" s="84"/>
    </row>
    <row r="391" spans="1:11" s="34" customFormat="1" ht="15">
      <c r="A391" s="30"/>
      <c r="B391" s="43" t="s">
        <v>370</v>
      </c>
      <c r="C391" s="45" t="s">
        <v>371</v>
      </c>
      <c r="D391" s="46" t="s">
        <v>2</v>
      </c>
      <c r="E391" s="44">
        <v>1.05</v>
      </c>
      <c r="F391" s="31">
        <v>40.17</v>
      </c>
      <c r="G391" s="32">
        <f aca="true" t="shared" si="22" ref="G391:G396">TRUNC(E391*F391,2)</f>
        <v>42.17</v>
      </c>
      <c r="H391" s="32"/>
      <c r="I391" s="33"/>
      <c r="J391" s="33"/>
      <c r="K391" s="44"/>
    </row>
    <row r="392" spans="1:11" s="34" customFormat="1" ht="15">
      <c r="A392" s="30"/>
      <c r="B392" s="43" t="s">
        <v>372</v>
      </c>
      <c r="C392" s="45" t="s">
        <v>373</v>
      </c>
      <c r="D392" s="46" t="s">
        <v>3</v>
      </c>
      <c r="E392" s="44">
        <v>0.00275</v>
      </c>
      <c r="F392" s="31">
        <f>TRUNC(32.88,2)</f>
        <v>32.88</v>
      </c>
      <c r="G392" s="32">
        <f t="shared" si="22"/>
        <v>0.09</v>
      </c>
      <c r="H392" s="32"/>
      <c r="I392" s="33"/>
      <c r="J392" s="33"/>
      <c r="K392" s="44"/>
    </row>
    <row r="393" spans="1:11" s="34" customFormat="1" ht="15">
      <c r="A393" s="30"/>
      <c r="B393" s="43" t="s">
        <v>374</v>
      </c>
      <c r="C393" s="45" t="s">
        <v>375</v>
      </c>
      <c r="D393" s="46" t="s">
        <v>3</v>
      </c>
      <c r="E393" s="44">
        <v>0.58</v>
      </c>
      <c r="F393" s="31">
        <f>TRUNC(1.4,2)</f>
        <v>1.4</v>
      </c>
      <c r="G393" s="32">
        <f t="shared" si="22"/>
        <v>0.81</v>
      </c>
      <c r="H393" s="32"/>
      <c r="I393" s="33"/>
      <c r="J393" s="33"/>
      <c r="K393" s="44"/>
    </row>
    <row r="394" spans="1:11" s="34" customFormat="1" ht="30">
      <c r="A394" s="30"/>
      <c r="B394" s="43" t="s">
        <v>26</v>
      </c>
      <c r="C394" s="45" t="s">
        <v>27</v>
      </c>
      <c r="D394" s="46" t="s">
        <v>4</v>
      </c>
      <c r="E394" s="44">
        <v>0.4635</v>
      </c>
      <c r="F394" s="31">
        <f>TRUNC(14.34,2)</f>
        <v>14.34</v>
      </c>
      <c r="G394" s="32">
        <f t="shared" si="22"/>
        <v>6.64</v>
      </c>
      <c r="H394" s="32"/>
      <c r="I394" s="33"/>
      <c r="J394" s="33"/>
      <c r="K394" s="44"/>
    </row>
    <row r="395" spans="1:11" s="34" customFormat="1" ht="30">
      <c r="A395" s="30"/>
      <c r="B395" s="43" t="s">
        <v>352</v>
      </c>
      <c r="C395" s="45" t="s">
        <v>353</v>
      </c>
      <c r="D395" s="46" t="s">
        <v>4</v>
      </c>
      <c r="E395" s="44">
        <v>0.41200000000000003</v>
      </c>
      <c r="F395" s="31">
        <f>TRUNC(19.81,2)</f>
        <v>19.81</v>
      </c>
      <c r="G395" s="32">
        <f t="shared" si="22"/>
        <v>8.16</v>
      </c>
      <c r="H395" s="32"/>
      <c r="I395" s="33"/>
      <c r="J395" s="33"/>
      <c r="K395" s="44"/>
    </row>
    <row r="396" spans="1:11" s="34" customFormat="1" ht="15">
      <c r="A396" s="30"/>
      <c r="B396" s="43" t="s">
        <v>376</v>
      </c>
      <c r="C396" s="45" t="s">
        <v>377</v>
      </c>
      <c r="D396" s="46" t="s">
        <v>1</v>
      </c>
      <c r="E396" s="44">
        <v>0.0058</v>
      </c>
      <c r="F396" s="31">
        <f>TRUNC(318.5302,2)</f>
        <v>318.53</v>
      </c>
      <c r="G396" s="32">
        <f t="shared" si="22"/>
        <v>1.84</v>
      </c>
      <c r="H396" s="32"/>
      <c r="I396" s="33"/>
      <c r="J396" s="33"/>
      <c r="K396" s="44"/>
    </row>
    <row r="397" spans="1:11" s="34" customFormat="1" ht="15">
      <c r="A397" s="30"/>
      <c r="B397" s="43"/>
      <c r="C397" s="45"/>
      <c r="D397" s="46"/>
      <c r="E397" s="44" t="s">
        <v>5</v>
      </c>
      <c r="F397" s="31"/>
      <c r="G397" s="32">
        <f>TRUNC(SUM(G391:G396),2)</f>
        <v>59.71</v>
      </c>
      <c r="H397" s="32"/>
      <c r="I397" s="33"/>
      <c r="J397" s="33"/>
      <c r="K397" s="44"/>
    </row>
    <row r="398" spans="1:11" s="88" customFormat="1" ht="60">
      <c r="A398" s="80" t="s">
        <v>906</v>
      </c>
      <c r="B398" s="81" t="s">
        <v>821</v>
      </c>
      <c r="C398" s="82" t="s">
        <v>822</v>
      </c>
      <c r="D398" s="83" t="s">
        <v>2</v>
      </c>
      <c r="E398" s="84">
        <v>4.07</v>
      </c>
      <c r="F398" s="85">
        <f>TRUNC(59.73670516,2)</f>
        <v>59.73</v>
      </c>
      <c r="G398" s="86">
        <f>TRUNC(F398*1.2882,2)</f>
        <v>76.94</v>
      </c>
      <c r="H398" s="86">
        <f>TRUNC(F398*E398,2)</f>
        <v>243.1</v>
      </c>
      <c r="I398" s="87">
        <f>TRUNC(E398*G398,2)</f>
        <v>313.14</v>
      </c>
      <c r="J398" s="87"/>
      <c r="K398" s="84"/>
    </row>
    <row r="399" spans="1:11" s="58" customFormat="1" ht="15">
      <c r="A399" s="54"/>
      <c r="B399" s="52" t="s">
        <v>370</v>
      </c>
      <c r="C399" s="55" t="s">
        <v>1911</v>
      </c>
      <c r="D399" s="56" t="s">
        <v>2</v>
      </c>
      <c r="E399" s="57">
        <v>1.05</v>
      </c>
      <c r="F399" s="53">
        <v>45.52</v>
      </c>
      <c r="G399" s="50">
        <f aca="true" t="shared" si="23" ref="G399:G404">TRUNC(E399*F399,2)</f>
        <v>47.79</v>
      </c>
      <c r="H399" s="50"/>
      <c r="I399" s="51"/>
      <c r="J399" s="51"/>
      <c r="K399" s="57"/>
    </row>
    <row r="400" spans="1:11" s="34" customFormat="1" ht="15">
      <c r="A400" s="30"/>
      <c r="B400" s="43" t="s">
        <v>372</v>
      </c>
      <c r="C400" s="45" t="s">
        <v>373</v>
      </c>
      <c r="D400" s="46" t="s">
        <v>3</v>
      </c>
      <c r="E400" s="44">
        <v>0.00275</v>
      </c>
      <c r="F400" s="31">
        <f>TRUNC(32.88,2)</f>
        <v>32.88</v>
      </c>
      <c r="G400" s="32">
        <f t="shared" si="23"/>
        <v>0.09</v>
      </c>
      <c r="H400" s="32"/>
      <c r="I400" s="33"/>
      <c r="J400" s="33"/>
      <c r="K400" s="44"/>
    </row>
    <row r="401" spans="1:11" s="34" customFormat="1" ht="15">
      <c r="A401" s="30"/>
      <c r="B401" s="43" t="s">
        <v>374</v>
      </c>
      <c r="C401" s="45" t="s">
        <v>375</v>
      </c>
      <c r="D401" s="46" t="s">
        <v>3</v>
      </c>
      <c r="E401" s="44">
        <v>0.58</v>
      </c>
      <c r="F401" s="31">
        <f>TRUNC(1.4,2)</f>
        <v>1.4</v>
      </c>
      <c r="G401" s="32">
        <f t="shared" si="23"/>
        <v>0.81</v>
      </c>
      <c r="H401" s="32"/>
      <c r="I401" s="33"/>
      <c r="J401" s="33"/>
      <c r="K401" s="44"/>
    </row>
    <row r="402" spans="1:11" s="34" customFormat="1" ht="30">
      <c r="A402" s="30"/>
      <c r="B402" s="43" t="s">
        <v>26</v>
      </c>
      <c r="C402" s="45" t="s">
        <v>27</v>
      </c>
      <c r="D402" s="46" t="s">
        <v>4</v>
      </c>
      <c r="E402" s="44">
        <v>0.4635</v>
      </c>
      <c r="F402" s="31">
        <f>TRUNC(14.34,2)</f>
        <v>14.34</v>
      </c>
      <c r="G402" s="32">
        <f t="shared" si="23"/>
        <v>6.64</v>
      </c>
      <c r="H402" s="32"/>
      <c r="I402" s="33"/>
      <c r="J402" s="33"/>
      <c r="K402" s="44"/>
    </row>
    <row r="403" spans="1:11" s="34" customFormat="1" ht="30">
      <c r="A403" s="30"/>
      <c r="B403" s="43" t="s">
        <v>352</v>
      </c>
      <c r="C403" s="45" t="s">
        <v>353</v>
      </c>
      <c r="D403" s="46" t="s">
        <v>4</v>
      </c>
      <c r="E403" s="44">
        <v>0.41200000000000003</v>
      </c>
      <c r="F403" s="31">
        <f>TRUNC(19.81,2)</f>
        <v>19.81</v>
      </c>
      <c r="G403" s="32">
        <f t="shared" si="23"/>
        <v>8.16</v>
      </c>
      <c r="H403" s="32"/>
      <c r="I403" s="33"/>
      <c r="J403" s="33"/>
      <c r="K403" s="44"/>
    </row>
    <row r="404" spans="1:11" s="34" customFormat="1" ht="15">
      <c r="A404" s="30"/>
      <c r="B404" s="43" t="s">
        <v>376</v>
      </c>
      <c r="C404" s="45" t="s">
        <v>377</v>
      </c>
      <c r="D404" s="46" t="s">
        <v>1</v>
      </c>
      <c r="E404" s="44">
        <v>0.0058</v>
      </c>
      <c r="F404" s="31">
        <f>TRUNC(318.5302,2)</f>
        <v>318.53</v>
      </c>
      <c r="G404" s="32">
        <f t="shared" si="23"/>
        <v>1.84</v>
      </c>
      <c r="H404" s="32"/>
      <c r="I404" s="33"/>
      <c r="J404" s="33"/>
      <c r="K404" s="44"/>
    </row>
    <row r="405" spans="1:11" s="34" customFormat="1" ht="15">
      <c r="A405" s="30"/>
      <c r="B405" s="43"/>
      <c r="C405" s="45"/>
      <c r="D405" s="46"/>
      <c r="E405" s="44" t="s">
        <v>5</v>
      </c>
      <c r="F405" s="31"/>
      <c r="G405" s="32">
        <f>TRUNC(SUM(G399:G404),2)</f>
        <v>65.33</v>
      </c>
      <c r="H405" s="32"/>
      <c r="I405" s="33"/>
      <c r="J405" s="33"/>
      <c r="K405" s="44"/>
    </row>
    <row r="406" spans="1:11" s="88" customFormat="1" ht="60">
      <c r="A406" s="80" t="s">
        <v>908</v>
      </c>
      <c r="B406" s="81" t="s">
        <v>823</v>
      </c>
      <c r="C406" s="82" t="s">
        <v>824</v>
      </c>
      <c r="D406" s="83" t="s">
        <v>2</v>
      </c>
      <c r="E406" s="84">
        <v>61.2</v>
      </c>
      <c r="F406" s="85">
        <f>TRUNC(72.0599341,2)</f>
        <v>72.05</v>
      </c>
      <c r="G406" s="86">
        <f>TRUNC(F406*1.2882,2)</f>
        <v>92.81</v>
      </c>
      <c r="H406" s="86">
        <f>TRUNC(F406*E406,2)</f>
        <v>4409.46</v>
      </c>
      <c r="I406" s="87">
        <f>TRUNC(E406*G406,2)</f>
        <v>5679.97</v>
      </c>
      <c r="J406" s="87"/>
      <c r="K406" s="84"/>
    </row>
    <row r="407" spans="1:11" s="34" customFormat="1" ht="15">
      <c r="A407" s="30"/>
      <c r="B407" s="43" t="s">
        <v>825</v>
      </c>
      <c r="C407" s="45" t="s">
        <v>826</v>
      </c>
      <c r="D407" s="46" t="s">
        <v>2</v>
      </c>
      <c r="E407" s="44">
        <v>1.05</v>
      </c>
      <c r="F407" s="31">
        <f>TRUNC(49.07,2)</f>
        <v>49.07</v>
      </c>
      <c r="G407" s="32">
        <f aca="true" t="shared" si="24" ref="G407:G412">TRUNC(E407*F407,2)</f>
        <v>51.52</v>
      </c>
      <c r="H407" s="32"/>
      <c r="I407" s="33"/>
      <c r="J407" s="33"/>
      <c r="K407" s="44"/>
    </row>
    <row r="408" spans="1:11" s="34" customFormat="1" ht="15">
      <c r="A408" s="30"/>
      <c r="B408" s="43" t="s">
        <v>374</v>
      </c>
      <c r="C408" s="45" t="s">
        <v>375</v>
      </c>
      <c r="D408" s="46" t="s">
        <v>3</v>
      </c>
      <c r="E408" s="44">
        <v>0.4</v>
      </c>
      <c r="F408" s="31">
        <f>TRUNC(1.4,2)</f>
        <v>1.4</v>
      </c>
      <c r="G408" s="32">
        <f t="shared" si="24"/>
        <v>0.56</v>
      </c>
      <c r="H408" s="32"/>
      <c r="I408" s="33"/>
      <c r="J408" s="33"/>
      <c r="K408" s="44"/>
    </row>
    <row r="409" spans="1:11" s="34" customFormat="1" ht="30">
      <c r="A409" s="30"/>
      <c r="B409" s="43" t="s">
        <v>26</v>
      </c>
      <c r="C409" s="45" t="s">
        <v>27</v>
      </c>
      <c r="D409" s="46" t="s">
        <v>4</v>
      </c>
      <c r="E409" s="44">
        <v>0.5665000000000001</v>
      </c>
      <c r="F409" s="31">
        <f>TRUNC(14.34,2)</f>
        <v>14.34</v>
      </c>
      <c r="G409" s="32">
        <f t="shared" si="24"/>
        <v>8.12</v>
      </c>
      <c r="H409" s="32"/>
      <c r="I409" s="33"/>
      <c r="J409" s="33"/>
      <c r="K409" s="44"/>
    </row>
    <row r="410" spans="1:11" s="34" customFormat="1" ht="30">
      <c r="A410" s="30"/>
      <c r="B410" s="43" t="s">
        <v>352</v>
      </c>
      <c r="C410" s="45" t="s">
        <v>353</v>
      </c>
      <c r="D410" s="46" t="s">
        <v>4</v>
      </c>
      <c r="E410" s="44">
        <v>0.4635</v>
      </c>
      <c r="F410" s="31">
        <f>TRUNC(19.81,2)</f>
        <v>19.81</v>
      </c>
      <c r="G410" s="32">
        <f t="shared" si="24"/>
        <v>9.18</v>
      </c>
      <c r="H410" s="32"/>
      <c r="I410" s="33"/>
      <c r="J410" s="33"/>
      <c r="K410" s="44"/>
    </row>
    <row r="411" spans="1:11" s="34" customFormat="1" ht="15">
      <c r="A411" s="30"/>
      <c r="B411" s="43" t="s">
        <v>381</v>
      </c>
      <c r="C411" s="45" t="s">
        <v>382</v>
      </c>
      <c r="D411" s="46" t="s">
        <v>1</v>
      </c>
      <c r="E411" s="44">
        <v>0.006</v>
      </c>
      <c r="F411" s="31">
        <f>TRUNC(385.1122,2)</f>
        <v>385.11</v>
      </c>
      <c r="G411" s="32">
        <f t="shared" si="24"/>
        <v>2.31</v>
      </c>
      <c r="H411" s="32"/>
      <c r="I411" s="33"/>
      <c r="J411" s="33"/>
      <c r="K411" s="44"/>
    </row>
    <row r="412" spans="1:11" s="34" customFormat="1" ht="15">
      <c r="A412" s="30"/>
      <c r="B412" s="43" t="s">
        <v>383</v>
      </c>
      <c r="C412" s="45" t="s">
        <v>384</v>
      </c>
      <c r="D412" s="46" t="s">
        <v>1</v>
      </c>
      <c r="E412" s="44">
        <v>0.0005</v>
      </c>
      <c r="F412" s="31">
        <f>TRUNC(720.4318,2)</f>
        <v>720.43</v>
      </c>
      <c r="G412" s="32">
        <f t="shared" si="24"/>
        <v>0.36</v>
      </c>
      <c r="H412" s="32"/>
      <c r="I412" s="33"/>
      <c r="J412" s="33"/>
      <c r="K412" s="44"/>
    </row>
    <row r="413" spans="1:11" s="34" customFormat="1" ht="15">
      <c r="A413" s="30"/>
      <c r="B413" s="43"/>
      <c r="C413" s="45"/>
      <c r="D413" s="46"/>
      <c r="E413" s="44" t="s">
        <v>5</v>
      </c>
      <c r="F413" s="31"/>
      <c r="G413" s="32">
        <f>TRUNC(SUM(G407:G412),2)</f>
        <v>72.05</v>
      </c>
      <c r="H413" s="32"/>
      <c r="I413" s="33"/>
      <c r="J413" s="33"/>
      <c r="K413" s="44"/>
    </row>
    <row r="414" spans="1:11" s="88" customFormat="1" ht="60">
      <c r="A414" s="80" t="s">
        <v>909</v>
      </c>
      <c r="B414" s="81" t="s">
        <v>1596</v>
      </c>
      <c r="C414" s="82" t="s">
        <v>1595</v>
      </c>
      <c r="D414" s="83" t="s">
        <v>2</v>
      </c>
      <c r="E414" s="84">
        <v>14.6</v>
      </c>
      <c r="F414" s="85">
        <f>TRUNC(G421,2)</f>
        <v>99.34</v>
      </c>
      <c r="G414" s="86">
        <f>TRUNC(F414*1.2882,2)</f>
        <v>127.96</v>
      </c>
      <c r="H414" s="86">
        <f>TRUNC(F414*E414,2)</f>
        <v>1450.36</v>
      </c>
      <c r="I414" s="87">
        <f>TRUNC(E414*G414,2)</f>
        <v>1868.21</v>
      </c>
      <c r="J414" s="87"/>
      <c r="K414" s="84"/>
    </row>
    <row r="415" spans="1:11" s="58" customFormat="1" ht="15">
      <c r="A415" s="54"/>
      <c r="B415" s="52" t="s">
        <v>379</v>
      </c>
      <c r="C415" s="55" t="s">
        <v>380</v>
      </c>
      <c r="D415" s="56" t="s">
        <v>2</v>
      </c>
      <c r="E415" s="57">
        <v>1.05</v>
      </c>
      <c r="F415" s="53">
        <f>TRUNC(74.98,2)</f>
        <v>74.98</v>
      </c>
      <c r="G415" s="50">
        <f aca="true" t="shared" si="25" ref="G415:G420">TRUNC(E415*F415,2)</f>
        <v>78.72</v>
      </c>
      <c r="H415" s="50"/>
      <c r="I415" s="51"/>
      <c r="J415" s="51"/>
      <c r="K415" s="57"/>
    </row>
    <row r="416" spans="1:11" s="34" customFormat="1" ht="15">
      <c r="A416" s="30"/>
      <c r="B416" s="43" t="s">
        <v>374</v>
      </c>
      <c r="C416" s="45" t="s">
        <v>375</v>
      </c>
      <c r="D416" s="46" t="s">
        <v>3</v>
      </c>
      <c r="E416" s="44">
        <v>1</v>
      </c>
      <c r="F416" s="31">
        <f>TRUNC(1.4,2)</f>
        <v>1.4</v>
      </c>
      <c r="G416" s="32">
        <f t="shared" si="25"/>
        <v>1.4</v>
      </c>
      <c r="H416" s="32"/>
      <c r="I416" s="33"/>
      <c r="J416" s="33"/>
      <c r="K416" s="44"/>
    </row>
    <row r="417" spans="1:11" s="34" customFormat="1" ht="30">
      <c r="A417" s="30"/>
      <c r="B417" s="43" t="s">
        <v>26</v>
      </c>
      <c r="C417" s="45" t="s">
        <v>27</v>
      </c>
      <c r="D417" s="46" t="s">
        <v>4</v>
      </c>
      <c r="E417" s="44">
        <v>0.4635</v>
      </c>
      <c r="F417" s="31">
        <f>TRUNC(14.34,2)</f>
        <v>14.34</v>
      </c>
      <c r="G417" s="32">
        <f t="shared" si="25"/>
        <v>6.64</v>
      </c>
      <c r="H417" s="32"/>
      <c r="I417" s="33"/>
      <c r="J417" s="33"/>
      <c r="K417" s="44"/>
    </row>
    <row r="418" spans="1:11" s="34" customFormat="1" ht="30">
      <c r="A418" s="30"/>
      <c r="B418" s="43" t="s">
        <v>352</v>
      </c>
      <c r="C418" s="45" t="s">
        <v>353</v>
      </c>
      <c r="D418" s="46" t="s">
        <v>4</v>
      </c>
      <c r="E418" s="44">
        <v>0.41200000000000003</v>
      </c>
      <c r="F418" s="31">
        <f>TRUNC(19.81,2)</f>
        <v>19.81</v>
      </c>
      <c r="G418" s="32">
        <f t="shared" si="25"/>
        <v>8.16</v>
      </c>
      <c r="H418" s="32"/>
      <c r="I418" s="33"/>
      <c r="J418" s="33"/>
      <c r="K418" s="44"/>
    </row>
    <row r="419" spans="1:11" s="34" customFormat="1" ht="15">
      <c r="A419" s="30"/>
      <c r="B419" s="43" t="s">
        <v>381</v>
      </c>
      <c r="C419" s="45" t="s">
        <v>382</v>
      </c>
      <c r="D419" s="46" t="s">
        <v>1</v>
      </c>
      <c r="E419" s="44">
        <v>0.01</v>
      </c>
      <c r="F419" s="31">
        <f>TRUNC(385.1122,2)</f>
        <v>385.11</v>
      </c>
      <c r="G419" s="32">
        <f t="shared" si="25"/>
        <v>3.85</v>
      </c>
      <c r="H419" s="32"/>
      <c r="I419" s="33"/>
      <c r="J419" s="33"/>
      <c r="K419" s="44"/>
    </row>
    <row r="420" spans="1:11" s="34" customFormat="1" ht="15">
      <c r="A420" s="30"/>
      <c r="B420" s="43" t="s">
        <v>383</v>
      </c>
      <c r="C420" s="45" t="s">
        <v>384</v>
      </c>
      <c r="D420" s="46" t="s">
        <v>1</v>
      </c>
      <c r="E420" s="44">
        <v>0.0008</v>
      </c>
      <c r="F420" s="31">
        <f>TRUNC(720.4318,2)</f>
        <v>720.43</v>
      </c>
      <c r="G420" s="32">
        <f t="shared" si="25"/>
        <v>0.57</v>
      </c>
      <c r="H420" s="32"/>
      <c r="I420" s="33"/>
      <c r="J420" s="33"/>
      <c r="K420" s="44"/>
    </row>
    <row r="421" spans="1:11" s="34" customFormat="1" ht="15">
      <c r="A421" s="30"/>
      <c r="B421" s="43"/>
      <c r="C421" s="45"/>
      <c r="D421" s="46"/>
      <c r="E421" s="44" t="s">
        <v>5</v>
      </c>
      <c r="F421" s="31"/>
      <c r="G421" s="32">
        <f>TRUNC(SUM(G415:G420),2)</f>
        <v>99.34</v>
      </c>
      <c r="H421" s="32"/>
      <c r="I421" s="33"/>
      <c r="J421" s="33"/>
      <c r="K421" s="44"/>
    </row>
    <row r="422" spans="1:11" s="88" customFormat="1" ht="60">
      <c r="A422" s="80" t="s">
        <v>907</v>
      </c>
      <c r="B422" s="81" t="s">
        <v>592</v>
      </c>
      <c r="C422" s="82" t="s">
        <v>593</v>
      </c>
      <c r="D422" s="83" t="s">
        <v>0</v>
      </c>
      <c r="E422" s="84">
        <v>3.87</v>
      </c>
      <c r="F422" s="85">
        <f>TRUNC(G430,2)</f>
        <v>126.57</v>
      </c>
      <c r="G422" s="86">
        <f>TRUNC(F422*1.2882,2)</f>
        <v>163.04</v>
      </c>
      <c r="H422" s="86">
        <f>TRUNC(F422*E422,2)</f>
        <v>489.82</v>
      </c>
      <c r="I422" s="87">
        <f>TRUNC(E422*G422,2)</f>
        <v>630.96</v>
      </c>
      <c r="J422" s="87"/>
      <c r="K422" s="84"/>
    </row>
    <row r="423" spans="1:11" s="34" customFormat="1" ht="30">
      <c r="A423" s="30"/>
      <c r="B423" s="43" t="s">
        <v>594</v>
      </c>
      <c r="C423" s="45" t="s">
        <v>595</v>
      </c>
      <c r="D423" s="46" t="s">
        <v>0</v>
      </c>
      <c r="E423" s="44">
        <v>1.05</v>
      </c>
      <c r="F423" s="31">
        <f>TRUNC(64.61,2)</f>
        <v>64.61</v>
      </c>
      <c r="G423" s="32">
        <f aca="true" t="shared" si="26" ref="G423:G429">TRUNC(E423*F423,2)</f>
        <v>67.84</v>
      </c>
      <c r="H423" s="32"/>
      <c r="I423" s="33"/>
      <c r="J423" s="33"/>
      <c r="K423" s="44"/>
    </row>
    <row r="424" spans="1:11" s="34" customFormat="1" ht="15">
      <c r="A424" s="30"/>
      <c r="B424" s="43" t="s">
        <v>372</v>
      </c>
      <c r="C424" s="45" t="s">
        <v>373</v>
      </c>
      <c r="D424" s="46" t="s">
        <v>3</v>
      </c>
      <c r="E424" s="44">
        <v>0.1</v>
      </c>
      <c r="F424" s="31">
        <f>TRUNC(32.88,2)</f>
        <v>32.88</v>
      </c>
      <c r="G424" s="32">
        <f t="shared" si="26"/>
        <v>3.28</v>
      </c>
      <c r="H424" s="32"/>
      <c r="I424" s="33"/>
      <c r="J424" s="33"/>
      <c r="K424" s="44"/>
    </row>
    <row r="425" spans="1:11" s="34" customFormat="1" ht="15">
      <c r="A425" s="30"/>
      <c r="B425" s="43" t="s">
        <v>374</v>
      </c>
      <c r="C425" s="45" t="s">
        <v>375</v>
      </c>
      <c r="D425" s="46" t="s">
        <v>3</v>
      </c>
      <c r="E425" s="44">
        <v>0.1</v>
      </c>
      <c r="F425" s="31">
        <f>TRUNC(1.4,2)</f>
        <v>1.4</v>
      </c>
      <c r="G425" s="32">
        <f t="shared" si="26"/>
        <v>0.14</v>
      </c>
      <c r="H425" s="32"/>
      <c r="I425" s="33"/>
      <c r="J425" s="33"/>
      <c r="K425" s="44"/>
    </row>
    <row r="426" spans="1:11" s="34" customFormat="1" ht="30">
      <c r="A426" s="30"/>
      <c r="B426" s="43" t="s">
        <v>26</v>
      </c>
      <c r="C426" s="45" t="s">
        <v>27</v>
      </c>
      <c r="D426" s="46" t="s">
        <v>4</v>
      </c>
      <c r="E426" s="44">
        <v>1.1330000000000002</v>
      </c>
      <c r="F426" s="31">
        <f>TRUNC(14.34,2)</f>
        <v>14.34</v>
      </c>
      <c r="G426" s="32">
        <f t="shared" si="26"/>
        <v>16.24</v>
      </c>
      <c r="H426" s="32"/>
      <c r="I426" s="33"/>
      <c r="J426" s="33"/>
      <c r="K426" s="44"/>
    </row>
    <row r="427" spans="1:11" s="34" customFormat="1" ht="15">
      <c r="A427" s="30"/>
      <c r="B427" s="43" t="s">
        <v>596</v>
      </c>
      <c r="C427" s="45" t="s">
        <v>597</v>
      </c>
      <c r="D427" s="46" t="s">
        <v>4</v>
      </c>
      <c r="E427" s="44">
        <v>1.1330000000000002</v>
      </c>
      <c r="F427" s="31">
        <f>TRUNC(21.33,2)</f>
        <v>21.33</v>
      </c>
      <c r="G427" s="32">
        <f t="shared" si="26"/>
        <v>24.16</v>
      </c>
      <c r="H427" s="32"/>
      <c r="I427" s="33"/>
      <c r="J427" s="33"/>
      <c r="K427" s="44"/>
    </row>
    <row r="428" spans="1:11" s="34" customFormat="1" ht="15">
      <c r="A428" s="30"/>
      <c r="B428" s="43" t="s">
        <v>381</v>
      </c>
      <c r="C428" s="45" t="s">
        <v>382</v>
      </c>
      <c r="D428" s="46" t="s">
        <v>1</v>
      </c>
      <c r="E428" s="44">
        <v>0.035</v>
      </c>
      <c r="F428" s="31">
        <f>TRUNC(385.1122,2)</f>
        <v>385.11</v>
      </c>
      <c r="G428" s="32">
        <f t="shared" si="26"/>
        <v>13.47</v>
      </c>
      <c r="H428" s="32"/>
      <c r="I428" s="33"/>
      <c r="J428" s="33"/>
      <c r="K428" s="44"/>
    </row>
    <row r="429" spans="1:11" s="34" customFormat="1" ht="15">
      <c r="A429" s="30"/>
      <c r="B429" s="43" t="s">
        <v>383</v>
      </c>
      <c r="C429" s="45" t="s">
        <v>384</v>
      </c>
      <c r="D429" s="46" t="s">
        <v>1</v>
      </c>
      <c r="E429" s="44">
        <v>0.002</v>
      </c>
      <c r="F429" s="31">
        <f>TRUNC(720.4318,2)</f>
        <v>720.43</v>
      </c>
      <c r="G429" s="32">
        <f t="shared" si="26"/>
        <v>1.44</v>
      </c>
      <c r="H429" s="32"/>
      <c r="I429" s="33"/>
      <c r="J429" s="33"/>
      <c r="K429" s="44"/>
    </row>
    <row r="430" spans="1:11" s="34" customFormat="1" ht="15">
      <c r="A430" s="30"/>
      <c r="B430" s="43"/>
      <c r="C430" s="45"/>
      <c r="D430" s="46"/>
      <c r="E430" s="44" t="s">
        <v>5</v>
      </c>
      <c r="F430" s="31"/>
      <c r="G430" s="32">
        <f>TRUNC(SUM(G423:G429),2)</f>
        <v>126.57</v>
      </c>
      <c r="H430" s="32"/>
      <c r="I430" s="33"/>
      <c r="J430" s="33"/>
      <c r="K430" s="44"/>
    </row>
    <row r="431" spans="1:11" s="88" customFormat="1" ht="45">
      <c r="A431" s="80" t="s">
        <v>910</v>
      </c>
      <c r="B431" s="81" t="s">
        <v>911</v>
      </c>
      <c r="C431" s="82" t="s">
        <v>912</v>
      </c>
      <c r="D431" s="83" t="s">
        <v>0</v>
      </c>
      <c r="E431" s="84">
        <v>14.31</v>
      </c>
      <c r="F431" s="85">
        <f>TRUNC(G436,2)</f>
        <v>95.18</v>
      </c>
      <c r="G431" s="86">
        <f>TRUNC(F431*1.2882,2)</f>
        <v>122.61</v>
      </c>
      <c r="H431" s="86">
        <f>TRUNC(F431*E431,2)</f>
        <v>1362.02</v>
      </c>
      <c r="I431" s="87">
        <f>TRUNC(E431*G431,2)</f>
        <v>1754.54</v>
      </c>
      <c r="J431" s="87"/>
      <c r="K431" s="84"/>
    </row>
    <row r="432" spans="1:11" s="34" customFormat="1" ht="30">
      <c r="A432" s="30"/>
      <c r="B432" s="43" t="s">
        <v>913</v>
      </c>
      <c r="C432" s="45" t="s">
        <v>914</v>
      </c>
      <c r="D432" s="46" t="s">
        <v>0</v>
      </c>
      <c r="E432" s="44">
        <v>1.05</v>
      </c>
      <c r="F432" s="31">
        <f>TRUNC(62.62,2)</f>
        <v>62.62</v>
      </c>
      <c r="G432" s="32">
        <f>TRUNC(E432*F432,2)</f>
        <v>65.75</v>
      </c>
      <c r="H432" s="32"/>
      <c r="I432" s="33"/>
      <c r="J432" s="33"/>
      <c r="K432" s="44"/>
    </row>
    <row r="433" spans="1:11" s="34" customFormat="1" ht="15">
      <c r="A433" s="30"/>
      <c r="B433" s="43" t="s">
        <v>915</v>
      </c>
      <c r="C433" s="45" t="s">
        <v>916</v>
      </c>
      <c r="D433" s="46" t="s">
        <v>404</v>
      </c>
      <c r="E433" s="44">
        <v>0.142</v>
      </c>
      <c r="F433" s="31">
        <f>TRUNC(78,2)</f>
        <v>78</v>
      </c>
      <c r="G433" s="32">
        <f>TRUNC(E433*F433,2)</f>
        <v>11.07</v>
      </c>
      <c r="H433" s="32"/>
      <c r="I433" s="33"/>
      <c r="J433" s="33"/>
      <c r="K433" s="44"/>
    </row>
    <row r="434" spans="1:11" s="34" customFormat="1" ht="30">
      <c r="A434" s="30"/>
      <c r="B434" s="43" t="s">
        <v>26</v>
      </c>
      <c r="C434" s="45" t="s">
        <v>27</v>
      </c>
      <c r="D434" s="46" t="s">
        <v>4</v>
      </c>
      <c r="E434" s="44">
        <v>0.515</v>
      </c>
      <c r="F434" s="31">
        <f>TRUNC(14.34,2)</f>
        <v>14.34</v>
      </c>
      <c r="G434" s="32">
        <f>TRUNC(E434*F434,2)</f>
        <v>7.38</v>
      </c>
      <c r="H434" s="32"/>
      <c r="I434" s="33"/>
      <c r="J434" s="33"/>
      <c r="K434" s="44"/>
    </row>
    <row r="435" spans="1:11" s="34" customFormat="1" ht="15">
      <c r="A435" s="30"/>
      <c r="B435" s="43" t="s">
        <v>596</v>
      </c>
      <c r="C435" s="45" t="s">
        <v>597</v>
      </c>
      <c r="D435" s="46" t="s">
        <v>4</v>
      </c>
      <c r="E435" s="44">
        <v>0.515</v>
      </c>
      <c r="F435" s="31">
        <f>TRUNC(21.33,2)</f>
        <v>21.33</v>
      </c>
      <c r="G435" s="32">
        <f>TRUNC(E435*F435,2)</f>
        <v>10.98</v>
      </c>
      <c r="H435" s="32"/>
      <c r="I435" s="33"/>
      <c r="J435" s="33"/>
      <c r="K435" s="44"/>
    </row>
    <row r="436" spans="1:11" s="34" customFormat="1" ht="15">
      <c r="A436" s="30"/>
      <c r="B436" s="43"/>
      <c r="C436" s="45"/>
      <c r="D436" s="46"/>
      <c r="E436" s="44" t="s">
        <v>5</v>
      </c>
      <c r="F436" s="31"/>
      <c r="G436" s="32">
        <f>TRUNC(SUM(G432:G435),2)</f>
        <v>95.18</v>
      </c>
      <c r="H436" s="32"/>
      <c r="I436" s="33"/>
      <c r="J436" s="33"/>
      <c r="K436" s="44"/>
    </row>
    <row r="437" spans="1:11" s="88" customFormat="1" ht="45">
      <c r="A437" s="80" t="s">
        <v>921</v>
      </c>
      <c r="B437" s="81" t="s">
        <v>917</v>
      </c>
      <c r="C437" s="82" t="s">
        <v>918</v>
      </c>
      <c r="D437" s="83" t="s">
        <v>0</v>
      </c>
      <c r="E437" s="84">
        <v>8.87</v>
      </c>
      <c r="F437" s="85">
        <f>TRUNC(G442,2)</f>
        <v>95.18</v>
      </c>
      <c r="G437" s="86">
        <f>TRUNC(F437*1.2882,2)</f>
        <v>122.61</v>
      </c>
      <c r="H437" s="86">
        <f>TRUNC(F437*E437,2)</f>
        <v>844.24</v>
      </c>
      <c r="I437" s="87">
        <f>TRUNC(E437*G437,2)</f>
        <v>1087.55</v>
      </c>
      <c r="J437" s="87"/>
      <c r="K437" s="84"/>
    </row>
    <row r="438" spans="1:11" s="34" customFormat="1" ht="30">
      <c r="A438" s="30"/>
      <c r="B438" s="43" t="s">
        <v>919</v>
      </c>
      <c r="C438" s="45" t="s">
        <v>920</v>
      </c>
      <c r="D438" s="46" t="s">
        <v>0</v>
      </c>
      <c r="E438" s="44">
        <v>1.05</v>
      </c>
      <c r="F438" s="31">
        <f>TRUNC(62.62,2)</f>
        <v>62.62</v>
      </c>
      <c r="G438" s="32">
        <f>TRUNC(E438*F438,2)</f>
        <v>65.75</v>
      </c>
      <c r="H438" s="32"/>
      <c r="I438" s="33"/>
      <c r="J438" s="33"/>
      <c r="K438" s="44"/>
    </row>
    <row r="439" spans="1:11" s="34" customFormat="1" ht="15">
      <c r="A439" s="30"/>
      <c r="B439" s="43" t="s">
        <v>915</v>
      </c>
      <c r="C439" s="45" t="s">
        <v>916</v>
      </c>
      <c r="D439" s="46" t="s">
        <v>404</v>
      </c>
      <c r="E439" s="44">
        <v>0.142</v>
      </c>
      <c r="F439" s="31">
        <f>TRUNC(78,2)</f>
        <v>78</v>
      </c>
      <c r="G439" s="32">
        <f>TRUNC(E439*F439,2)</f>
        <v>11.07</v>
      </c>
      <c r="H439" s="32"/>
      <c r="I439" s="33"/>
      <c r="J439" s="33"/>
      <c r="K439" s="44"/>
    </row>
    <row r="440" spans="1:11" s="34" customFormat="1" ht="30">
      <c r="A440" s="30"/>
      <c r="B440" s="43" t="s">
        <v>26</v>
      </c>
      <c r="C440" s="45" t="s">
        <v>27</v>
      </c>
      <c r="D440" s="46" t="s">
        <v>4</v>
      </c>
      <c r="E440" s="44">
        <v>0.515</v>
      </c>
      <c r="F440" s="31">
        <f>TRUNC(14.34,2)</f>
        <v>14.34</v>
      </c>
      <c r="G440" s="32">
        <f>TRUNC(E440*F440,2)</f>
        <v>7.38</v>
      </c>
      <c r="H440" s="32"/>
      <c r="I440" s="33"/>
      <c r="J440" s="33"/>
      <c r="K440" s="44"/>
    </row>
    <row r="441" spans="1:11" s="34" customFormat="1" ht="15">
      <c r="A441" s="30"/>
      <c r="B441" s="43" t="s">
        <v>596</v>
      </c>
      <c r="C441" s="45" t="s">
        <v>597</v>
      </c>
      <c r="D441" s="46" t="s">
        <v>4</v>
      </c>
      <c r="E441" s="44">
        <v>0.515</v>
      </c>
      <c r="F441" s="31">
        <f>TRUNC(21.33,2)</f>
        <v>21.33</v>
      </c>
      <c r="G441" s="32">
        <f>TRUNC(E441*F441,2)</f>
        <v>10.98</v>
      </c>
      <c r="H441" s="32"/>
      <c r="I441" s="33"/>
      <c r="J441" s="33"/>
      <c r="K441" s="44"/>
    </row>
    <row r="442" spans="1:11" s="34" customFormat="1" ht="15">
      <c r="A442" s="30"/>
      <c r="B442" s="43"/>
      <c r="C442" s="45"/>
      <c r="D442" s="46"/>
      <c r="E442" s="44" t="s">
        <v>5</v>
      </c>
      <c r="F442" s="31"/>
      <c r="G442" s="32">
        <f>TRUNC(SUM(G438:G441),2)</f>
        <v>95.18</v>
      </c>
      <c r="H442" s="32"/>
      <c r="I442" s="33"/>
      <c r="J442" s="33"/>
      <c r="K442" s="44"/>
    </row>
    <row r="443" spans="1:11" s="88" customFormat="1" ht="30">
      <c r="A443" s="80" t="s">
        <v>922</v>
      </c>
      <c r="B443" s="81" t="s">
        <v>615</v>
      </c>
      <c r="C443" s="82" t="s">
        <v>616</v>
      </c>
      <c r="D443" s="83" t="s">
        <v>1</v>
      </c>
      <c r="E443" s="84">
        <v>27.44</v>
      </c>
      <c r="F443" s="85">
        <f>TRUNC(G445,2)</f>
        <v>70</v>
      </c>
      <c r="G443" s="86">
        <f>TRUNC(F443*1.2882,2)</f>
        <v>90.17</v>
      </c>
      <c r="H443" s="86">
        <f>TRUNC(F443*E443,2)</f>
        <v>1920.8</v>
      </c>
      <c r="I443" s="87">
        <f>TRUNC(E443*G443,2)</f>
        <v>2474.26</v>
      </c>
      <c r="J443" s="87"/>
      <c r="K443" s="84"/>
    </row>
    <row r="444" spans="1:11" s="34" customFormat="1" ht="30">
      <c r="A444" s="30"/>
      <c r="B444" s="43" t="s">
        <v>617</v>
      </c>
      <c r="C444" s="45" t="s">
        <v>618</v>
      </c>
      <c r="D444" s="46" t="s">
        <v>1</v>
      </c>
      <c r="E444" s="44">
        <v>1</v>
      </c>
      <c r="F444" s="31">
        <f>TRUNC(70,2)</f>
        <v>70</v>
      </c>
      <c r="G444" s="32">
        <f>TRUNC(E444*F444,2)</f>
        <v>70</v>
      </c>
      <c r="H444" s="32"/>
      <c r="I444" s="33"/>
      <c r="J444" s="33"/>
      <c r="K444" s="44"/>
    </row>
    <row r="445" spans="1:11" s="34" customFormat="1" ht="15">
      <c r="A445" s="30"/>
      <c r="B445" s="43"/>
      <c r="C445" s="45"/>
      <c r="D445" s="46"/>
      <c r="E445" s="44" t="s">
        <v>5</v>
      </c>
      <c r="F445" s="31"/>
      <c r="G445" s="32">
        <f>TRUNC(SUM(G444:G444),2)</f>
        <v>70</v>
      </c>
      <c r="H445" s="32"/>
      <c r="I445" s="33"/>
      <c r="J445" s="33"/>
      <c r="K445" s="44"/>
    </row>
    <row r="446" spans="1:11" s="72" customFormat="1" ht="15">
      <c r="A446" s="65" t="s">
        <v>1363</v>
      </c>
      <c r="B446" s="66"/>
      <c r="C446" s="67"/>
      <c r="D446" s="68"/>
      <c r="E446" s="69"/>
      <c r="F446" s="70"/>
      <c r="G446" s="73" t="s">
        <v>1455</v>
      </c>
      <c r="H446" s="75">
        <f>H443+H437+H431+H422+H414+H406+H398+H390+H385+H375+H368+H358+H351+H342+H331+H324+H314+H308+H303+H298+H292+H286</f>
        <v>358521.16</v>
      </c>
      <c r="I446" s="75">
        <f>I443+I437+I431+I422+I414+I406+I398+I390+I385+I375+I368+I358+I351+I342+I331+I324+I314+I308+I303+I298+I292+I286</f>
        <v>461798.05</v>
      </c>
      <c r="J446" s="71"/>
      <c r="K446" s="69"/>
    </row>
    <row r="447" spans="1:11" s="21" customFormat="1" ht="15.75">
      <c r="A447" s="21" t="s">
        <v>923</v>
      </c>
      <c r="B447" s="28"/>
      <c r="C447" s="29" t="s">
        <v>832</v>
      </c>
      <c r="D447" s="29"/>
      <c r="E447" s="29"/>
      <c r="F447" s="29"/>
      <c r="G447" s="29"/>
      <c r="H447" s="29"/>
      <c r="I447" s="27"/>
      <c r="J447" s="29"/>
      <c r="K447" s="29"/>
    </row>
    <row r="448" spans="1:11" s="88" customFormat="1" ht="45">
      <c r="A448" s="80" t="s">
        <v>924</v>
      </c>
      <c r="B448" s="81" t="s">
        <v>540</v>
      </c>
      <c r="C448" s="82" t="s">
        <v>541</v>
      </c>
      <c r="D448" s="83" t="s">
        <v>10</v>
      </c>
      <c r="E448" s="84">
        <v>11</v>
      </c>
      <c r="F448" s="85">
        <f>TRUNC(G454,2)</f>
        <v>288.9</v>
      </c>
      <c r="G448" s="86">
        <f>TRUNC(F448*1.2882,2)</f>
        <v>372.16</v>
      </c>
      <c r="H448" s="86">
        <f>TRUNC(F448*E448,2)</f>
        <v>3177.9</v>
      </c>
      <c r="I448" s="87">
        <f>TRUNC(E448*G448,2)</f>
        <v>4093.76</v>
      </c>
      <c r="J448" s="87"/>
      <c r="K448" s="84"/>
    </row>
    <row r="449" spans="1:11" s="34" customFormat="1" ht="30">
      <c r="A449" s="30"/>
      <c r="B449" s="43" t="s">
        <v>542</v>
      </c>
      <c r="C449" s="45" t="s">
        <v>543</v>
      </c>
      <c r="D449" s="46" t="s">
        <v>10</v>
      </c>
      <c r="E449" s="44">
        <v>19.8</v>
      </c>
      <c r="F449" s="31">
        <f>TRUNC(0.08,2)</f>
        <v>0.08</v>
      </c>
      <c r="G449" s="32">
        <f>TRUNC(E449*F449,2)</f>
        <v>1.58</v>
      </c>
      <c r="H449" s="32"/>
      <c r="I449" s="33"/>
      <c r="J449" s="33"/>
      <c r="K449" s="44"/>
    </row>
    <row r="450" spans="1:11" s="34" customFormat="1" ht="45">
      <c r="A450" s="30"/>
      <c r="B450" s="43" t="s">
        <v>544</v>
      </c>
      <c r="C450" s="45" t="s">
        <v>545</v>
      </c>
      <c r="D450" s="46" t="s">
        <v>10</v>
      </c>
      <c r="E450" s="44">
        <v>1</v>
      </c>
      <c r="F450" s="31">
        <f>TRUNC(153.12,2)</f>
        <v>153.12</v>
      </c>
      <c r="G450" s="32">
        <f>TRUNC(E450*F450,2)</f>
        <v>153.12</v>
      </c>
      <c r="H450" s="32"/>
      <c r="I450" s="33"/>
      <c r="J450" s="33"/>
      <c r="K450" s="44"/>
    </row>
    <row r="451" spans="1:11" s="34" customFormat="1" ht="30">
      <c r="A451" s="30"/>
      <c r="B451" s="43" t="s">
        <v>546</v>
      </c>
      <c r="C451" s="45" t="s">
        <v>547</v>
      </c>
      <c r="D451" s="46" t="s">
        <v>10</v>
      </c>
      <c r="E451" s="44">
        <v>3</v>
      </c>
      <c r="F451" s="31">
        <f>TRUNC(24.83,2)</f>
        <v>24.83</v>
      </c>
      <c r="G451" s="32">
        <f>TRUNC(E451*F451,2)</f>
        <v>74.49</v>
      </c>
      <c r="H451" s="32"/>
      <c r="I451" s="33"/>
      <c r="J451" s="33"/>
      <c r="K451" s="44"/>
    </row>
    <row r="452" spans="1:11" s="34" customFormat="1" ht="15">
      <c r="A452" s="30"/>
      <c r="B452" s="43" t="s">
        <v>283</v>
      </c>
      <c r="C452" s="45" t="s">
        <v>32</v>
      </c>
      <c r="D452" s="46" t="s">
        <v>4</v>
      </c>
      <c r="E452" s="44">
        <v>0.773</v>
      </c>
      <c r="F452" s="31">
        <f>TRUNC(21.13,2)</f>
        <v>21.13</v>
      </c>
      <c r="G452" s="32">
        <f>TRUNC(E452*F452,2)</f>
        <v>16.33</v>
      </c>
      <c r="H452" s="32"/>
      <c r="I452" s="33"/>
      <c r="J452" s="33"/>
      <c r="K452" s="44"/>
    </row>
    <row r="453" spans="1:11" s="34" customFormat="1" ht="15">
      <c r="A453" s="30"/>
      <c r="B453" s="43" t="s">
        <v>548</v>
      </c>
      <c r="C453" s="45" t="s">
        <v>549</v>
      </c>
      <c r="D453" s="46" t="s">
        <v>4</v>
      </c>
      <c r="E453" s="44">
        <v>1.546</v>
      </c>
      <c r="F453" s="31">
        <f>TRUNC(28.06,2)</f>
        <v>28.06</v>
      </c>
      <c r="G453" s="32">
        <f>TRUNC(E453*F453,2)</f>
        <v>43.38</v>
      </c>
      <c r="H453" s="32"/>
      <c r="I453" s="33"/>
      <c r="J453" s="33"/>
      <c r="K453" s="44"/>
    </row>
    <row r="454" spans="1:11" s="34" customFormat="1" ht="15">
      <c r="A454" s="30"/>
      <c r="B454" s="43"/>
      <c r="C454" s="45"/>
      <c r="D454" s="46"/>
      <c r="E454" s="44" t="s">
        <v>5</v>
      </c>
      <c r="F454" s="31"/>
      <c r="G454" s="32">
        <f>TRUNC(SUM(G449:G453),2)</f>
        <v>288.9</v>
      </c>
      <c r="H454" s="32"/>
      <c r="I454" s="33"/>
      <c r="J454" s="33"/>
      <c r="K454" s="44"/>
    </row>
    <row r="455" spans="1:11" s="88" customFormat="1" ht="45">
      <c r="A455" s="80" t="s">
        <v>925</v>
      </c>
      <c r="B455" s="81" t="s">
        <v>550</v>
      </c>
      <c r="C455" s="82" t="s">
        <v>551</v>
      </c>
      <c r="D455" s="83" t="s">
        <v>10</v>
      </c>
      <c r="E455" s="84">
        <v>1</v>
      </c>
      <c r="F455" s="85">
        <f>TRUNC(G461,2)</f>
        <v>264.76</v>
      </c>
      <c r="G455" s="86">
        <f>TRUNC(F455*1.2882,2)</f>
        <v>341.06</v>
      </c>
      <c r="H455" s="86">
        <f>TRUNC(F455*E455,2)</f>
        <v>264.76</v>
      </c>
      <c r="I455" s="87">
        <f>TRUNC(E455*G455,2)</f>
        <v>341.06</v>
      </c>
      <c r="J455" s="87"/>
      <c r="K455" s="84"/>
    </row>
    <row r="456" spans="1:11" s="34" customFormat="1" ht="30">
      <c r="A456" s="30"/>
      <c r="B456" s="43" t="s">
        <v>542</v>
      </c>
      <c r="C456" s="45" t="s">
        <v>543</v>
      </c>
      <c r="D456" s="46" t="s">
        <v>10</v>
      </c>
      <c r="E456" s="44">
        <v>19.8</v>
      </c>
      <c r="F456" s="31">
        <f>TRUNC(0.08,2)</f>
        <v>0.08</v>
      </c>
      <c r="G456" s="32">
        <f>TRUNC(E456*F456,2)</f>
        <v>1.58</v>
      </c>
      <c r="H456" s="32"/>
      <c r="I456" s="33"/>
      <c r="J456" s="33"/>
      <c r="K456" s="44"/>
    </row>
    <row r="457" spans="1:11" s="34" customFormat="1" ht="45">
      <c r="A457" s="30"/>
      <c r="B457" s="43" t="s">
        <v>552</v>
      </c>
      <c r="C457" s="45" t="s">
        <v>553</v>
      </c>
      <c r="D457" s="46" t="s">
        <v>10</v>
      </c>
      <c r="E457" s="44">
        <v>1</v>
      </c>
      <c r="F457" s="31">
        <f>TRUNC(139.18,2)</f>
        <v>139.18</v>
      </c>
      <c r="G457" s="32">
        <f>TRUNC(E457*F457,2)</f>
        <v>139.18</v>
      </c>
      <c r="H457" s="32"/>
      <c r="I457" s="33"/>
      <c r="J457" s="33"/>
      <c r="K457" s="44"/>
    </row>
    <row r="458" spans="1:11" s="34" customFormat="1" ht="30">
      <c r="A458" s="30"/>
      <c r="B458" s="43" t="s">
        <v>546</v>
      </c>
      <c r="C458" s="45" t="s">
        <v>547</v>
      </c>
      <c r="D458" s="46" t="s">
        <v>10</v>
      </c>
      <c r="E458" s="44">
        <v>3</v>
      </c>
      <c r="F458" s="31">
        <f>TRUNC(24.83,2)</f>
        <v>24.83</v>
      </c>
      <c r="G458" s="32">
        <f>TRUNC(E458*F458,2)</f>
        <v>74.49</v>
      </c>
      <c r="H458" s="32"/>
      <c r="I458" s="33"/>
      <c r="J458" s="33"/>
      <c r="K458" s="44"/>
    </row>
    <row r="459" spans="1:11" s="34" customFormat="1" ht="15">
      <c r="A459" s="30"/>
      <c r="B459" s="43" t="s">
        <v>283</v>
      </c>
      <c r="C459" s="45" t="s">
        <v>32</v>
      </c>
      <c r="D459" s="46" t="s">
        <v>4</v>
      </c>
      <c r="E459" s="44">
        <v>0.641</v>
      </c>
      <c r="F459" s="31">
        <f>TRUNC(21.13,2)</f>
        <v>21.13</v>
      </c>
      <c r="G459" s="32">
        <f>TRUNC(E459*F459,2)</f>
        <v>13.54</v>
      </c>
      <c r="H459" s="32"/>
      <c r="I459" s="33"/>
      <c r="J459" s="33"/>
      <c r="K459" s="44"/>
    </row>
    <row r="460" spans="1:11" s="34" customFormat="1" ht="15">
      <c r="A460" s="30"/>
      <c r="B460" s="43" t="s">
        <v>548</v>
      </c>
      <c r="C460" s="45" t="s">
        <v>549</v>
      </c>
      <c r="D460" s="46" t="s">
        <v>4</v>
      </c>
      <c r="E460" s="44">
        <v>1.282</v>
      </c>
      <c r="F460" s="31">
        <f>TRUNC(28.06,2)</f>
        <v>28.06</v>
      </c>
      <c r="G460" s="32">
        <f>TRUNC(E460*F460,2)</f>
        <v>35.97</v>
      </c>
      <c r="H460" s="32"/>
      <c r="I460" s="33"/>
      <c r="J460" s="33"/>
      <c r="K460" s="44"/>
    </row>
    <row r="461" spans="1:11" s="34" customFormat="1" ht="15">
      <c r="A461" s="30"/>
      <c r="B461" s="43"/>
      <c r="C461" s="45"/>
      <c r="D461" s="46"/>
      <c r="E461" s="44" t="s">
        <v>5</v>
      </c>
      <c r="F461" s="31"/>
      <c r="G461" s="32">
        <f>TRUNC(SUM(G456:G460),2)</f>
        <v>264.76</v>
      </c>
      <c r="H461" s="32"/>
      <c r="I461" s="33"/>
      <c r="J461" s="33"/>
      <c r="K461" s="44"/>
    </row>
    <row r="462" spans="1:11" s="96" customFormat="1" ht="42.75">
      <c r="A462" s="90" t="s">
        <v>926</v>
      </c>
      <c r="B462" s="89" t="s">
        <v>837</v>
      </c>
      <c r="C462" s="91" t="s">
        <v>838</v>
      </c>
      <c r="D462" s="92" t="s">
        <v>10</v>
      </c>
      <c r="E462" s="93">
        <v>15</v>
      </c>
      <c r="F462" s="94">
        <f>TRUNC(G468+G474,2)</f>
        <v>558.97</v>
      </c>
      <c r="G462" s="86">
        <f>TRUNC(F462*1.2882,2)</f>
        <v>720.06</v>
      </c>
      <c r="H462" s="86">
        <f>TRUNC(F462*E462,2)</f>
        <v>8384.55</v>
      </c>
      <c r="I462" s="87">
        <f>TRUNC(E462*G462,2)</f>
        <v>10800.9</v>
      </c>
      <c r="J462" s="95"/>
      <c r="K462" s="93">
        <f>E462+E455+E448</f>
        <v>27</v>
      </c>
    </row>
    <row r="463" spans="1:11" s="34" customFormat="1" ht="30">
      <c r="A463" s="30"/>
      <c r="B463" s="43" t="s">
        <v>542</v>
      </c>
      <c r="C463" s="45" t="s">
        <v>543</v>
      </c>
      <c r="D463" s="46" t="s">
        <v>10</v>
      </c>
      <c r="E463" s="44">
        <v>19.8</v>
      </c>
      <c r="F463" s="31">
        <f>TRUNC(0.08,2)</f>
        <v>0.08</v>
      </c>
      <c r="G463" s="32">
        <f>TRUNC(E463*F463,2)</f>
        <v>1.58</v>
      </c>
      <c r="H463" s="32"/>
      <c r="I463" s="33"/>
      <c r="J463" s="33"/>
      <c r="K463" s="44"/>
    </row>
    <row r="464" spans="1:11" s="34" customFormat="1" ht="45">
      <c r="A464" s="30"/>
      <c r="B464" s="43" t="s">
        <v>544</v>
      </c>
      <c r="C464" s="45" t="s">
        <v>545</v>
      </c>
      <c r="D464" s="46" t="s">
        <v>10</v>
      </c>
      <c r="E464" s="44">
        <v>1</v>
      </c>
      <c r="F464" s="31">
        <f>TRUNC(153.12,2)</f>
        <v>153.12</v>
      </c>
      <c r="G464" s="32">
        <f>TRUNC(E464*F464,2)</f>
        <v>153.12</v>
      </c>
      <c r="H464" s="32"/>
      <c r="I464" s="33"/>
      <c r="J464" s="33"/>
      <c r="K464" s="44"/>
    </row>
    <row r="465" spans="1:11" s="34" customFormat="1" ht="30">
      <c r="A465" s="30"/>
      <c r="B465" s="43" t="s">
        <v>546</v>
      </c>
      <c r="C465" s="45" t="s">
        <v>547</v>
      </c>
      <c r="D465" s="46" t="s">
        <v>10</v>
      </c>
      <c r="E465" s="44">
        <v>3</v>
      </c>
      <c r="F465" s="31">
        <f>TRUNC(24.83,2)</f>
        <v>24.83</v>
      </c>
      <c r="G465" s="32">
        <f>TRUNC(E465*F465,2)</f>
        <v>74.49</v>
      </c>
      <c r="H465" s="32"/>
      <c r="I465" s="33"/>
      <c r="J465" s="33"/>
      <c r="K465" s="44"/>
    </row>
    <row r="466" spans="1:11" s="34" customFormat="1" ht="15">
      <c r="A466" s="30"/>
      <c r="B466" s="43" t="s">
        <v>283</v>
      </c>
      <c r="C466" s="45" t="s">
        <v>32</v>
      </c>
      <c r="D466" s="46" t="s">
        <v>4</v>
      </c>
      <c r="E466" s="44">
        <v>0.773</v>
      </c>
      <c r="F466" s="31">
        <f>TRUNC(21.13,2)</f>
        <v>21.13</v>
      </c>
      <c r="G466" s="32">
        <f>TRUNC(E466*F466,2)</f>
        <v>16.33</v>
      </c>
      <c r="H466" s="32"/>
      <c r="I466" s="33"/>
      <c r="J466" s="33"/>
      <c r="K466" s="44"/>
    </row>
    <row r="467" spans="1:11" s="34" customFormat="1" ht="15">
      <c r="A467" s="30"/>
      <c r="B467" s="43" t="s">
        <v>548</v>
      </c>
      <c r="C467" s="45" t="s">
        <v>549</v>
      </c>
      <c r="D467" s="46" t="s">
        <v>4</v>
      </c>
      <c r="E467" s="44">
        <v>1.546</v>
      </c>
      <c r="F467" s="31">
        <f>TRUNC(28.06,2)</f>
        <v>28.06</v>
      </c>
      <c r="G467" s="32">
        <f>TRUNC(E467*F467,2)</f>
        <v>43.38</v>
      </c>
      <c r="H467" s="32"/>
      <c r="I467" s="33"/>
      <c r="J467" s="33"/>
      <c r="K467" s="44"/>
    </row>
    <row r="468" spans="1:11" s="34" customFormat="1" ht="15">
      <c r="A468" s="30"/>
      <c r="B468" s="43"/>
      <c r="C468" s="45"/>
      <c r="D468" s="46"/>
      <c r="E468" s="44" t="s">
        <v>5</v>
      </c>
      <c r="F468" s="31"/>
      <c r="G468" s="32">
        <f>TRUNC(SUM(G463:G467),2)</f>
        <v>288.9</v>
      </c>
      <c r="H468" s="32"/>
      <c r="I468" s="33"/>
      <c r="J468" s="33"/>
      <c r="K468" s="44"/>
    </row>
    <row r="469" spans="1:11" s="34" customFormat="1" ht="30">
      <c r="A469" s="30"/>
      <c r="B469" s="43" t="s">
        <v>833</v>
      </c>
      <c r="C469" s="45" t="s">
        <v>834</v>
      </c>
      <c r="D469" s="46" t="s">
        <v>10</v>
      </c>
      <c r="E469" s="44">
        <v>1</v>
      </c>
      <c r="F469" s="31">
        <f>TRUNC(270.076919,2)</f>
        <v>270.07</v>
      </c>
      <c r="G469" s="32">
        <f>TRUNC(E469*F469,2)</f>
        <v>270.07</v>
      </c>
      <c r="H469" s="32"/>
      <c r="I469" s="33"/>
      <c r="J469" s="33"/>
      <c r="K469" s="44"/>
    </row>
    <row r="470" spans="1:11" s="34" customFormat="1" ht="30">
      <c r="A470" s="30"/>
      <c r="B470" s="43" t="s">
        <v>835</v>
      </c>
      <c r="C470" s="45" t="s">
        <v>836</v>
      </c>
      <c r="D470" s="46" t="s">
        <v>10</v>
      </c>
      <c r="E470" s="44">
        <v>1</v>
      </c>
      <c r="F470" s="31">
        <f>TRUNC(125.74,2)</f>
        <v>125.74</v>
      </c>
      <c r="G470" s="32">
        <f>TRUNC(E470*F470,2)</f>
        <v>125.74</v>
      </c>
      <c r="H470" s="32"/>
      <c r="I470" s="33"/>
      <c r="J470" s="33"/>
      <c r="K470" s="44"/>
    </row>
    <row r="471" spans="1:11" s="34" customFormat="1" ht="30">
      <c r="A471" s="30"/>
      <c r="B471" s="43" t="s">
        <v>735</v>
      </c>
      <c r="C471" s="45" t="s">
        <v>736</v>
      </c>
      <c r="D471" s="46" t="s">
        <v>10</v>
      </c>
      <c r="E471" s="44">
        <v>6</v>
      </c>
      <c r="F471" s="31">
        <f>TRUNC(18.87,2)</f>
        <v>18.87</v>
      </c>
      <c r="G471" s="32">
        <f>TRUNC(E471*F471,2)</f>
        <v>113.22</v>
      </c>
      <c r="H471" s="32"/>
      <c r="I471" s="33"/>
      <c r="J471" s="33"/>
      <c r="K471" s="44"/>
    </row>
    <row r="472" spans="1:11" s="34" customFormat="1" ht="15">
      <c r="A472" s="30"/>
      <c r="B472" s="43" t="s">
        <v>283</v>
      </c>
      <c r="C472" s="45" t="s">
        <v>32</v>
      </c>
      <c r="D472" s="46" t="s">
        <v>4</v>
      </c>
      <c r="E472" s="44">
        <v>0.2988</v>
      </c>
      <c r="F472" s="31">
        <f>TRUNC(21.13,2)</f>
        <v>21.13</v>
      </c>
      <c r="G472" s="32">
        <f>TRUNC(E472*F472,2)</f>
        <v>6.31</v>
      </c>
      <c r="H472" s="32"/>
      <c r="I472" s="33"/>
      <c r="J472" s="33"/>
      <c r="K472" s="44"/>
    </row>
    <row r="473" spans="1:11" s="34" customFormat="1" ht="15">
      <c r="A473" s="30"/>
      <c r="B473" s="43" t="s">
        <v>416</v>
      </c>
      <c r="C473" s="45" t="s">
        <v>417</v>
      </c>
      <c r="D473" s="46" t="s">
        <v>4</v>
      </c>
      <c r="E473" s="44">
        <v>0.9485</v>
      </c>
      <c r="F473" s="31">
        <f>TRUNC(26.15,2)</f>
        <v>26.15</v>
      </c>
      <c r="G473" s="32">
        <f>TRUNC(E473*F473,2)</f>
        <v>24.8</v>
      </c>
      <c r="H473" s="32"/>
      <c r="I473" s="33"/>
      <c r="J473" s="33"/>
      <c r="K473" s="44"/>
    </row>
    <row r="474" spans="1:11" s="34" customFormat="1" ht="15">
      <c r="A474" s="30"/>
      <c r="B474" s="43"/>
      <c r="C474" s="45"/>
      <c r="D474" s="46"/>
      <c r="E474" s="44" t="s">
        <v>5</v>
      </c>
      <c r="F474" s="31"/>
      <c r="G474" s="32">
        <f>TRUNC(SUM(G470:G473),2)</f>
        <v>270.07</v>
      </c>
      <c r="H474" s="32"/>
      <c r="I474" s="33"/>
      <c r="J474" s="33"/>
      <c r="K474" s="44"/>
    </row>
    <row r="475" spans="1:11" s="34" customFormat="1" ht="15">
      <c r="A475" s="30"/>
      <c r="B475" s="43"/>
      <c r="C475" s="45"/>
      <c r="D475" s="46"/>
      <c r="E475" s="44"/>
      <c r="F475" s="31"/>
      <c r="G475" s="32"/>
      <c r="H475" s="32"/>
      <c r="I475" s="33"/>
      <c r="J475" s="33"/>
      <c r="K475" s="44"/>
    </row>
    <row r="476" spans="1:11" s="96" customFormat="1" ht="57">
      <c r="A476" s="90" t="s">
        <v>927</v>
      </c>
      <c r="B476" s="89" t="s">
        <v>841</v>
      </c>
      <c r="C476" s="91" t="s">
        <v>1458</v>
      </c>
      <c r="D476" s="92" t="s">
        <v>10</v>
      </c>
      <c r="E476" s="93">
        <v>11</v>
      </c>
      <c r="F476" s="94">
        <f>TRUNC(G482,2)</f>
        <v>658.34</v>
      </c>
      <c r="G476" s="86">
        <f>TRUNC(F476*1.2882,2)</f>
        <v>848.07</v>
      </c>
      <c r="H476" s="86">
        <f>TRUNC(F476*E476,2)</f>
        <v>7241.74</v>
      </c>
      <c r="I476" s="87">
        <f>TRUNC(E476*G476,2)</f>
        <v>9328.77</v>
      </c>
      <c r="J476" s="95"/>
      <c r="K476" s="93"/>
    </row>
    <row r="477" spans="1:13" s="34" customFormat="1" ht="15">
      <c r="A477" s="30"/>
      <c r="B477" s="43" t="s">
        <v>149</v>
      </c>
      <c r="C477" s="45" t="s">
        <v>842</v>
      </c>
      <c r="D477" s="46" t="s">
        <v>10</v>
      </c>
      <c r="E477" s="44">
        <v>1</v>
      </c>
      <c r="F477" s="31">
        <v>68.58</v>
      </c>
      <c r="G477" s="32">
        <f>TRUNC(E477*F477,2)</f>
        <v>68.58</v>
      </c>
      <c r="H477" s="32"/>
      <c r="I477" s="33"/>
      <c r="J477" s="33"/>
      <c r="K477" s="44">
        <v>100</v>
      </c>
      <c r="L477" s="34">
        <f>0.6*2.1</f>
        <v>1.26</v>
      </c>
      <c r="M477" s="34">
        <v>90</v>
      </c>
    </row>
    <row r="478" spans="1:13" s="34" customFormat="1" ht="30">
      <c r="A478" s="30"/>
      <c r="B478" s="43" t="s">
        <v>63</v>
      </c>
      <c r="C478" s="45" t="s">
        <v>64</v>
      </c>
      <c r="D478" s="46" t="s">
        <v>3</v>
      </c>
      <c r="E478" s="44">
        <v>0.1</v>
      </c>
      <c r="F478" s="31">
        <f>TRUNC(15.94,2)</f>
        <v>15.94</v>
      </c>
      <c r="G478" s="32">
        <f>TRUNC(E478*F478,2)</f>
        <v>1.59</v>
      </c>
      <c r="H478" s="32"/>
      <c r="I478" s="33"/>
      <c r="J478" s="33"/>
      <c r="K478" s="44">
        <f>(K477*L478)/L477</f>
        <v>47.61904761904762</v>
      </c>
      <c r="L478" s="34">
        <v>0.6</v>
      </c>
      <c r="M478" s="34">
        <f>(M477*L478)/L477</f>
        <v>42.857142857142854</v>
      </c>
    </row>
    <row r="479" spans="1:11" s="34" customFormat="1" ht="30">
      <c r="A479" s="30"/>
      <c r="B479" s="43" t="s">
        <v>26</v>
      </c>
      <c r="C479" s="45" t="s">
        <v>27</v>
      </c>
      <c r="D479" s="46" t="s">
        <v>4</v>
      </c>
      <c r="E479" s="44">
        <v>5.665</v>
      </c>
      <c r="F479" s="31">
        <f>TRUNC(14.34,2)</f>
        <v>14.34</v>
      </c>
      <c r="G479" s="32">
        <f>TRUNC(E479*F479,2)</f>
        <v>81.23</v>
      </c>
      <c r="H479" s="32"/>
      <c r="I479" s="33"/>
      <c r="J479" s="33"/>
      <c r="K479" s="44"/>
    </row>
    <row r="480" spans="1:11" s="34" customFormat="1" ht="30">
      <c r="A480" s="30"/>
      <c r="B480" s="43" t="s">
        <v>67</v>
      </c>
      <c r="C480" s="45" t="s">
        <v>68</v>
      </c>
      <c r="D480" s="46" t="s">
        <v>4</v>
      </c>
      <c r="E480" s="44">
        <v>5.665</v>
      </c>
      <c r="F480" s="31">
        <f>TRUNC(21.33,2)</f>
        <v>21.33</v>
      </c>
      <c r="G480" s="32">
        <f>TRUNC(E480*F480,2)</f>
        <v>120.83</v>
      </c>
      <c r="H480" s="32"/>
      <c r="I480" s="33"/>
      <c r="J480" s="33"/>
      <c r="K480" s="44"/>
    </row>
    <row r="481" spans="1:11" s="34" customFormat="1" ht="15">
      <c r="A481" s="30"/>
      <c r="B481" s="43" t="s">
        <v>839</v>
      </c>
      <c r="C481" s="45" t="s">
        <v>840</v>
      </c>
      <c r="D481" s="46" t="s">
        <v>0</v>
      </c>
      <c r="E481" s="44">
        <v>3.85</v>
      </c>
      <c r="F481" s="31">
        <f>TRUNC(100.295,2)</f>
        <v>100.29</v>
      </c>
      <c r="G481" s="32">
        <f>TRUNC(E481*F481,2)</f>
        <v>386.11</v>
      </c>
      <c r="H481" s="32"/>
      <c r="I481" s="33"/>
      <c r="J481" s="33"/>
      <c r="K481" s="44"/>
    </row>
    <row r="482" spans="1:11" s="34" customFormat="1" ht="15">
      <c r="A482" s="30"/>
      <c r="B482" s="43"/>
      <c r="C482" s="45"/>
      <c r="D482" s="46"/>
      <c r="E482" s="44" t="s">
        <v>5</v>
      </c>
      <c r="F482" s="31"/>
      <c r="G482" s="32">
        <f>TRUNC(SUM(G477:G481),2)</f>
        <v>658.34</v>
      </c>
      <c r="H482" s="32"/>
      <c r="I482" s="33"/>
      <c r="J482" s="33"/>
      <c r="K482" s="44"/>
    </row>
    <row r="483" spans="1:11" s="88" customFormat="1" ht="67.5" customHeight="1">
      <c r="A483" s="80" t="s">
        <v>928</v>
      </c>
      <c r="B483" s="81" t="s">
        <v>843</v>
      </c>
      <c r="C483" s="82" t="s">
        <v>844</v>
      </c>
      <c r="D483" s="83" t="s">
        <v>10</v>
      </c>
      <c r="E483" s="84">
        <v>27</v>
      </c>
      <c r="F483" s="85">
        <f>TRUNC(G485,2)</f>
        <v>231.59</v>
      </c>
      <c r="G483" s="86">
        <f>TRUNC(F483*1.2882,2)</f>
        <v>298.33</v>
      </c>
      <c r="H483" s="86">
        <f>TRUNC(F483*E483,2)</f>
        <v>6252.93</v>
      </c>
      <c r="I483" s="87">
        <f>TRUNC(E483*G483,2)</f>
        <v>8054.91</v>
      </c>
      <c r="J483" s="87"/>
      <c r="K483" s="84"/>
    </row>
    <row r="484" spans="1:11" s="34" customFormat="1" ht="30">
      <c r="A484" s="30"/>
      <c r="B484" s="43" t="s">
        <v>845</v>
      </c>
      <c r="C484" s="45" t="s">
        <v>846</v>
      </c>
      <c r="D484" s="46" t="s">
        <v>10</v>
      </c>
      <c r="E484" s="44">
        <v>1</v>
      </c>
      <c r="F484" s="31">
        <f>TRUNC(231.59,2)</f>
        <v>231.59</v>
      </c>
      <c r="G484" s="32">
        <f>TRUNC(E484*F484,2)</f>
        <v>231.59</v>
      </c>
      <c r="H484" s="32"/>
      <c r="I484" s="33"/>
      <c r="J484" s="33"/>
      <c r="K484" s="44"/>
    </row>
    <row r="485" spans="1:11" s="34" customFormat="1" ht="15">
      <c r="A485" s="30"/>
      <c r="B485" s="43"/>
      <c r="C485" s="45"/>
      <c r="D485" s="46"/>
      <c r="E485" s="44" t="s">
        <v>5</v>
      </c>
      <c r="F485" s="31"/>
      <c r="G485" s="32">
        <f>TRUNC(SUM(G484:G484),2)</f>
        <v>231.59</v>
      </c>
      <c r="H485" s="32"/>
      <c r="I485" s="33"/>
      <c r="J485" s="33"/>
      <c r="K485" s="44"/>
    </row>
    <row r="486" spans="1:11" s="88" customFormat="1" ht="45">
      <c r="A486" s="80" t="s">
        <v>929</v>
      </c>
      <c r="B486" s="81" t="s">
        <v>847</v>
      </c>
      <c r="C486" s="82" t="s">
        <v>848</v>
      </c>
      <c r="D486" s="83" t="s">
        <v>10</v>
      </c>
      <c r="E486" s="84">
        <v>11</v>
      </c>
      <c r="F486" s="85">
        <f>TRUNC(G490,2)</f>
        <v>113.6</v>
      </c>
      <c r="G486" s="86">
        <f>TRUNC(F486*1.2882,2)</f>
        <v>146.33</v>
      </c>
      <c r="H486" s="86">
        <f>TRUNC(F486*E486,2)</f>
        <v>1249.6</v>
      </c>
      <c r="I486" s="87">
        <f>TRUNC(E486*G486,2)</f>
        <v>1609.63</v>
      </c>
      <c r="J486" s="87"/>
      <c r="K486" s="84"/>
    </row>
    <row r="487" spans="1:11" s="34" customFormat="1" ht="60">
      <c r="A487" s="30"/>
      <c r="B487" s="43" t="s">
        <v>849</v>
      </c>
      <c r="C487" s="45" t="s">
        <v>850</v>
      </c>
      <c r="D487" s="46" t="s">
        <v>851</v>
      </c>
      <c r="E487" s="44">
        <v>1</v>
      </c>
      <c r="F487" s="31">
        <f>TRUNC(83.97,2)</f>
        <v>83.97</v>
      </c>
      <c r="G487" s="32">
        <f>TRUNC(E487*F487,2)</f>
        <v>83.97</v>
      </c>
      <c r="H487" s="32"/>
      <c r="I487" s="33"/>
      <c r="J487" s="33"/>
      <c r="K487" s="44"/>
    </row>
    <row r="488" spans="1:11" s="34" customFormat="1" ht="15">
      <c r="A488" s="30"/>
      <c r="B488" s="43" t="s">
        <v>283</v>
      </c>
      <c r="C488" s="45" t="s">
        <v>32</v>
      </c>
      <c r="D488" s="46" t="s">
        <v>4</v>
      </c>
      <c r="E488" s="44">
        <v>0.384</v>
      </c>
      <c r="F488" s="31">
        <f>TRUNC(21.13,2)</f>
        <v>21.13</v>
      </c>
      <c r="G488" s="32">
        <f>TRUNC(E488*F488,2)</f>
        <v>8.11</v>
      </c>
      <c r="H488" s="32"/>
      <c r="I488" s="33"/>
      <c r="J488" s="33"/>
      <c r="K488" s="44"/>
    </row>
    <row r="489" spans="1:11" s="34" customFormat="1" ht="15">
      <c r="A489" s="30"/>
      <c r="B489" s="43" t="s">
        <v>548</v>
      </c>
      <c r="C489" s="45" t="s">
        <v>549</v>
      </c>
      <c r="D489" s="46" t="s">
        <v>4</v>
      </c>
      <c r="E489" s="44">
        <v>0.767</v>
      </c>
      <c r="F489" s="31">
        <f>TRUNC(28.06,2)</f>
        <v>28.06</v>
      </c>
      <c r="G489" s="32">
        <f>TRUNC(E489*F489,2)</f>
        <v>21.52</v>
      </c>
      <c r="H489" s="32"/>
      <c r="I489" s="33"/>
      <c r="J489" s="33"/>
      <c r="K489" s="44"/>
    </row>
    <row r="490" spans="1:11" s="34" customFormat="1" ht="15">
      <c r="A490" s="30"/>
      <c r="B490" s="43"/>
      <c r="C490" s="45"/>
      <c r="D490" s="46"/>
      <c r="E490" s="44" t="s">
        <v>5</v>
      </c>
      <c r="F490" s="31"/>
      <c r="G490" s="32">
        <f>TRUNC(SUM(G487:G489),2)</f>
        <v>113.6</v>
      </c>
      <c r="H490" s="32"/>
      <c r="I490" s="33"/>
      <c r="J490" s="33"/>
      <c r="K490" s="44"/>
    </row>
    <row r="491" spans="1:11" s="88" customFormat="1" ht="30">
      <c r="A491" s="80" t="s">
        <v>930</v>
      </c>
      <c r="B491" s="81" t="s">
        <v>556</v>
      </c>
      <c r="C491" s="82" t="s">
        <v>557</v>
      </c>
      <c r="D491" s="83" t="s">
        <v>0</v>
      </c>
      <c r="E491" s="84">
        <v>8.38</v>
      </c>
      <c r="F491" s="85">
        <f>TRUNC(G498,2)</f>
        <v>613.2</v>
      </c>
      <c r="G491" s="86">
        <f>TRUNC(F491*1.2882,2)</f>
        <v>789.92</v>
      </c>
      <c r="H491" s="86">
        <f>TRUNC(F491*E491,2)</f>
        <v>5138.61</v>
      </c>
      <c r="I491" s="87">
        <f>TRUNC(E491*G491,2)</f>
        <v>6619.52</v>
      </c>
      <c r="J491" s="87"/>
      <c r="K491" s="84"/>
    </row>
    <row r="492" spans="1:11" s="34" customFormat="1" ht="30">
      <c r="A492" s="30"/>
      <c r="B492" s="43" t="s">
        <v>558</v>
      </c>
      <c r="C492" s="45" t="s">
        <v>559</v>
      </c>
      <c r="D492" s="46" t="s">
        <v>10</v>
      </c>
      <c r="E492" s="44">
        <v>0.5473</v>
      </c>
      <c r="F492" s="31">
        <f>TRUNC(921.01,2)</f>
        <v>921.01</v>
      </c>
      <c r="G492" s="32">
        <f aca="true" t="shared" si="27" ref="G492:G497">TRUNC(E492*F492,2)</f>
        <v>504.06</v>
      </c>
      <c r="H492" s="32"/>
      <c r="I492" s="33"/>
      <c r="J492" s="33"/>
      <c r="K492" s="44"/>
    </row>
    <row r="493" spans="1:11" s="34" customFormat="1" ht="30">
      <c r="A493" s="30"/>
      <c r="B493" s="43" t="s">
        <v>560</v>
      </c>
      <c r="C493" s="45" t="s">
        <v>561</v>
      </c>
      <c r="D493" s="46" t="s">
        <v>2</v>
      </c>
      <c r="E493" s="44">
        <v>6.8504</v>
      </c>
      <c r="F493" s="31">
        <f>TRUNC(9.65,2)</f>
        <v>9.65</v>
      </c>
      <c r="G493" s="32">
        <f t="shared" si="27"/>
        <v>66.1</v>
      </c>
      <c r="H493" s="32"/>
      <c r="I493" s="33"/>
      <c r="J493" s="33"/>
      <c r="K493" s="44"/>
    </row>
    <row r="494" spans="1:11" s="34" customFormat="1" ht="30">
      <c r="A494" s="30"/>
      <c r="B494" s="43" t="s">
        <v>562</v>
      </c>
      <c r="C494" s="45" t="s">
        <v>563</v>
      </c>
      <c r="D494" s="46" t="s">
        <v>10</v>
      </c>
      <c r="E494" s="44">
        <v>4.8166</v>
      </c>
      <c r="F494" s="31">
        <f>TRUNC(0.67,2)</f>
        <v>0.67</v>
      </c>
      <c r="G494" s="32">
        <f t="shared" si="27"/>
        <v>3.22</v>
      </c>
      <c r="H494" s="32"/>
      <c r="I494" s="33"/>
      <c r="J494" s="33"/>
      <c r="K494" s="44"/>
    </row>
    <row r="495" spans="1:11" s="34" customFormat="1" ht="30">
      <c r="A495" s="30"/>
      <c r="B495" s="43" t="s">
        <v>564</v>
      </c>
      <c r="C495" s="45" t="s">
        <v>565</v>
      </c>
      <c r="D495" s="46" t="s">
        <v>566</v>
      </c>
      <c r="E495" s="44">
        <v>0.8829</v>
      </c>
      <c r="F495" s="31">
        <f>TRUNC(28.96,2)</f>
        <v>28.96</v>
      </c>
      <c r="G495" s="32">
        <f t="shared" si="27"/>
        <v>25.56</v>
      </c>
      <c r="H495" s="32"/>
      <c r="I495" s="33"/>
      <c r="J495" s="33"/>
      <c r="K495" s="44"/>
    </row>
    <row r="496" spans="1:11" s="34" customFormat="1" ht="15">
      <c r="A496" s="30"/>
      <c r="B496" s="43" t="s">
        <v>283</v>
      </c>
      <c r="C496" s="45" t="s">
        <v>32</v>
      </c>
      <c r="D496" s="46" t="s">
        <v>4</v>
      </c>
      <c r="E496" s="44">
        <v>0.191</v>
      </c>
      <c r="F496" s="31">
        <f>TRUNC(21.13,2)</f>
        <v>21.13</v>
      </c>
      <c r="G496" s="32">
        <f t="shared" si="27"/>
        <v>4.03</v>
      </c>
      <c r="H496" s="32"/>
      <c r="I496" s="33"/>
      <c r="J496" s="33"/>
      <c r="K496" s="44"/>
    </row>
    <row r="497" spans="1:11" s="34" customFormat="1" ht="15">
      <c r="A497" s="30"/>
      <c r="B497" s="43" t="s">
        <v>306</v>
      </c>
      <c r="C497" s="45" t="s">
        <v>307</v>
      </c>
      <c r="D497" s="46" t="s">
        <v>4</v>
      </c>
      <c r="E497" s="44">
        <v>0.3826</v>
      </c>
      <c r="F497" s="31">
        <f>TRUNC(26.76,2)</f>
        <v>26.76</v>
      </c>
      <c r="G497" s="32">
        <f t="shared" si="27"/>
        <v>10.23</v>
      </c>
      <c r="H497" s="32"/>
      <c r="I497" s="33"/>
      <c r="J497" s="33"/>
      <c r="K497" s="44"/>
    </row>
    <row r="498" spans="1:11" s="34" customFormat="1" ht="15">
      <c r="A498" s="30"/>
      <c r="B498" s="43"/>
      <c r="C498" s="45"/>
      <c r="D498" s="46"/>
      <c r="E498" s="44" t="s">
        <v>5</v>
      </c>
      <c r="F498" s="31"/>
      <c r="G498" s="32">
        <f>TRUNC(SUM(G492:G497),2)</f>
        <v>613.2</v>
      </c>
      <c r="H498" s="32"/>
      <c r="I498" s="33"/>
      <c r="J498" s="33"/>
      <c r="K498" s="44"/>
    </row>
    <row r="499" spans="1:11" s="88" customFormat="1" ht="45">
      <c r="A499" s="80" t="s">
        <v>931</v>
      </c>
      <c r="B499" s="81" t="s">
        <v>852</v>
      </c>
      <c r="C499" s="82" t="s">
        <v>853</v>
      </c>
      <c r="D499" s="83" t="s">
        <v>0</v>
      </c>
      <c r="E499" s="84">
        <v>13.32</v>
      </c>
      <c r="F499" s="85">
        <f>TRUNC(G503,2)</f>
        <v>499.87</v>
      </c>
      <c r="G499" s="86">
        <f>TRUNC(F499*1.2882,2)</f>
        <v>643.93</v>
      </c>
      <c r="H499" s="86">
        <f>TRUNC(F499*E499,2)</f>
        <v>6658.26</v>
      </c>
      <c r="I499" s="87">
        <f>TRUNC(E499*G499,2)</f>
        <v>8577.14</v>
      </c>
      <c r="J499" s="87"/>
      <c r="K499" s="84"/>
    </row>
    <row r="500" spans="1:11" s="34" customFormat="1" ht="15">
      <c r="A500" s="30"/>
      <c r="B500" s="43" t="s">
        <v>854</v>
      </c>
      <c r="C500" s="45" t="s">
        <v>855</v>
      </c>
      <c r="D500" s="46" t="s">
        <v>3</v>
      </c>
      <c r="E500" s="44">
        <v>12.177</v>
      </c>
      <c r="F500" s="31">
        <f>TRUNC(32,2)</f>
        <v>32</v>
      </c>
      <c r="G500" s="32">
        <f>TRUNC(E500*F500,2)</f>
        <v>389.66</v>
      </c>
      <c r="H500" s="32"/>
      <c r="I500" s="33"/>
      <c r="J500" s="33"/>
      <c r="K500" s="44"/>
    </row>
    <row r="501" spans="1:11" s="34" customFormat="1" ht="30">
      <c r="A501" s="30"/>
      <c r="B501" s="43" t="s">
        <v>26</v>
      </c>
      <c r="C501" s="45" t="s">
        <v>27</v>
      </c>
      <c r="D501" s="46" t="s">
        <v>4</v>
      </c>
      <c r="E501" s="44">
        <v>3.09</v>
      </c>
      <c r="F501" s="31">
        <f>TRUNC(14.34,2)</f>
        <v>14.34</v>
      </c>
      <c r="G501" s="32">
        <f>TRUNC(E501*F501,2)</f>
        <v>44.31</v>
      </c>
      <c r="H501" s="32"/>
      <c r="I501" s="33"/>
      <c r="J501" s="33"/>
      <c r="K501" s="44"/>
    </row>
    <row r="502" spans="1:11" s="34" customFormat="1" ht="30">
      <c r="A502" s="30"/>
      <c r="B502" s="43" t="s">
        <v>211</v>
      </c>
      <c r="C502" s="45" t="s">
        <v>212</v>
      </c>
      <c r="D502" s="46" t="s">
        <v>4</v>
      </c>
      <c r="E502" s="44">
        <v>3.09</v>
      </c>
      <c r="F502" s="31">
        <f>TRUNC(21.33,2)</f>
        <v>21.33</v>
      </c>
      <c r="G502" s="32">
        <f>TRUNC(E502*F502,2)</f>
        <v>65.9</v>
      </c>
      <c r="H502" s="32"/>
      <c r="I502" s="33"/>
      <c r="J502" s="33"/>
      <c r="K502" s="44"/>
    </row>
    <row r="503" spans="1:11" s="34" customFormat="1" ht="15">
      <c r="A503" s="30"/>
      <c r="B503" s="43"/>
      <c r="C503" s="45"/>
      <c r="D503" s="46"/>
      <c r="E503" s="44" t="s">
        <v>5</v>
      </c>
      <c r="F503" s="31"/>
      <c r="G503" s="32">
        <f>TRUNC(SUM(G500:G502),2)</f>
        <v>499.87</v>
      </c>
      <c r="H503" s="32"/>
      <c r="I503" s="33"/>
      <c r="J503" s="33"/>
      <c r="K503" s="44"/>
    </row>
    <row r="504" spans="1:11" s="88" customFormat="1" ht="45">
      <c r="A504" s="80" t="s">
        <v>932</v>
      </c>
      <c r="B504" s="81" t="s">
        <v>856</v>
      </c>
      <c r="C504" s="82" t="s">
        <v>857</v>
      </c>
      <c r="D504" s="83" t="s">
        <v>0</v>
      </c>
      <c r="E504" s="84">
        <v>2.16</v>
      </c>
      <c r="F504" s="85">
        <f>TRUNC(G508,2)</f>
        <v>617.35</v>
      </c>
      <c r="G504" s="86">
        <f>TRUNC(F504*1.2882,2)</f>
        <v>795.27</v>
      </c>
      <c r="H504" s="86">
        <f>TRUNC(F504*E504,2)</f>
        <v>1333.47</v>
      </c>
      <c r="I504" s="87">
        <f>TRUNC(E504*G504,2)</f>
        <v>1717.78</v>
      </c>
      <c r="J504" s="87"/>
      <c r="K504" s="84"/>
    </row>
    <row r="505" spans="1:11" s="34" customFormat="1" ht="15">
      <c r="A505" s="30"/>
      <c r="B505" s="43" t="s">
        <v>854</v>
      </c>
      <c r="C505" s="45" t="s">
        <v>855</v>
      </c>
      <c r="D505" s="46" t="s">
        <v>3</v>
      </c>
      <c r="E505" s="44">
        <v>14.7</v>
      </c>
      <c r="F505" s="31">
        <f>TRUNC(32,2)</f>
        <v>32</v>
      </c>
      <c r="G505" s="32">
        <f>TRUNC(E505*F505,2)</f>
        <v>470.4</v>
      </c>
      <c r="H505" s="32"/>
      <c r="I505" s="33"/>
      <c r="J505" s="33"/>
      <c r="K505" s="44"/>
    </row>
    <row r="506" spans="1:11" s="34" customFormat="1" ht="30">
      <c r="A506" s="30"/>
      <c r="B506" s="43" t="s">
        <v>26</v>
      </c>
      <c r="C506" s="45" t="s">
        <v>27</v>
      </c>
      <c r="D506" s="46" t="s">
        <v>4</v>
      </c>
      <c r="E506" s="44">
        <v>4.12</v>
      </c>
      <c r="F506" s="31">
        <f>TRUNC(14.34,2)</f>
        <v>14.34</v>
      </c>
      <c r="G506" s="32">
        <f>TRUNC(E506*F506,2)</f>
        <v>59.08</v>
      </c>
      <c r="H506" s="32"/>
      <c r="I506" s="33"/>
      <c r="J506" s="33"/>
      <c r="K506" s="44"/>
    </row>
    <row r="507" spans="1:11" s="34" customFormat="1" ht="30">
      <c r="A507" s="30"/>
      <c r="B507" s="43" t="s">
        <v>211</v>
      </c>
      <c r="C507" s="45" t="s">
        <v>212</v>
      </c>
      <c r="D507" s="46" t="s">
        <v>4</v>
      </c>
      <c r="E507" s="44">
        <v>4.12</v>
      </c>
      <c r="F507" s="31">
        <f>TRUNC(21.33,2)</f>
        <v>21.33</v>
      </c>
      <c r="G507" s="32">
        <f>TRUNC(E507*F507,2)</f>
        <v>87.87</v>
      </c>
      <c r="H507" s="32"/>
      <c r="I507" s="33"/>
      <c r="J507" s="33"/>
      <c r="K507" s="44"/>
    </row>
    <row r="508" spans="1:11" s="34" customFormat="1" ht="15">
      <c r="A508" s="30"/>
      <c r="B508" s="43"/>
      <c r="C508" s="45"/>
      <c r="D508" s="46"/>
      <c r="E508" s="44" t="s">
        <v>5</v>
      </c>
      <c r="F508" s="31"/>
      <c r="G508" s="32">
        <f>TRUNC(SUM(G505:G507),2)</f>
        <v>617.35</v>
      </c>
      <c r="H508" s="32"/>
      <c r="I508" s="33"/>
      <c r="J508" s="33"/>
      <c r="K508" s="44"/>
    </row>
    <row r="509" spans="1:11" s="88" customFormat="1" ht="45">
      <c r="A509" s="80" t="s">
        <v>933</v>
      </c>
      <c r="B509" s="81" t="s">
        <v>1459</v>
      </c>
      <c r="C509" s="82" t="s">
        <v>1460</v>
      </c>
      <c r="D509" s="83" t="s">
        <v>0</v>
      </c>
      <c r="E509" s="84">
        <v>15.84</v>
      </c>
      <c r="F509" s="85">
        <f>TRUNC(G513,2)</f>
        <v>444.87</v>
      </c>
      <c r="G509" s="86">
        <f>TRUNC(F509*1.2882,2)</f>
        <v>573.08</v>
      </c>
      <c r="H509" s="86">
        <f>TRUNC(F509*E509,2)</f>
        <v>7046.74</v>
      </c>
      <c r="I509" s="87">
        <f>TRUNC(E509*G509,2)</f>
        <v>9077.58</v>
      </c>
      <c r="J509" s="87"/>
      <c r="K509" s="84"/>
    </row>
    <row r="510" spans="1:11" s="34" customFormat="1" ht="15">
      <c r="A510" s="30"/>
      <c r="B510" s="43" t="s">
        <v>854</v>
      </c>
      <c r="C510" s="45" t="s">
        <v>855</v>
      </c>
      <c r="D510" s="46" t="s">
        <v>3</v>
      </c>
      <c r="E510" s="44">
        <v>9.31</v>
      </c>
      <c r="F510" s="31">
        <f>TRUNC(32,2)</f>
        <v>32</v>
      </c>
      <c r="G510" s="32">
        <f>TRUNC(E510*F510,2)</f>
        <v>297.92</v>
      </c>
      <c r="H510" s="32"/>
      <c r="I510" s="33"/>
      <c r="J510" s="33"/>
      <c r="K510" s="44"/>
    </row>
    <row r="511" spans="1:11" s="34" customFormat="1" ht="30">
      <c r="A511" s="30"/>
      <c r="B511" s="43" t="s">
        <v>26</v>
      </c>
      <c r="C511" s="45" t="s">
        <v>27</v>
      </c>
      <c r="D511" s="46" t="s">
        <v>4</v>
      </c>
      <c r="E511" s="44">
        <v>4.12</v>
      </c>
      <c r="F511" s="31">
        <f>TRUNC(14.34,2)</f>
        <v>14.34</v>
      </c>
      <c r="G511" s="32">
        <f>TRUNC(E511*F511,2)</f>
        <v>59.08</v>
      </c>
      <c r="H511" s="32"/>
      <c r="I511" s="33"/>
      <c r="J511" s="33"/>
      <c r="K511" s="44"/>
    </row>
    <row r="512" spans="1:11" s="34" customFormat="1" ht="30">
      <c r="A512" s="30"/>
      <c r="B512" s="43" t="s">
        <v>211</v>
      </c>
      <c r="C512" s="45" t="s">
        <v>212</v>
      </c>
      <c r="D512" s="46" t="s">
        <v>4</v>
      </c>
      <c r="E512" s="44">
        <v>4.12</v>
      </c>
      <c r="F512" s="31">
        <f>TRUNC(21.33,2)</f>
        <v>21.33</v>
      </c>
      <c r="G512" s="32">
        <f>TRUNC(E512*F512,2)</f>
        <v>87.87</v>
      </c>
      <c r="H512" s="32"/>
      <c r="I512" s="33"/>
      <c r="J512" s="33"/>
      <c r="K512" s="44"/>
    </row>
    <row r="513" spans="1:11" s="34" customFormat="1" ht="15">
      <c r="A513" s="30"/>
      <c r="B513" s="43"/>
      <c r="C513" s="45"/>
      <c r="D513" s="46"/>
      <c r="E513" s="44" t="s">
        <v>5</v>
      </c>
      <c r="F513" s="31"/>
      <c r="G513" s="32">
        <f>TRUNC(SUM(G510:G512),2)</f>
        <v>444.87</v>
      </c>
      <c r="H513" s="32"/>
      <c r="I513" s="33"/>
      <c r="J513" s="33"/>
      <c r="K513" s="44"/>
    </row>
    <row r="514" spans="1:11" s="88" customFormat="1" ht="60">
      <c r="A514" s="80" t="s">
        <v>934</v>
      </c>
      <c r="B514" s="81" t="s">
        <v>858</v>
      </c>
      <c r="C514" s="82" t="s">
        <v>859</v>
      </c>
      <c r="D514" s="83" t="s">
        <v>0</v>
      </c>
      <c r="E514" s="84">
        <v>2.16</v>
      </c>
      <c r="F514" s="85">
        <f>TRUNC(G518,2)</f>
        <v>497.83</v>
      </c>
      <c r="G514" s="86">
        <f>TRUNC(F514*1.2882,2)</f>
        <v>641.3</v>
      </c>
      <c r="H514" s="86">
        <f>TRUNC(F514*E514,2)</f>
        <v>1075.31</v>
      </c>
      <c r="I514" s="87">
        <f>TRUNC(E514*G514,2)</f>
        <v>1385.2</v>
      </c>
      <c r="J514" s="87"/>
      <c r="K514" s="84"/>
    </row>
    <row r="515" spans="1:11" s="34" customFormat="1" ht="15">
      <c r="A515" s="30"/>
      <c r="B515" s="43" t="s">
        <v>854</v>
      </c>
      <c r="C515" s="45" t="s">
        <v>855</v>
      </c>
      <c r="D515" s="46" t="s">
        <v>3</v>
      </c>
      <c r="E515" s="44">
        <v>10.965</v>
      </c>
      <c r="F515" s="31">
        <f>TRUNC(32,2)</f>
        <v>32</v>
      </c>
      <c r="G515" s="32">
        <f>TRUNC(E515*F515,2)</f>
        <v>350.88</v>
      </c>
      <c r="H515" s="32"/>
      <c r="I515" s="33"/>
      <c r="J515" s="33"/>
      <c r="K515" s="44"/>
    </row>
    <row r="516" spans="1:11" s="34" customFormat="1" ht="30">
      <c r="A516" s="30"/>
      <c r="B516" s="43" t="s">
        <v>26</v>
      </c>
      <c r="C516" s="45" t="s">
        <v>27</v>
      </c>
      <c r="D516" s="46" t="s">
        <v>4</v>
      </c>
      <c r="E516" s="44">
        <v>4.12</v>
      </c>
      <c r="F516" s="31">
        <f>TRUNC(14.34,2)</f>
        <v>14.34</v>
      </c>
      <c r="G516" s="32">
        <f>TRUNC(E516*F516,2)</f>
        <v>59.08</v>
      </c>
      <c r="H516" s="32"/>
      <c r="I516" s="33"/>
      <c r="J516" s="33"/>
      <c r="K516" s="44"/>
    </row>
    <row r="517" spans="1:11" s="34" customFormat="1" ht="30">
      <c r="A517" s="30"/>
      <c r="B517" s="43" t="s">
        <v>211</v>
      </c>
      <c r="C517" s="45" t="s">
        <v>212</v>
      </c>
      <c r="D517" s="46" t="s">
        <v>4</v>
      </c>
      <c r="E517" s="44">
        <v>4.12</v>
      </c>
      <c r="F517" s="31">
        <f>TRUNC(21.33,2)</f>
        <v>21.33</v>
      </c>
      <c r="G517" s="32">
        <f>TRUNC(E517*F517,2)</f>
        <v>87.87</v>
      </c>
      <c r="H517" s="32"/>
      <c r="I517" s="33"/>
      <c r="J517" s="33"/>
      <c r="K517" s="44"/>
    </row>
    <row r="518" spans="1:11" s="34" customFormat="1" ht="15">
      <c r="A518" s="30"/>
      <c r="B518" s="43"/>
      <c r="C518" s="45"/>
      <c r="D518" s="46"/>
      <c r="E518" s="44" t="s">
        <v>5</v>
      </c>
      <c r="F518" s="31"/>
      <c r="G518" s="32">
        <f>TRUNC(SUM(G515:G517),2)</f>
        <v>497.83</v>
      </c>
      <c r="H518" s="32"/>
      <c r="I518" s="33"/>
      <c r="J518" s="33"/>
      <c r="K518" s="44"/>
    </row>
    <row r="519" spans="1:11" s="88" customFormat="1" ht="60">
      <c r="A519" s="80" t="s">
        <v>1597</v>
      </c>
      <c r="B519" s="81" t="s">
        <v>1461</v>
      </c>
      <c r="C519" s="81" t="s">
        <v>1462</v>
      </c>
      <c r="D519" s="83" t="s">
        <v>0</v>
      </c>
      <c r="E519" s="84">
        <v>34.56</v>
      </c>
      <c r="F519" s="85">
        <f>TRUNC(G523,2)</f>
        <v>503.27</v>
      </c>
      <c r="G519" s="86">
        <f>TRUNC(F519*1.2882,2)</f>
        <v>648.31</v>
      </c>
      <c r="H519" s="86">
        <f>TRUNC(F519*E519,2)</f>
        <v>17393.01</v>
      </c>
      <c r="I519" s="87">
        <f>TRUNC(E519*G519,2)</f>
        <v>22405.59</v>
      </c>
      <c r="J519" s="87"/>
      <c r="K519" s="84"/>
    </row>
    <row r="520" spans="1:11" s="34" customFormat="1" ht="15">
      <c r="A520" s="30"/>
      <c r="B520" s="43" t="s">
        <v>854</v>
      </c>
      <c r="C520" s="45" t="s">
        <v>855</v>
      </c>
      <c r="D520" s="46" t="s">
        <v>3</v>
      </c>
      <c r="E520" s="44">
        <v>11.135</v>
      </c>
      <c r="F520" s="31">
        <f>TRUNC(32,2)</f>
        <v>32</v>
      </c>
      <c r="G520" s="32">
        <f>TRUNC(E520*F520,2)</f>
        <v>356.32</v>
      </c>
      <c r="H520" s="32"/>
      <c r="I520" s="33"/>
      <c r="J520" s="33"/>
      <c r="K520" s="44"/>
    </row>
    <row r="521" spans="1:11" s="34" customFormat="1" ht="30">
      <c r="A521" s="30"/>
      <c r="B521" s="43" t="s">
        <v>26</v>
      </c>
      <c r="C521" s="45" t="s">
        <v>27</v>
      </c>
      <c r="D521" s="46" t="s">
        <v>4</v>
      </c>
      <c r="E521" s="44">
        <v>4.12</v>
      </c>
      <c r="F521" s="31">
        <f>TRUNC(14.34,2)</f>
        <v>14.34</v>
      </c>
      <c r="G521" s="32">
        <f>TRUNC(E521*F521,2)</f>
        <v>59.08</v>
      </c>
      <c r="H521" s="32"/>
      <c r="I521" s="33"/>
      <c r="J521" s="33"/>
      <c r="K521" s="44"/>
    </row>
    <row r="522" spans="1:11" s="34" customFormat="1" ht="30">
      <c r="A522" s="30"/>
      <c r="B522" s="43" t="s">
        <v>211</v>
      </c>
      <c r="C522" s="45" t="s">
        <v>212</v>
      </c>
      <c r="D522" s="46" t="s">
        <v>4</v>
      </c>
      <c r="E522" s="44">
        <v>4.12</v>
      </c>
      <c r="F522" s="31">
        <f>TRUNC(21.33,2)</f>
        <v>21.33</v>
      </c>
      <c r="G522" s="32">
        <f>TRUNC(E522*F522,2)</f>
        <v>87.87</v>
      </c>
      <c r="H522" s="32"/>
      <c r="I522" s="33"/>
      <c r="J522" s="33"/>
      <c r="K522" s="44"/>
    </row>
    <row r="523" spans="1:11" s="34" customFormat="1" ht="15">
      <c r="A523" s="30"/>
      <c r="B523" s="43"/>
      <c r="C523" s="45"/>
      <c r="D523" s="46"/>
      <c r="E523" s="44" t="s">
        <v>5</v>
      </c>
      <c r="F523" s="31"/>
      <c r="G523" s="32">
        <f>TRUNC(SUM(G520:G522),2)</f>
        <v>503.27</v>
      </c>
      <c r="H523" s="32"/>
      <c r="I523" s="33"/>
      <c r="J523" s="33"/>
      <c r="K523" s="44"/>
    </row>
    <row r="524" spans="1:11" s="88" customFormat="1" ht="45">
      <c r="A524" s="80" t="s">
        <v>935</v>
      </c>
      <c r="B524" s="81" t="s">
        <v>862</v>
      </c>
      <c r="C524" s="82" t="s">
        <v>863</v>
      </c>
      <c r="D524" s="83" t="s">
        <v>0</v>
      </c>
      <c r="E524" s="84">
        <v>4.5</v>
      </c>
      <c r="F524" s="85">
        <f>TRUNC(G528,2)</f>
        <v>15.42</v>
      </c>
      <c r="G524" s="86">
        <f>TRUNC(F524*1.2882,2)</f>
        <v>19.86</v>
      </c>
      <c r="H524" s="86">
        <f>TRUNC(F524*E524,2)</f>
        <v>69.39</v>
      </c>
      <c r="I524" s="87">
        <f>TRUNC(E524*G524,2)</f>
        <v>89.37</v>
      </c>
      <c r="J524" s="87"/>
      <c r="K524" s="84"/>
    </row>
    <row r="525" spans="1:11" s="34" customFormat="1" ht="30">
      <c r="A525" s="30"/>
      <c r="B525" s="43" t="s">
        <v>864</v>
      </c>
      <c r="C525" s="45" t="s">
        <v>865</v>
      </c>
      <c r="D525" s="46" t="s">
        <v>0</v>
      </c>
      <c r="E525" s="44">
        <v>1.05</v>
      </c>
      <c r="F525" s="31">
        <f>TRUNC(11.9,2)</f>
        <v>11.9</v>
      </c>
      <c r="G525" s="32">
        <f>TRUNC(E525*F525,2)</f>
        <v>12.49</v>
      </c>
      <c r="H525" s="32"/>
      <c r="I525" s="33"/>
      <c r="J525" s="33"/>
      <c r="K525" s="44"/>
    </row>
    <row r="526" spans="1:11" s="34" customFormat="1" ht="30">
      <c r="A526" s="30"/>
      <c r="B526" s="43" t="s">
        <v>26</v>
      </c>
      <c r="C526" s="45" t="s">
        <v>27</v>
      </c>
      <c r="D526" s="46" t="s">
        <v>4</v>
      </c>
      <c r="E526" s="44">
        <v>0.0824</v>
      </c>
      <c r="F526" s="31">
        <f>TRUNC(14.34,2)</f>
        <v>14.34</v>
      </c>
      <c r="G526" s="32">
        <f>TRUNC(E526*F526,2)</f>
        <v>1.18</v>
      </c>
      <c r="H526" s="32"/>
      <c r="I526" s="33"/>
      <c r="J526" s="33"/>
      <c r="K526" s="44"/>
    </row>
    <row r="527" spans="1:11" s="34" customFormat="1" ht="30">
      <c r="A527" s="30"/>
      <c r="B527" s="43" t="s">
        <v>67</v>
      </c>
      <c r="C527" s="45" t="s">
        <v>68</v>
      </c>
      <c r="D527" s="46" t="s">
        <v>4</v>
      </c>
      <c r="E527" s="44">
        <v>0.0824</v>
      </c>
      <c r="F527" s="31">
        <f>TRUNC(21.33,2)</f>
        <v>21.33</v>
      </c>
      <c r="G527" s="32">
        <f>TRUNC(E527*F527,2)</f>
        <v>1.75</v>
      </c>
      <c r="H527" s="32"/>
      <c r="I527" s="33"/>
      <c r="J527" s="33"/>
      <c r="K527" s="44"/>
    </row>
    <row r="528" spans="1:11" s="34" customFormat="1" ht="15">
      <c r="A528" s="30"/>
      <c r="B528" s="43"/>
      <c r="C528" s="45"/>
      <c r="D528" s="46"/>
      <c r="E528" s="44" t="s">
        <v>5</v>
      </c>
      <c r="F528" s="31"/>
      <c r="G528" s="32">
        <f>TRUNC(SUM(G525:G527),2)</f>
        <v>15.42</v>
      </c>
      <c r="H528" s="32"/>
      <c r="I528" s="33"/>
      <c r="J528" s="33"/>
      <c r="K528" s="44"/>
    </row>
    <row r="529" spans="1:11" s="88" customFormat="1" ht="30">
      <c r="A529" s="80" t="s">
        <v>936</v>
      </c>
      <c r="B529" s="81" t="s">
        <v>866</v>
      </c>
      <c r="C529" s="82" t="s">
        <v>867</v>
      </c>
      <c r="D529" s="83" t="s">
        <v>0</v>
      </c>
      <c r="E529" s="84">
        <v>69.72</v>
      </c>
      <c r="F529" s="85">
        <f>TRUNC(G537,2)</f>
        <v>315.36</v>
      </c>
      <c r="G529" s="86">
        <f>TRUNC(F529*1.2882,2)</f>
        <v>406.24</v>
      </c>
      <c r="H529" s="86">
        <f>TRUNC(F529*E529,2)</f>
        <v>21986.89</v>
      </c>
      <c r="I529" s="87">
        <f>TRUNC(E529*G529,2)</f>
        <v>28323.05</v>
      </c>
      <c r="J529" s="87"/>
      <c r="K529" s="84"/>
    </row>
    <row r="530" spans="1:11" s="34" customFormat="1" ht="15">
      <c r="A530" s="30"/>
      <c r="B530" s="43" t="s">
        <v>860</v>
      </c>
      <c r="C530" s="45" t="s">
        <v>861</v>
      </c>
      <c r="D530" s="46" t="s">
        <v>10</v>
      </c>
      <c r="E530" s="44">
        <v>0.397</v>
      </c>
      <c r="F530" s="31">
        <f>TRUNC(19.14,2)</f>
        <v>19.14</v>
      </c>
      <c r="G530" s="32">
        <f aca="true" t="shared" si="28" ref="G530:G536">TRUNC(E530*F530,2)</f>
        <v>7.59</v>
      </c>
      <c r="H530" s="32"/>
      <c r="I530" s="33"/>
      <c r="J530" s="33"/>
      <c r="K530" s="44"/>
    </row>
    <row r="531" spans="1:11" s="34" customFormat="1" ht="30">
      <c r="A531" s="30"/>
      <c r="B531" s="43" t="s">
        <v>868</v>
      </c>
      <c r="C531" s="45" t="s">
        <v>869</v>
      </c>
      <c r="D531" s="46" t="s">
        <v>2</v>
      </c>
      <c r="E531" s="44">
        <v>2.992</v>
      </c>
      <c r="F531" s="31">
        <f>TRUNC(2.02,2)</f>
        <v>2.02</v>
      </c>
      <c r="G531" s="32">
        <f t="shared" si="28"/>
        <v>6.04</v>
      </c>
      <c r="H531" s="32"/>
      <c r="I531" s="33"/>
      <c r="J531" s="33"/>
      <c r="K531" s="44"/>
    </row>
    <row r="532" spans="1:11" s="34" customFormat="1" ht="15">
      <c r="A532" s="30"/>
      <c r="B532" s="43" t="s">
        <v>870</v>
      </c>
      <c r="C532" s="45" t="s">
        <v>871</v>
      </c>
      <c r="D532" s="46" t="s">
        <v>3</v>
      </c>
      <c r="E532" s="44">
        <v>0.964</v>
      </c>
      <c r="F532" s="31">
        <f>TRUNC(38.4,2)</f>
        <v>38.4</v>
      </c>
      <c r="G532" s="32">
        <f t="shared" si="28"/>
        <v>37.01</v>
      </c>
      <c r="H532" s="32"/>
      <c r="I532" s="33"/>
      <c r="J532" s="33"/>
      <c r="K532" s="44"/>
    </row>
    <row r="533" spans="1:11" s="34" customFormat="1" ht="30">
      <c r="A533" s="30"/>
      <c r="B533" s="43" t="s">
        <v>872</v>
      </c>
      <c r="C533" s="45" t="s">
        <v>873</v>
      </c>
      <c r="D533" s="46" t="s">
        <v>10</v>
      </c>
      <c r="E533" s="44">
        <v>2.196</v>
      </c>
      <c r="F533" s="31">
        <f>TRUNC(0.22,2)</f>
        <v>0.22</v>
      </c>
      <c r="G533" s="32">
        <f t="shared" si="28"/>
        <v>0.48</v>
      </c>
      <c r="H533" s="32"/>
      <c r="I533" s="33"/>
      <c r="J533" s="33"/>
      <c r="K533" s="44"/>
    </row>
    <row r="534" spans="1:11" s="34" customFormat="1" ht="15">
      <c r="A534" s="30"/>
      <c r="B534" s="43" t="s">
        <v>874</v>
      </c>
      <c r="C534" s="45" t="s">
        <v>875</v>
      </c>
      <c r="D534" s="46" t="s">
        <v>0</v>
      </c>
      <c r="E534" s="44">
        <v>1</v>
      </c>
      <c r="F534" s="31">
        <f>TRUNC(190.94,2)</f>
        <v>190.94</v>
      </c>
      <c r="G534" s="32">
        <f t="shared" si="28"/>
        <v>190.94</v>
      </c>
      <c r="H534" s="32"/>
      <c r="I534" s="33"/>
      <c r="J534" s="33"/>
      <c r="K534" s="44"/>
    </row>
    <row r="535" spans="1:11" s="34" customFormat="1" ht="15">
      <c r="A535" s="30"/>
      <c r="B535" s="43" t="s">
        <v>876</v>
      </c>
      <c r="C535" s="45" t="s">
        <v>877</v>
      </c>
      <c r="D535" s="46" t="s">
        <v>4</v>
      </c>
      <c r="E535" s="44">
        <v>1.586</v>
      </c>
      <c r="F535" s="31">
        <f>TRUNC(25.68,2)</f>
        <v>25.68</v>
      </c>
      <c r="G535" s="32">
        <f t="shared" si="28"/>
        <v>40.72</v>
      </c>
      <c r="H535" s="32"/>
      <c r="I535" s="33"/>
      <c r="J535" s="33"/>
      <c r="K535" s="44"/>
    </row>
    <row r="536" spans="1:11" s="34" customFormat="1" ht="15">
      <c r="A536" s="30"/>
      <c r="B536" s="43" t="s">
        <v>283</v>
      </c>
      <c r="C536" s="45" t="s">
        <v>32</v>
      </c>
      <c r="D536" s="46" t="s">
        <v>4</v>
      </c>
      <c r="E536" s="44">
        <v>1.542</v>
      </c>
      <c r="F536" s="31">
        <f>TRUNC(21.13,2)</f>
        <v>21.13</v>
      </c>
      <c r="G536" s="32">
        <f t="shared" si="28"/>
        <v>32.58</v>
      </c>
      <c r="H536" s="32"/>
      <c r="I536" s="33"/>
      <c r="J536" s="33"/>
      <c r="K536" s="44"/>
    </row>
    <row r="537" spans="1:11" s="34" customFormat="1" ht="15">
      <c r="A537" s="30"/>
      <c r="B537" s="43"/>
      <c r="C537" s="45"/>
      <c r="D537" s="46"/>
      <c r="E537" s="44" t="s">
        <v>5</v>
      </c>
      <c r="F537" s="31"/>
      <c r="G537" s="32">
        <f>TRUNC(SUM(G530:G536),2)</f>
        <v>315.36</v>
      </c>
      <c r="H537" s="32"/>
      <c r="I537" s="33"/>
      <c r="J537" s="33"/>
      <c r="K537" s="44"/>
    </row>
    <row r="538" spans="1:11" s="88" customFormat="1" ht="45">
      <c r="A538" s="80" t="s">
        <v>937</v>
      </c>
      <c r="B538" s="81" t="s">
        <v>878</v>
      </c>
      <c r="C538" s="82" t="s">
        <v>879</v>
      </c>
      <c r="D538" s="83" t="s">
        <v>0</v>
      </c>
      <c r="E538" s="84">
        <v>6.04</v>
      </c>
      <c r="F538" s="85">
        <f>TRUNC(G545,2)</f>
        <v>284.4</v>
      </c>
      <c r="G538" s="86">
        <f>TRUNC(F538*1.2882,2)</f>
        <v>366.36</v>
      </c>
      <c r="H538" s="86">
        <f>TRUNC(F538*E538,2)</f>
        <v>1717.77</v>
      </c>
      <c r="I538" s="87">
        <f>TRUNC(E538*G538,2)</f>
        <v>2212.81</v>
      </c>
      <c r="J538" s="87"/>
      <c r="K538" s="84"/>
    </row>
    <row r="539" spans="1:11" s="34" customFormat="1" ht="15">
      <c r="A539" s="30"/>
      <c r="B539" s="43" t="s">
        <v>880</v>
      </c>
      <c r="C539" s="45" t="s">
        <v>881</v>
      </c>
      <c r="D539" s="46" t="s">
        <v>10</v>
      </c>
      <c r="E539" s="44">
        <v>8</v>
      </c>
      <c r="F539" s="31">
        <f>TRUNC(0.27,2)</f>
        <v>0.27</v>
      </c>
      <c r="G539" s="32">
        <f aca="true" t="shared" si="29" ref="G539:G544">TRUNC(E539*F539,2)</f>
        <v>2.16</v>
      </c>
      <c r="H539" s="32"/>
      <c r="I539" s="33"/>
      <c r="J539" s="33"/>
      <c r="K539" s="44"/>
    </row>
    <row r="540" spans="1:11" s="34" customFormat="1" ht="15">
      <c r="A540" s="30"/>
      <c r="B540" s="43" t="s">
        <v>882</v>
      </c>
      <c r="C540" s="45" t="s">
        <v>883</v>
      </c>
      <c r="D540" s="46" t="s">
        <v>10</v>
      </c>
      <c r="E540" s="44">
        <v>8</v>
      </c>
      <c r="F540" s="31">
        <f>TRUNC(0.03,2)</f>
        <v>0.03</v>
      </c>
      <c r="G540" s="32">
        <f t="shared" si="29"/>
        <v>0.24</v>
      </c>
      <c r="H540" s="32"/>
      <c r="I540" s="33"/>
      <c r="J540" s="33"/>
      <c r="K540" s="44"/>
    </row>
    <row r="541" spans="1:11" s="34" customFormat="1" ht="15">
      <c r="A541" s="30"/>
      <c r="B541" s="43" t="s">
        <v>884</v>
      </c>
      <c r="C541" s="45" t="s">
        <v>885</v>
      </c>
      <c r="D541" s="46" t="s">
        <v>2</v>
      </c>
      <c r="E541" s="44">
        <v>4.2</v>
      </c>
      <c r="F541" s="31">
        <f>TRUNC(6.08,2)</f>
        <v>6.08</v>
      </c>
      <c r="G541" s="32">
        <f t="shared" si="29"/>
        <v>25.53</v>
      </c>
      <c r="H541" s="32"/>
      <c r="I541" s="33"/>
      <c r="J541" s="33"/>
      <c r="K541" s="44"/>
    </row>
    <row r="542" spans="1:11" s="34" customFormat="1" ht="15">
      <c r="A542" s="30"/>
      <c r="B542" s="43" t="s">
        <v>886</v>
      </c>
      <c r="C542" s="45" t="s">
        <v>887</v>
      </c>
      <c r="D542" s="46" t="s">
        <v>0</v>
      </c>
      <c r="E542" s="44">
        <v>1</v>
      </c>
      <c r="F542" s="31">
        <f>TRUNC(183,2)</f>
        <v>183</v>
      </c>
      <c r="G542" s="32">
        <f t="shared" si="29"/>
        <v>183</v>
      </c>
      <c r="H542" s="32"/>
      <c r="I542" s="33"/>
      <c r="J542" s="33"/>
      <c r="K542" s="44"/>
    </row>
    <row r="543" spans="1:11" s="34" customFormat="1" ht="30">
      <c r="A543" s="30"/>
      <c r="B543" s="43" t="s">
        <v>26</v>
      </c>
      <c r="C543" s="45" t="s">
        <v>27</v>
      </c>
      <c r="D543" s="46" t="s">
        <v>4</v>
      </c>
      <c r="E543" s="44">
        <v>2.06</v>
      </c>
      <c r="F543" s="31">
        <f>TRUNC(14.34,2)</f>
        <v>14.34</v>
      </c>
      <c r="G543" s="32">
        <f t="shared" si="29"/>
        <v>29.54</v>
      </c>
      <c r="H543" s="32"/>
      <c r="I543" s="33"/>
      <c r="J543" s="33"/>
      <c r="K543" s="44"/>
    </row>
    <row r="544" spans="1:11" s="34" customFormat="1" ht="30">
      <c r="A544" s="30"/>
      <c r="B544" s="43" t="s">
        <v>67</v>
      </c>
      <c r="C544" s="45" t="s">
        <v>68</v>
      </c>
      <c r="D544" s="46" t="s">
        <v>4</v>
      </c>
      <c r="E544" s="44">
        <v>2.06</v>
      </c>
      <c r="F544" s="31">
        <f>TRUNC(21.33,2)</f>
        <v>21.33</v>
      </c>
      <c r="G544" s="32">
        <f t="shared" si="29"/>
        <v>43.93</v>
      </c>
      <c r="H544" s="32"/>
      <c r="I544" s="33"/>
      <c r="J544" s="33"/>
      <c r="K544" s="44"/>
    </row>
    <row r="545" spans="1:11" s="34" customFormat="1" ht="15">
      <c r="A545" s="30"/>
      <c r="B545" s="43"/>
      <c r="C545" s="45"/>
      <c r="D545" s="46"/>
      <c r="E545" s="44" t="s">
        <v>5</v>
      </c>
      <c r="F545" s="31"/>
      <c r="G545" s="32">
        <f>TRUNC(SUM(G539:G544),2)</f>
        <v>284.4</v>
      </c>
      <c r="H545" s="32"/>
      <c r="I545" s="33"/>
      <c r="J545" s="33"/>
      <c r="K545" s="44"/>
    </row>
    <row r="546" spans="1:11" s="72" customFormat="1" ht="15">
      <c r="A546" s="65" t="s">
        <v>1363</v>
      </c>
      <c r="B546" s="66"/>
      <c r="C546" s="67"/>
      <c r="D546" s="68"/>
      <c r="E546" s="69"/>
      <c r="F546" s="70"/>
      <c r="G546" s="73" t="s">
        <v>1457</v>
      </c>
      <c r="H546" s="75">
        <f>H538+H529+H524+H519+H514+H509+H504+H499+H491+H486+H483+H476+H462+H455+H448</f>
        <v>88990.93</v>
      </c>
      <c r="I546" s="75">
        <f>I538+I529+I524+I519+I514+I509+I504+I499+I491+I486+I483+I476+I462+I455+I448</f>
        <v>114637.06999999999</v>
      </c>
      <c r="J546" s="71"/>
      <c r="K546" s="69"/>
    </row>
    <row r="547" spans="1:11" s="21" customFormat="1" ht="15.75">
      <c r="A547" s="21" t="s">
        <v>938</v>
      </c>
      <c r="B547" s="28"/>
      <c r="C547" s="29" t="s">
        <v>385</v>
      </c>
      <c r="D547" s="29"/>
      <c r="E547" s="29"/>
      <c r="F547" s="29"/>
      <c r="G547" s="29"/>
      <c r="H547" s="29"/>
      <c r="I547" s="27"/>
      <c r="J547" s="29"/>
      <c r="K547" s="29"/>
    </row>
    <row r="548" spans="1:11" s="88" customFormat="1" ht="60">
      <c r="A548" s="80" t="s">
        <v>939</v>
      </c>
      <c r="B548" s="81" t="s">
        <v>398</v>
      </c>
      <c r="C548" s="82" t="s">
        <v>399</v>
      </c>
      <c r="D548" s="83" t="s">
        <v>0</v>
      </c>
      <c r="E548" s="84">
        <f>815.01+422.22</f>
        <v>1237.23</v>
      </c>
      <c r="F548" s="85">
        <f>TRUNC(G554,2)</f>
        <v>29.97</v>
      </c>
      <c r="G548" s="86">
        <f>TRUNC(F548*1.2882,2)</f>
        <v>38.6</v>
      </c>
      <c r="H548" s="86">
        <f>TRUNC(F548*E548,2)</f>
        <v>37079.78</v>
      </c>
      <c r="I548" s="87">
        <f>TRUNC(E548*G548,2)</f>
        <v>47757.07</v>
      </c>
      <c r="J548" s="87"/>
      <c r="K548" s="84"/>
    </row>
    <row r="549" spans="1:11" s="34" customFormat="1" ht="15">
      <c r="A549" s="30"/>
      <c r="B549" s="43" t="s">
        <v>400</v>
      </c>
      <c r="C549" s="45" t="s">
        <v>401</v>
      </c>
      <c r="D549" s="46" t="s">
        <v>10</v>
      </c>
      <c r="E549" s="44">
        <v>2</v>
      </c>
      <c r="F549" s="31">
        <f>TRUNC(1.02,2)</f>
        <v>1.02</v>
      </c>
      <c r="G549" s="32">
        <f>TRUNC(E549*F549,2)</f>
        <v>2.04</v>
      </c>
      <c r="H549" s="32"/>
      <c r="I549" s="33"/>
      <c r="J549" s="33"/>
      <c r="K549" s="44"/>
    </row>
    <row r="550" spans="1:11" s="34" customFormat="1" ht="30">
      <c r="A550" s="30"/>
      <c r="B550" s="43" t="s">
        <v>402</v>
      </c>
      <c r="C550" s="45" t="s">
        <v>403</v>
      </c>
      <c r="D550" s="46" t="s">
        <v>404</v>
      </c>
      <c r="E550" s="44">
        <v>0.04</v>
      </c>
      <c r="F550" s="31">
        <f>TRUNC(16.45,2)</f>
        <v>16.45</v>
      </c>
      <c r="G550" s="32">
        <f>TRUNC(E550*F550,2)</f>
        <v>0.65</v>
      </c>
      <c r="H550" s="32"/>
      <c r="I550" s="33"/>
      <c r="J550" s="33"/>
      <c r="K550" s="44"/>
    </row>
    <row r="551" spans="1:11" s="34" customFormat="1" ht="15">
      <c r="A551" s="30"/>
      <c r="B551" s="43" t="s">
        <v>405</v>
      </c>
      <c r="C551" s="45" t="s">
        <v>406</v>
      </c>
      <c r="D551" s="46" t="s">
        <v>10</v>
      </c>
      <c r="E551" s="44">
        <v>0.046</v>
      </c>
      <c r="F551" s="31">
        <f>TRUNC(93.55,2)</f>
        <v>93.55</v>
      </c>
      <c r="G551" s="32">
        <f>TRUNC(E551*F551,2)</f>
        <v>4.3</v>
      </c>
      <c r="H551" s="32"/>
      <c r="I551" s="33"/>
      <c r="J551" s="33"/>
      <c r="K551" s="44"/>
    </row>
    <row r="552" spans="1:11" s="34" customFormat="1" ht="30">
      <c r="A552" s="30"/>
      <c r="B552" s="43" t="s">
        <v>26</v>
      </c>
      <c r="C552" s="45" t="s">
        <v>27</v>
      </c>
      <c r="D552" s="46" t="s">
        <v>4</v>
      </c>
      <c r="E552" s="44">
        <v>0.4223</v>
      </c>
      <c r="F552" s="31">
        <f>TRUNC(14.34,2)</f>
        <v>14.34</v>
      </c>
      <c r="G552" s="32">
        <f>TRUNC(E552*F552,2)</f>
        <v>6.05</v>
      </c>
      <c r="H552" s="32"/>
      <c r="I552" s="33"/>
      <c r="J552" s="33"/>
      <c r="K552" s="44"/>
    </row>
    <row r="553" spans="1:11" s="34" customFormat="1" ht="15">
      <c r="A553" s="30"/>
      <c r="B553" s="43" t="s">
        <v>407</v>
      </c>
      <c r="C553" s="45" t="s">
        <v>408</v>
      </c>
      <c r="D553" s="46" t="s">
        <v>4</v>
      </c>
      <c r="E553" s="44">
        <v>0.8549</v>
      </c>
      <c r="F553" s="31">
        <f>TRUNC(19.81,2)</f>
        <v>19.81</v>
      </c>
      <c r="G553" s="32">
        <f>TRUNC(E553*F553,2)</f>
        <v>16.93</v>
      </c>
      <c r="H553" s="32"/>
      <c r="I553" s="33"/>
      <c r="J553" s="33"/>
      <c r="K553" s="44"/>
    </row>
    <row r="554" spans="1:11" s="34" customFormat="1" ht="15">
      <c r="A554" s="30"/>
      <c r="B554" s="43"/>
      <c r="C554" s="45"/>
      <c r="D554" s="46"/>
      <c r="E554" s="44" t="s">
        <v>5</v>
      </c>
      <c r="F554" s="31"/>
      <c r="G554" s="32">
        <f>TRUNC(SUM(G549:G553),2)</f>
        <v>29.97</v>
      </c>
      <c r="H554" s="32"/>
      <c r="I554" s="33"/>
      <c r="J554" s="33"/>
      <c r="K554" s="44"/>
    </row>
    <row r="555" spans="1:11" s="88" customFormat="1" ht="30">
      <c r="A555" s="80" t="s">
        <v>940</v>
      </c>
      <c r="B555" s="81" t="s">
        <v>386</v>
      </c>
      <c r="C555" s="82" t="s">
        <v>387</v>
      </c>
      <c r="D555" s="83" t="s">
        <v>0</v>
      </c>
      <c r="E555" s="84">
        <f>815.01+506</f>
        <v>1321.01</v>
      </c>
      <c r="F555" s="85">
        <f>TRUNC(G559,2)</f>
        <v>14.03</v>
      </c>
      <c r="G555" s="86">
        <f>TRUNC(F555*1.2882,2)</f>
        <v>18.07</v>
      </c>
      <c r="H555" s="86">
        <f>TRUNC(F555*E555,2)</f>
        <v>18533.77</v>
      </c>
      <c r="I555" s="87">
        <f>TRUNC(E555*G555,2)</f>
        <v>23870.65</v>
      </c>
      <c r="J555" s="87"/>
      <c r="K555" s="84"/>
    </row>
    <row r="556" spans="1:11" s="34" customFormat="1" ht="15">
      <c r="A556" s="30"/>
      <c r="B556" s="43" t="s">
        <v>251</v>
      </c>
      <c r="C556" s="45" t="s">
        <v>252</v>
      </c>
      <c r="D556" s="46" t="s">
        <v>253</v>
      </c>
      <c r="E556" s="44">
        <v>0.33</v>
      </c>
      <c r="F556" s="31">
        <f>TRUNC(22.49,2)</f>
        <v>22.49</v>
      </c>
      <c r="G556" s="32">
        <f>TRUNC(E556*F556,2)</f>
        <v>7.42</v>
      </c>
      <c r="H556" s="32"/>
      <c r="I556" s="33"/>
      <c r="J556" s="33"/>
      <c r="K556" s="44"/>
    </row>
    <row r="557" spans="1:11" s="34" customFormat="1" ht="15">
      <c r="A557" s="30"/>
      <c r="B557" s="43" t="s">
        <v>283</v>
      </c>
      <c r="C557" s="45" t="s">
        <v>32</v>
      </c>
      <c r="D557" s="46" t="s">
        <v>4</v>
      </c>
      <c r="E557" s="44">
        <v>0.069</v>
      </c>
      <c r="F557" s="31">
        <f>TRUNC(21.13,2)</f>
        <v>21.13</v>
      </c>
      <c r="G557" s="32">
        <f>TRUNC(E557*F557,2)</f>
        <v>1.45</v>
      </c>
      <c r="H557" s="32"/>
      <c r="I557" s="33"/>
      <c r="J557" s="33"/>
      <c r="K557" s="44"/>
    </row>
    <row r="558" spans="1:11" s="34" customFormat="1" ht="15">
      <c r="A558" s="30"/>
      <c r="B558" s="43" t="s">
        <v>388</v>
      </c>
      <c r="C558" s="45" t="s">
        <v>389</v>
      </c>
      <c r="D558" s="46" t="s">
        <v>4</v>
      </c>
      <c r="E558" s="44">
        <v>0.187</v>
      </c>
      <c r="F558" s="31">
        <f>TRUNC(27.63,2)</f>
        <v>27.63</v>
      </c>
      <c r="G558" s="32">
        <f>TRUNC(E558*F558,2)</f>
        <v>5.16</v>
      </c>
      <c r="H558" s="32"/>
      <c r="I558" s="33"/>
      <c r="J558" s="33"/>
      <c r="K558" s="44"/>
    </row>
    <row r="559" spans="1:11" s="34" customFormat="1" ht="15">
      <c r="A559" s="30"/>
      <c r="B559" s="43"/>
      <c r="C559" s="45"/>
      <c r="D559" s="46"/>
      <c r="E559" s="44" t="s">
        <v>5</v>
      </c>
      <c r="F559" s="31"/>
      <c r="G559" s="32">
        <f>TRUNC(SUM(G556:G558),2)</f>
        <v>14.03</v>
      </c>
      <c r="H559" s="32"/>
      <c r="I559" s="33"/>
      <c r="J559" s="33"/>
      <c r="K559" s="44"/>
    </row>
    <row r="560" spans="1:11" s="88" customFormat="1" ht="30">
      <c r="A560" s="80" t="s">
        <v>1970</v>
      </c>
      <c r="B560" s="81" t="s">
        <v>396</v>
      </c>
      <c r="C560" s="82" t="s">
        <v>397</v>
      </c>
      <c r="D560" s="83" t="s">
        <v>0</v>
      </c>
      <c r="E560" s="84">
        <v>422.22</v>
      </c>
      <c r="F560" s="85">
        <f>TRUNC(G564,2)</f>
        <v>16.04</v>
      </c>
      <c r="G560" s="86">
        <f>TRUNC(F560*1.2882,2)</f>
        <v>20.66</v>
      </c>
      <c r="H560" s="86">
        <f>TRUNC(F560*E560,2)</f>
        <v>6772.4</v>
      </c>
      <c r="I560" s="87">
        <f>TRUNC(E560*G560,2)</f>
        <v>8723.06</v>
      </c>
      <c r="J560" s="87"/>
      <c r="K560" s="84"/>
    </row>
    <row r="561" spans="1:11" s="34" customFormat="1" ht="15">
      <c r="A561" s="30"/>
      <c r="B561" s="43" t="s">
        <v>251</v>
      </c>
      <c r="C561" s="45" t="s">
        <v>252</v>
      </c>
      <c r="D561" s="46" t="s">
        <v>253</v>
      </c>
      <c r="E561" s="44">
        <v>0.33</v>
      </c>
      <c r="F561" s="31">
        <f>TRUNC(22.49,2)</f>
        <v>22.49</v>
      </c>
      <c r="G561" s="32">
        <f>TRUNC(E561*F561,2)</f>
        <v>7.42</v>
      </c>
      <c r="H561" s="32"/>
      <c r="I561" s="33"/>
      <c r="J561" s="33"/>
      <c r="K561" s="44"/>
    </row>
    <row r="562" spans="1:11" s="34" customFormat="1" ht="15">
      <c r="A562" s="30"/>
      <c r="B562" s="43" t="s">
        <v>283</v>
      </c>
      <c r="C562" s="45" t="s">
        <v>32</v>
      </c>
      <c r="D562" s="46" t="s">
        <v>4</v>
      </c>
      <c r="E562" s="44">
        <v>0.089</v>
      </c>
      <c r="F562" s="31">
        <f>TRUNC(21.13,2)</f>
        <v>21.13</v>
      </c>
      <c r="G562" s="32">
        <f>TRUNC(E562*F562,2)</f>
        <v>1.88</v>
      </c>
      <c r="H562" s="32"/>
      <c r="I562" s="33"/>
      <c r="J562" s="33"/>
      <c r="K562" s="44"/>
    </row>
    <row r="563" spans="1:11" s="34" customFormat="1" ht="15">
      <c r="A563" s="30"/>
      <c r="B563" s="43" t="s">
        <v>388</v>
      </c>
      <c r="C563" s="45" t="s">
        <v>389</v>
      </c>
      <c r="D563" s="46" t="s">
        <v>4</v>
      </c>
      <c r="E563" s="44">
        <v>0.244</v>
      </c>
      <c r="F563" s="31">
        <f>TRUNC(27.63,2)</f>
        <v>27.63</v>
      </c>
      <c r="G563" s="32">
        <f>TRUNC(E563*F563,2)</f>
        <v>6.74</v>
      </c>
      <c r="H563" s="32"/>
      <c r="I563" s="33"/>
      <c r="J563" s="33"/>
      <c r="K563" s="44"/>
    </row>
    <row r="564" spans="1:11" s="34" customFormat="1" ht="15">
      <c r="A564" s="30"/>
      <c r="B564" s="43"/>
      <c r="C564" s="45"/>
      <c r="D564" s="46"/>
      <c r="E564" s="44" t="s">
        <v>5</v>
      </c>
      <c r="F564" s="31"/>
      <c r="G564" s="32">
        <f>TRUNC(SUM(G561:G563),2)</f>
        <v>16.04</v>
      </c>
      <c r="H564" s="32"/>
      <c r="I564" s="33"/>
      <c r="J564" s="33"/>
      <c r="K564" s="44"/>
    </row>
    <row r="565" spans="1:11" s="88" customFormat="1" ht="30">
      <c r="A565" s="80" t="s">
        <v>941</v>
      </c>
      <c r="B565" s="81" t="s">
        <v>390</v>
      </c>
      <c r="C565" s="82" t="s">
        <v>391</v>
      </c>
      <c r="D565" s="83" t="s">
        <v>0</v>
      </c>
      <c r="E565" s="84">
        <v>97.09</v>
      </c>
      <c r="F565" s="85">
        <f>TRUNC(G569,2)</f>
        <v>7.51</v>
      </c>
      <c r="G565" s="86">
        <f>TRUNC(F565*1.2882,2)</f>
        <v>9.67</v>
      </c>
      <c r="H565" s="86">
        <f>TRUNC(F565*E565,2)</f>
        <v>729.14</v>
      </c>
      <c r="I565" s="87">
        <f>TRUNC(E565*G565,2)</f>
        <v>938.86</v>
      </c>
      <c r="J565" s="87"/>
      <c r="K565" s="84"/>
    </row>
    <row r="566" spans="1:11" s="34" customFormat="1" ht="15">
      <c r="A566" s="30"/>
      <c r="B566" s="43" t="s">
        <v>392</v>
      </c>
      <c r="C566" s="45" t="s">
        <v>393</v>
      </c>
      <c r="D566" s="46" t="s">
        <v>253</v>
      </c>
      <c r="E566" s="44">
        <v>0.0651</v>
      </c>
      <c r="F566" s="31">
        <f>TRUNC(33.77,2)</f>
        <v>33.77</v>
      </c>
      <c r="G566" s="32">
        <f>TRUNC(E566*F566,2)</f>
        <v>2.19</v>
      </c>
      <c r="H566" s="32"/>
      <c r="I566" s="33"/>
      <c r="J566" s="33"/>
      <c r="K566" s="44"/>
    </row>
    <row r="567" spans="1:11" s="34" customFormat="1" ht="15">
      <c r="A567" s="30"/>
      <c r="B567" s="43" t="s">
        <v>394</v>
      </c>
      <c r="C567" s="45" t="s">
        <v>395</v>
      </c>
      <c r="D567" s="46" t="s">
        <v>253</v>
      </c>
      <c r="E567" s="44">
        <v>0.0065</v>
      </c>
      <c r="F567" s="31">
        <f>TRUNC(11.2,2)</f>
        <v>11.2</v>
      </c>
      <c r="G567" s="32">
        <f>TRUNC(E567*F567,2)</f>
        <v>0.07</v>
      </c>
      <c r="H567" s="32"/>
      <c r="I567" s="33"/>
      <c r="J567" s="33"/>
      <c r="K567" s="44"/>
    </row>
    <row r="568" spans="1:11" s="34" customFormat="1" ht="15">
      <c r="A568" s="30"/>
      <c r="B568" s="43" t="s">
        <v>388</v>
      </c>
      <c r="C568" s="45" t="s">
        <v>389</v>
      </c>
      <c r="D568" s="46" t="s">
        <v>4</v>
      </c>
      <c r="E568" s="44">
        <v>0.1903</v>
      </c>
      <c r="F568" s="31">
        <f>TRUNC(27.63,2)</f>
        <v>27.63</v>
      </c>
      <c r="G568" s="32">
        <f>TRUNC(E568*F568,2)</f>
        <v>5.25</v>
      </c>
      <c r="H568" s="32"/>
      <c r="I568" s="33"/>
      <c r="J568" s="33"/>
      <c r="K568" s="44"/>
    </row>
    <row r="569" spans="1:11" s="34" customFormat="1" ht="15">
      <c r="A569" s="30"/>
      <c r="B569" s="43"/>
      <c r="C569" s="45"/>
      <c r="D569" s="46"/>
      <c r="E569" s="44" t="s">
        <v>5</v>
      </c>
      <c r="F569" s="31"/>
      <c r="G569" s="32">
        <f>TRUNC(SUM(G566:G568),2)</f>
        <v>7.51</v>
      </c>
      <c r="H569" s="32"/>
      <c r="I569" s="33"/>
      <c r="J569" s="33"/>
      <c r="K569" s="44"/>
    </row>
    <row r="570" spans="1:11" s="72" customFormat="1" ht="15">
      <c r="A570" s="65" t="s">
        <v>1363</v>
      </c>
      <c r="B570" s="66"/>
      <c r="C570" s="67"/>
      <c r="D570" s="68"/>
      <c r="E570" s="69"/>
      <c r="F570" s="70"/>
      <c r="G570" s="73" t="s">
        <v>1456</v>
      </c>
      <c r="H570" s="75">
        <f>H565+H560+H555+H548</f>
        <v>63115.09</v>
      </c>
      <c r="I570" s="75">
        <f>I565+I560+I555+I548</f>
        <v>81289.64</v>
      </c>
      <c r="J570" s="71"/>
      <c r="K570" s="69"/>
    </row>
    <row r="571" spans="1:11" s="21" customFormat="1" ht="15.75">
      <c r="A571" s="21" t="s">
        <v>942</v>
      </c>
      <c r="B571" s="28"/>
      <c r="C571" s="29" t="s">
        <v>409</v>
      </c>
      <c r="D571" s="29"/>
      <c r="E571" s="29"/>
      <c r="F571" s="29"/>
      <c r="G571" s="29"/>
      <c r="H571" s="29"/>
      <c r="I571" s="27"/>
      <c r="J571" s="29"/>
      <c r="K571" s="29"/>
    </row>
    <row r="572" spans="1:11" s="88" customFormat="1" ht="45">
      <c r="A572" s="80" t="s">
        <v>942</v>
      </c>
      <c r="B572" s="81" t="s">
        <v>410</v>
      </c>
      <c r="C572" s="82" t="s">
        <v>411</v>
      </c>
      <c r="D572" s="83" t="s">
        <v>10</v>
      </c>
      <c r="E572" s="84">
        <v>1</v>
      </c>
      <c r="F572" s="85">
        <f>TRUNC(G577,2)</f>
        <v>56.44</v>
      </c>
      <c r="G572" s="86">
        <f>TRUNC(F572*1.2882,2)</f>
        <v>72.7</v>
      </c>
      <c r="H572" s="86">
        <f>TRUNC(F572*E572,2)</f>
        <v>56.44</v>
      </c>
      <c r="I572" s="87">
        <f>TRUNC(E572*G572,2)</f>
        <v>72.7</v>
      </c>
      <c r="J572" s="87"/>
      <c r="K572" s="84"/>
    </row>
    <row r="573" spans="1:11" s="34" customFormat="1" ht="15">
      <c r="A573" s="30"/>
      <c r="B573" s="43" t="s">
        <v>412</v>
      </c>
      <c r="C573" s="45" t="s">
        <v>413</v>
      </c>
      <c r="D573" s="46" t="s">
        <v>10</v>
      </c>
      <c r="E573" s="44">
        <v>1</v>
      </c>
      <c r="F573" s="31">
        <f>TRUNC(20.23,2)</f>
        <v>20.23</v>
      </c>
      <c r="G573" s="32">
        <f>TRUNC(E573*F573,2)</f>
        <v>20.23</v>
      </c>
      <c r="H573" s="32"/>
      <c r="I573" s="33"/>
      <c r="J573" s="33"/>
      <c r="K573" s="44"/>
    </row>
    <row r="574" spans="1:11" s="34" customFormat="1" ht="15">
      <c r="A574" s="30"/>
      <c r="B574" s="43" t="s">
        <v>414</v>
      </c>
      <c r="C574" s="45" t="s">
        <v>415</v>
      </c>
      <c r="D574" s="46" t="s">
        <v>10</v>
      </c>
      <c r="E574" s="44">
        <v>0.0095</v>
      </c>
      <c r="F574" s="31">
        <f>TRUNC(14.38,2)</f>
        <v>14.38</v>
      </c>
      <c r="G574" s="32">
        <f>TRUNC(E574*F574,2)</f>
        <v>0.13</v>
      </c>
      <c r="H574" s="32"/>
      <c r="I574" s="33"/>
      <c r="J574" s="33"/>
      <c r="K574" s="44"/>
    </row>
    <row r="575" spans="1:11" s="34" customFormat="1" ht="15">
      <c r="A575" s="30"/>
      <c r="B575" s="43" t="s">
        <v>416</v>
      </c>
      <c r="C575" s="45" t="s">
        <v>417</v>
      </c>
      <c r="D575" s="46" t="s">
        <v>4</v>
      </c>
      <c r="E575" s="44">
        <v>0.7745</v>
      </c>
      <c r="F575" s="31">
        <f>TRUNC(26.15,2)</f>
        <v>26.15</v>
      </c>
      <c r="G575" s="32">
        <f>TRUNC(E575*F575,2)</f>
        <v>20.25</v>
      </c>
      <c r="H575" s="32"/>
      <c r="I575" s="33"/>
      <c r="J575" s="33"/>
      <c r="K575" s="44"/>
    </row>
    <row r="576" spans="1:11" s="34" customFormat="1" ht="30">
      <c r="A576" s="30"/>
      <c r="B576" s="43" t="s">
        <v>418</v>
      </c>
      <c r="C576" s="45" t="s">
        <v>419</v>
      </c>
      <c r="D576" s="46" t="s">
        <v>4</v>
      </c>
      <c r="E576" s="44">
        <v>0.7745</v>
      </c>
      <c r="F576" s="31">
        <f>TRUNC(20.45,2)</f>
        <v>20.45</v>
      </c>
      <c r="G576" s="32">
        <f>TRUNC(E576*F576,2)</f>
        <v>15.83</v>
      </c>
      <c r="H576" s="32"/>
      <c r="I576" s="33"/>
      <c r="J576" s="33"/>
      <c r="K576" s="44"/>
    </row>
    <row r="577" spans="1:11" s="34" customFormat="1" ht="15">
      <c r="A577" s="30"/>
      <c r="B577" s="43"/>
      <c r="C577" s="45"/>
      <c r="D577" s="46"/>
      <c r="E577" s="44" t="s">
        <v>5</v>
      </c>
      <c r="F577" s="31"/>
      <c r="G577" s="32">
        <f>TRUNC(SUM(G573:G576),2)</f>
        <v>56.44</v>
      </c>
      <c r="H577" s="32"/>
      <c r="I577" s="33"/>
      <c r="J577" s="33"/>
      <c r="K577" s="44"/>
    </row>
    <row r="578" spans="1:11" s="88" customFormat="1" ht="45">
      <c r="A578" s="80" t="s">
        <v>943</v>
      </c>
      <c r="B578" s="81" t="s">
        <v>420</v>
      </c>
      <c r="C578" s="82" t="s">
        <v>421</v>
      </c>
      <c r="D578" s="83" t="s">
        <v>10</v>
      </c>
      <c r="E578" s="84">
        <v>5</v>
      </c>
      <c r="F578" s="85">
        <f>TRUNC(G583,2)</f>
        <v>68.14</v>
      </c>
      <c r="G578" s="86">
        <f>TRUNC(F578*1.2882,2)</f>
        <v>87.77</v>
      </c>
      <c r="H578" s="86">
        <f>TRUNC(F578*E578,2)</f>
        <v>340.7</v>
      </c>
      <c r="I578" s="87">
        <f>TRUNC(E578*G578,2)</f>
        <v>438.85</v>
      </c>
      <c r="J578" s="87"/>
      <c r="K578" s="84"/>
    </row>
    <row r="579" spans="1:11" s="34" customFormat="1" ht="15">
      <c r="A579" s="30"/>
      <c r="B579" s="43" t="s">
        <v>422</v>
      </c>
      <c r="C579" s="45" t="s">
        <v>423</v>
      </c>
      <c r="D579" s="46" t="s">
        <v>10</v>
      </c>
      <c r="E579" s="44">
        <v>1</v>
      </c>
      <c r="F579" s="31">
        <f>TRUNC(31.93,2)</f>
        <v>31.93</v>
      </c>
      <c r="G579" s="32">
        <f>TRUNC(E579*F579,2)</f>
        <v>31.93</v>
      </c>
      <c r="H579" s="32"/>
      <c r="I579" s="33"/>
      <c r="J579" s="33"/>
      <c r="K579" s="44"/>
    </row>
    <row r="580" spans="1:11" s="34" customFormat="1" ht="15">
      <c r="A580" s="30"/>
      <c r="B580" s="43" t="s">
        <v>414</v>
      </c>
      <c r="C580" s="45" t="s">
        <v>415</v>
      </c>
      <c r="D580" s="46" t="s">
        <v>10</v>
      </c>
      <c r="E580" s="44">
        <v>0.0095</v>
      </c>
      <c r="F580" s="31">
        <f>TRUNC(14.38,2)</f>
        <v>14.38</v>
      </c>
      <c r="G580" s="32">
        <f>TRUNC(E580*F580,2)</f>
        <v>0.13</v>
      </c>
      <c r="H580" s="32"/>
      <c r="I580" s="33"/>
      <c r="J580" s="33"/>
      <c r="K580" s="44"/>
    </row>
    <row r="581" spans="1:11" s="34" customFormat="1" ht="15">
      <c r="A581" s="30"/>
      <c r="B581" s="43" t="s">
        <v>416</v>
      </c>
      <c r="C581" s="45" t="s">
        <v>417</v>
      </c>
      <c r="D581" s="46" t="s">
        <v>4</v>
      </c>
      <c r="E581" s="44">
        <v>0.7745</v>
      </c>
      <c r="F581" s="31">
        <f>TRUNC(26.15,2)</f>
        <v>26.15</v>
      </c>
      <c r="G581" s="32">
        <f>TRUNC(E581*F581,2)</f>
        <v>20.25</v>
      </c>
      <c r="H581" s="32"/>
      <c r="I581" s="33"/>
      <c r="J581" s="33"/>
      <c r="K581" s="44"/>
    </row>
    <row r="582" spans="1:11" s="34" customFormat="1" ht="30">
      <c r="A582" s="30"/>
      <c r="B582" s="43" t="s">
        <v>418</v>
      </c>
      <c r="C582" s="45" t="s">
        <v>419</v>
      </c>
      <c r="D582" s="46" t="s">
        <v>4</v>
      </c>
      <c r="E582" s="44">
        <v>0.7745</v>
      </c>
      <c r="F582" s="31">
        <f>TRUNC(20.45,2)</f>
        <v>20.45</v>
      </c>
      <c r="G582" s="32">
        <f>TRUNC(E582*F582,2)</f>
        <v>15.83</v>
      </c>
      <c r="H582" s="32"/>
      <c r="I582" s="33"/>
      <c r="J582" s="33"/>
      <c r="K582" s="44"/>
    </row>
    <row r="583" spans="1:11" s="34" customFormat="1" ht="15">
      <c r="A583" s="30"/>
      <c r="B583" s="43"/>
      <c r="C583" s="45"/>
      <c r="D583" s="46"/>
      <c r="E583" s="44" t="s">
        <v>5</v>
      </c>
      <c r="F583" s="31"/>
      <c r="G583" s="32">
        <f>TRUNC(SUM(G579:G582),2)</f>
        <v>68.14</v>
      </c>
      <c r="H583" s="32"/>
      <c r="I583" s="33"/>
      <c r="J583" s="33"/>
      <c r="K583" s="44"/>
    </row>
    <row r="584" spans="1:11" s="88" customFormat="1" ht="45">
      <c r="A584" s="80" t="s">
        <v>944</v>
      </c>
      <c r="B584" s="81" t="s">
        <v>424</v>
      </c>
      <c r="C584" s="82" t="s">
        <v>425</v>
      </c>
      <c r="D584" s="83" t="s">
        <v>10</v>
      </c>
      <c r="E584" s="84">
        <v>1</v>
      </c>
      <c r="F584" s="85">
        <f>TRUNC(G589,2)</f>
        <v>115.17</v>
      </c>
      <c r="G584" s="86">
        <f>TRUNC(F584*1.2882,2)</f>
        <v>148.36</v>
      </c>
      <c r="H584" s="86">
        <f>TRUNC(F584*E584,2)</f>
        <v>115.17</v>
      </c>
      <c r="I584" s="87">
        <f>TRUNC(E584*G584,2)</f>
        <v>148.36</v>
      </c>
      <c r="J584" s="87"/>
      <c r="K584" s="84"/>
    </row>
    <row r="585" spans="1:11" s="34" customFormat="1" ht="15">
      <c r="A585" s="30"/>
      <c r="B585" s="43" t="s">
        <v>426</v>
      </c>
      <c r="C585" s="45" t="s">
        <v>427</v>
      </c>
      <c r="D585" s="46" t="s">
        <v>10</v>
      </c>
      <c r="E585" s="44">
        <v>1</v>
      </c>
      <c r="F585" s="31">
        <f>TRUNC(76.52,2)</f>
        <v>76.52</v>
      </c>
      <c r="G585" s="32">
        <f>TRUNC(E585*F585,2)</f>
        <v>76.52</v>
      </c>
      <c r="H585" s="32"/>
      <c r="I585" s="33"/>
      <c r="J585" s="33"/>
      <c r="K585" s="44"/>
    </row>
    <row r="586" spans="1:11" s="34" customFormat="1" ht="15">
      <c r="A586" s="30"/>
      <c r="B586" s="43" t="s">
        <v>414</v>
      </c>
      <c r="C586" s="45" t="s">
        <v>415</v>
      </c>
      <c r="D586" s="46" t="s">
        <v>10</v>
      </c>
      <c r="E586" s="44">
        <v>0.038</v>
      </c>
      <c r="F586" s="31">
        <f>TRUNC(14.38,2)</f>
        <v>14.38</v>
      </c>
      <c r="G586" s="32">
        <f>TRUNC(E586*F586,2)</f>
        <v>0.54</v>
      </c>
      <c r="H586" s="32"/>
      <c r="I586" s="33"/>
      <c r="J586" s="33"/>
      <c r="K586" s="44"/>
    </row>
    <row r="587" spans="1:11" s="34" customFormat="1" ht="15">
      <c r="A587" s="30"/>
      <c r="B587" s="43" t="s">
        <v>416</v>
      </c>
      <c r="C587" s="45" t="s">
        <v>417</v>
      </c>
      <c r="D587" s="46" t="s">
        <v>4</v>
      </c>
      <c r="E587" s="44">
        <v>0.818</v>
      </c>
      <c r="F587" s="31">
        <f>TRUNC(26.15,2)</f>
        <v>26.15</v>
      </c>
      <c r="G587" s="32">
        <f>TRUNC(E587*F587,2)</f>
        <v>21.39</v>
      </c>
      <c r="H587" s="32"/>
      <c r="I587" s="33"/>
      <c r="J587" s="33"/>
      <c r="K587" s="44"/>
    </row>
    <row r="588" spans="1:11" s="34" customFormat="1" ht="30">
      <c r="A588" s="30"/>
      <c r="B588" s="43" t="s">
        <v>418</v>
      </c>
      <c r="C588" s="45" t="s">
        <v>419</v>
      </c>
      <c r="D588" s="46" t="s">
        <v>4</v>
      </c>
      <c r="E588" s="44">
        <v>0.818</v>
      </c>
      <c r="F588" s="31">
        <f>TRUNC(20.45,2)</f>
        <v>20.45</v>
      </c>
      <c r="G588" s="32">
        <f>TRUNC(E588*F588,2)</f>
        <v>16.72</v>
      </c>
      <c r="H588" s="32"/>
      <c r="I588" s="33"/>
      <c r="J588" s="33"/>
      <c r="K588" s="44"/>
    </row>
    <row r="589" spans="1:11" s="34" customFormat="1" ht="15">
      <c r="A589" s="30"/>
      <c r="B589" s="43"/>
      <c r="C589" s="45"/>
      <c r="D589" s="46"/>
      <c r="E589" s="44" t="s">
        <v>5</v>
      </c>
      <c r="F589" s="31"/>
      <c r="G589" s="32">
        <f>TRUNC(SUM(G585:G588),2)</f>
        <v>115.17</v>
      </c>
      <c r="H589" s="32"/>
      <c r="I589" s="33"/>
      <c r="J589" s="33"/>
      <c r="K589" s="44"/>
    </row>
    <row r="590" spans="1:11" s="88" customFormat="1" ht="45">
      <c r="A590" s="80" t="s">
        <v>945</v>
      </c>
      <c r="B590" s="81" t="s">
        <v>428</v>
      </c>
      <c r="C590" s="82" t="s">
        <v>429</v>
      </c>
      <c r="D590" s="83" t="s">
        <v>10</v>
      </c>
      <c r="E590" s="84">
        <v>1</v>
      </c>
      <c r="F590" s="85">
        <f>TRUNC(G595,2)</f>
        <v>197.35</v>
      </c>
      <c r="G590" s="86">
        <f>TRUNC(F590*1.2882,2)</f>
        <v>254.22</v>
      </c>
      <c r="H590" s="86">
        <f>TRUNC(F590*E590,2)</f>
        <v>197.35</v>
      </c>
      <c r="I590" s="87">
        <f>TRUNC(E590*G590,2)</f>
        <v>254.22</v>
      </c>
      <c r="J590" s="87"/>
      <c r="K590" s="84"/>
    </row>
    <row r="591" spans="1:11" s="34" customFormat="1" ht="15">
      <c r="A591" s="30"/>
      <c r="B591" s="43" t="s">
        <v>430</v>
      </c>
      <c r="C591" s="45" t="s">
        <v>431</v>
      </c>
      <c r="D591" s="46" t="s">
        <v>10</v>
      </c>
      <c r="E591" s="44">
        <v>1</v>
      </c>
      <c r="F591" s="31">
        <f>TRUNC(158.7,2)</f>
        <v>158.7</v>
      </c>
      <c r="G591" s="32">
        <f>TRUNC(E591*F591,2)</f>
        <v>158.7</v>
      </c>
      <c r="H591" s="32"/>
      <c r="I591" s="33"/>
      <c r="J591" s="33"/>
      <c r="K591" s="44"/>
    </row>
    <row r="592" spans="1:11" s="34" customFormat="1" ht="15">
      <c r="A592" s="30"/>
      <c r="B592" s="43" t="s">
        <v>414</v>
      </c>
      <c r="C592" s="45" t="s">
        <v>415</v>
      </c>
      <c r="D592" s="46" t="s">
        <v>10</v>
      </c>
      <c r="E592" s="44">
        <v>0.038</v>
      </c>
      <c r="F592" s="31">
        <f>TRUNC(14.38,2)</f>
        <v>14.38</v>
      </c>
      <c r="G592" s="32">
        <f>TRUNC(E592*F592,2)</f>
        <v>0.54</v>
      </c>
      <c r="H592" s="32"/>
      <c r="I592" s="33"/>
      <c r="J592" s="33"/>
      <c r="K592" s="44"/>
    </row>
    <row r="593" spans="1:11" s="34" customFormat="1" ht="15">
      <c r="A593" s="30"/>
      <c r="B593" s="43" t="s">
        <v>416</v>
      </c>
      <c r="C593" s="45" t="s">
        <v>417</v>
      </c>
      <c r="D593" s="46" t="s">
        <v>4</v>
      </c>
      <c r="E593" s="44">
        <v>0.818</v>
      </c>
      <c r="F593" s="31">
        <f>TRUNC(26.15,2)</f>
        <v>26.15</v>
      </c>
      <c r="G593" s="32">
        <f>TRUNC(E593*F593,2)</f>
        <v>21.39</v>
      </c>
      <c r="H593" s="32"/>
      <c r="I593" s="33"/>
      <c r="J593" s="33"/>
      <c r="K593" s="44"/>
    </row>
    <row r="594" spans="1:11" s="34" customFormat="1" ht="30">
      <c r="A594" s="30"/>
      <c r="B594" s="43" t="s">
        <v>418</v>
      </c>
      <c r="C594" s="45" t="s">
        <v>419</v>
      </c>
      <c r="D594" s="46" t="s">
        <v>4</v>
      </c>
      <c r="E594" s="44">
        <v>0.818</v>
      </c>
      <c r="F594" s="31">
        <f>TRUNC(20.45,2)</f>
        <v>20.45</v>
      </c>
      <c r="G594" s="32">
        <f>TRUNC(E594*F594,2)</f>
        <v>16.72</v>
      </c>
      <c r="H594" s="32"/>
      <c r="I594" s="33"/>
      <c r="J594" s="33"/>
      <c r="K594" s="44"/>
    </row>
    <row r="595" spans="1:11" s="34" customFormat="1" ht="15">
      <c r="A595" s="30"/>
      <c r="B595" s="43"/>
      <c r="C595" s="45"/>
      <c r="D595" s="46"/>
      <c r="E595" s="44" t="s">
        <v>5</v>
      </c>
      <c r="F595" s="31"/>
      <c r="G595" s="32">
        <f>TRUNC(SUM(G591:G594),2)</f>
        <v>197.35</v>
      </c>
      <c r="H595" s="32"/>
      <c r="I595" s="33"/>
      <c r="J595" s="33"/>
      <c r="K595" s="44"/>
    </row>
    <row r="596" spans="1:11" s="88" customFormat="1" ht="30">
      <c r="A596" s="80" t="s">
        <v>946</v>
      </c>
      <c r="B596" s="81" t="s">
        <v>432</v>
      </c>
      <c r="C596" s="82" t="s">
        <v>433</v>
      </c>
      <c r="D596" s="83" t="s">
        <v>10</v>
      </c>
      <c r="E596" s="84">
        <v>13</v>
      </c>
      <c r="F596" s="85">
        <f>TRUNC(G601,2)</f>
        <v>62.07</v>
      </c>
      <c r="G596" s="86">
        <f>TRUNC(F596*1.2882,2)</f>
        <v>79.95</v>
      </c>
      <c r="H596" s="86">
        <f>TRUNC(F596*E596,2)</f>
        <v>806.91</v>
      </c>
      <c r="I596" s="87">
        <f>TRUNC(E596*G596,2)</f>
        <v>1039.35</v>
      </c>
      <c r="J596" s="87"/>
      <c r="K596" s="84"/>
    </row>
    <row r="597" spans="1:11" s="34" customFormat="1" ht="30">
      <c r="A597" s="30"/>
      <c r="B597" s="43" t="s">
        <v>434</v>
      </c>
      <c r="C597" s="45" t="s">
        <v>435</v>
      </c>
      <c r="D597" s="46" t="s">
        <v>10</v>
      </c>
      <c r="E597" s="44">
        <v>1</v>
      </c>
      <c r="F597" s="31">
        <f>TRUNC(49.35,2)</f>
        <v>49.35</v>
      </c>
      <c r="G597" s="32">
        <f>TRUNC(E597*F597,2)</f>
        <v>49.35</v>
      </c>
      <c r="H597" s="32"/>
      <c r="I597" s="33"/>
      <c r="J597" s="33"/>
      <c r="K597" s="44"/>
    </row>
    <row r="598" spans="1:11" s="34" customFormat="1" ht="15">
      <c r="A598" s="30"/>
      <c r="B598" s="43" t="s">
        <v>414</v>
      </c>
      <c r="C598" s="45" t="s">
        <v>415</v>
      </c>
      <c r="D598" s="46" t="s">
        <v>10</v>
      </c>
      <c r="E598" s="44">
        <v>0.013</v>
      </c>
      <c r="F598" s="31">
        <f>TRUNC(14.38,2)</f>
        <v>14.38</v>
      </c>
      <c r="G598" s="32">
        <f>TRUNC(E598*F598,2)</f>
        <v>0.18</v>
      </c>
      <c r="H598" s="32"/>
      <c r="I598" s="33"/>
      <c r="J598" s="33"/>
      <c r="K598" s="44"/>
    </row>
    <row r="599" spans="1:11" s="34" customFormat="1" ht="15">
      <c r="A599" s="30"/>
      <c r="B599" s="43" t="s">
        <v>416</v>
      </c>
      <c r="C599" s="45" t="s">
        <v>417</v>
      </c>
      <c r="D599" s="46" t="s">
        <v>4</v>
      </c>
      <c r="E599" s="44">
        <v>0.3</v>
      </c>
      <c r="F599" s="31">
        <f>TRUNC(26.15,2)</f>
        <v>26.15</v>
      </c>
      <c r="G599" s="32">
        <f>TRUNC(E599*F599,2)</f>
        <v>7.84</v>
      </c>
      <c r="H599" s="32"/>
      <c r="I599" s="33"/>
      <c r="J599" s="33"/>
      <c r="K599" s="44"/>
    </row>
    <row r="600" spans="1:11" s="34" customFormat="1" ht="30">
      <c r="A600" s="30"/>
      <c r="B600" s="43" t="s">
        <v>418</v>
      </c>
      <c r="C600" s="45" t="s">
        <v>419</v>
      </c>
      <c r="D600" s="46" t="s">
        <v>4</v>
      </c>
      <c r="E600" s="44">
        <v>0.23</v>
      </c>
      <c r="F600" s="31">
        <f>TRUNC(20.45,2)</f>
        <v>20.45</v>
      </c>
      <c r="G600" s="32">
        <f>TRUNC(E600*F600,2)</f>
        <v>4.7</v>
      </c>
      <c r="H600" s="32"/>
      <c r="I600" s="33"/>
      <c r="J600" s="33"/>
      <c r="K600" s="44"/>
    </row>
    <row r="601" spans="1:11" s="34" customFormat="1" ht="15">
      <c r="A601" s="30"/>
      <c r="B601" s="43"/>
      <c r="C601" s="45"/>
      <c r="D601" s="46"/>
      <c r="E601" s="44" t="s">
        <v>5</v>
      </c>
      <c r="F601" s="31"/>
      <c r="G601" s="32">
        <f>TRUNC(SUM(G597:G600),2)</f>
        <v>62.07</v>
      </c>
      <c r="H601" s="32"/>
      <c r="I601" s="33"/>
      <c r="J601" s="33"/>
      <c r="K601" s="44"/>
    </row>
    <row r="602" spans="1:11" s="88" customFormat="1" ht="30">
      <c r="A602" s="80" t="s">
        <v>947</v>
      </c>
      <c r="B602" s="81" t="s">
        <v>619</v>
      </c>
      <c r="C602" s="82" t="s">
        <v>620</v>
      </c>
      <c r="D602" s="83" t="s">
        <v>10</v>
      </c>
      <c r="E602" s="84">
        <v>9</v>
      </c>
      <c r="F602" s="85">
        <f>TRUNC(G604,2)</f>
        <v>34.21</v>
      </c>
      <c r="G602" s="86">
        <f>TRUNC(F602*1.2882,2)</f>
        <v>44.06</v>
      </c>
      <c r="H602" s="86">
        <f>TRUNC(F602*E602,2)</f>
        <v>307.89</v>
      </c>
      <c r="I602" s="87">
        <f>TRUNC(E602*G602,2)</f>
        <v>396.54</v>
      </c>
      <c r="J602" s="87"/>
      <c r="K602" s="84"/>
    </row>
    <row r="603" spans="1:11" s="34" customFormat="1" ht="15">
      <c r="A603" s="30"/>
      <c r="B603" s="43" t="s">
        <v>621</v>
      </c>
      <c r="C603" s="45" t="s">
        <v>622</v>
      </c>
      <c r="D603" s="46" t="s">
        <v>10</v>
      </c>
      <c r="E603" s="44">
        <v>1</v>
      </c>
      <c r="F603" s="31">
        <f>TRUNC(34.21,2)</f>
        <v>34.21</v>
      </c>
      <c r="G603" s="32">
        <f>TRUNC(E603*F603,2)</f>
        <v>34.21</v>
      </c>
      <c r="H603" s="32"/>
      <c r="I603" s="33"/>
      <c r="J603" s="33"/>
      <c r="K603" s="44"/>
    </row>
    <row r="604" spans="1:11" s="34" customFormat="1" ht="15">
      <c r="A604" s="30"/>
      <c r="B604" s="43"/>
      <c r="C604" s="45"/>
      <c r="D604" s="46"/>
      <c r="E604" s="44" t="s">
        <v>5</v>
      </c>
      <c r="F604" s="31"/>
      <c r="G604" s="32">
        <f>TRUNC(SUM(G603:G603),2)</f>
        <v>34.21</v>
      </c>
      <c r="H604" s="32"/>
      <c r="I604" s="33"/>
      <c r="J604" s="33"/>
      <c r="K604" s="44"/>
    </row>
    <row r="605" spans="1:11" s="88" customFormat="1" ht="30">
      <c r="A605" s="80" t="s">
        <v>945</v>
      </c>
      <c r="B605" s="81" t="s">
        <v>436</v>
      </c>
      <c r="C605" s="82" t="s">
        <v>437</v>
      </c>
      <c r="D605" s="83" t="s">
        <v>10</v>
      </c>
      <c r="E605" s="84">
        <v>1</v>
      </c>
      <c r="F605" s="85">
        <f>TRUNC(G609,2)</f>
        <v>72.81</v>
      </c>
      <c r="G605" s="86">
        <f>TRUNC(F605*1.2882,2)</f>
        <v>93.79</v>
      </c>
      <c r="H605" s="86">
        <f>TRUNC(F605*E605,2)</f>
        <v>72.81</v>
      </c>
      <c r="I605" s="87">
        <f>TRUNC(E605*G605,2)</f>
        <v>93.79</v>
      </c>
      <c r="J605" s="87"/>
      <c r="K605" s="84"/>
    </row>
    <row r="606" spans="1:11" s="34" customFormat="1" ht="15">
      <c r="A606" s="30"/>
      <c r="B606" s="43" t="s">
        <v>438</v>
      </c>
      <c r="C606" s="45" t="s">
        <v>439</v>
      </c>
      <c r="D606" s="46" t="s">
        <v>10</v>
      </c>
      <c r="E606" s="44">
        <v>1</v>
      </c>
      <c r="F606" s="31">
        <f>TRUNC(48.2,2)</f>
        <v>48.2</v>
      </c>
      <c r="G606" s="32">
        <f>TRUNC(E606*F606,2)</f>
        <v>48.2</v>
      </c>
      <c r="H606" s="32"/>
      <c r="I606" s="33"/>
      <c r="J606" s="33"/>
      <c r="K606" s="44"/>
    </row>
    <row r="607" spans="1:11" s="34" customFormat="1" ht="30">
      <c r="A607" s="30"/>
      <c r="B607" s="43" t="s">
        <v>26</v>
      </c>
      <c r="C607" s="45" t="s">
        <v>27</v>
      </c>
      <c r="D607" s="46" t="s">
        <v>4</v>
      </c>
      <c r="E607" s="44">
        <v>0.721</v>
      </c>
      <c r="F607" s="31">
        <f>TRUNC(14.34,2)</f>
        <v>14.34</v>
      </c>
      <c r="G607" s="32">
        <f>TRUNC(E607*F607,2)</f>
        <v>10.33</v>
      </c>
      <c r="H607" s="32"/>
      <c r="I607" s="33"/>
      <c r="J607" s="33"/>
      <c r="K607" s="44"/>
    </row>
    <row r="608" spans="1:11" s="34" customFormat="1" ht="30">
      <c r="A608" s="30"/>
      <c r="B608" s="43" t="s">
        <v>209</v>
      </c>
      <c r="C608" s="45" t="s">
        <v>210</v>
      </c>
      <c r="D608" s="46" t="s">
        <v>4</v>
      </c>
      <c r="E608" s="44">
        <v>0.721</v>
      </c>
      <c r="F608" s="31">
        <f>TRUNC(19.81,2)</f>
        <v>19.81</v>
      </c>
      <c r="G608" s="32">
        <f>TRUNC(E608*F608,2)</f>
        <v>14.28</v>
      </c>
      <c r="H608" s="32"/>
      <c r="I608" s="33"/>
      <c r="J608" s="33"/>
      <c r="K608" s="44"/>
    </row>
    <row r="609" spans="1:11" s="34" customFormat="1" ht="15">
      <c r="A609" s="30"/>
      <c r="B609" s="43"/>
      <c r="C609" s="45"/>
      <c r="D609" s="46"/>
      <c r="E609" s="44" t="s">
        <v>5</v>
      </c>
      <c r="F609" s="31"/>
      <c r="G609" s="32">
        <f>TRUNC(SUM(G606:G608),2)</f>
        <v>72.81</v>
      </c>
      <c r="H609" s="32"/>
      <c r="I609" s="33"/>
      <c r="J609" s="33"/>
      <c r="K609" s="44"/>
    </row>
    <row r="610" spans="1:11" s="88" customFormat="1" ht="60">
      <c r="A610" s="80" t="s">
        <v>946</v>
      </c>
      <c r="B610" s="81" t="s">
        <v>440</v>
      </c>
      <c r="C610" s="82" t="s">
        <v>441</v>
      </c>
      <c r="D610" s="83" t="s">
        <v>2</v>
      </c>
      <c r="E610" s="84">
        <v>300</v>
      </c>
      <c r="F610" s="85">
        <f>TRUNC(G615,2)</f>
        <v>9.45</v>
      </c>
      <c r="G610" s="86">
        <f>TRUNC(F610*1.2882,2)</f>
        <v>12.17</v>
      </c>
      <c r="H610" s="86">
        <f>TRUNC(F610*E610,2)</f>
        <v>2835</v>
      </c>
      <c r="I610" s="87">
        <f>TRUNC(E610*G610,2)</f>
        <v>3651</v>
      </c>
      <c r="J610" s="87"/>
      <c r="K610" s="84"/>
    </row>
    <row r="611" spans="1:11" s="34" customFormat="1" ht="30">
      <c r="A611" s="30"/>
      <c r="B611" s="43" t="s">
        <v>442</v>
      </c>
      <c r="C611" s="45" t="s">
        <v>443</v>
      </c>
      <c r="D611" s="46" t="s">
        <v>10</v>
      </c>
      <c r="E611" s="44">
        <v>0.1925</v>
      </c>
      <c r="F611" s="31">
        <f>TRUNC(17.95,2)</f>
        <v>17.95</v>
      </c>
      <c r="G611" s="32">
        <f>TRUNC(E611*F611,2)</f>
        <v>3.45</v>
      </c>
      <c r="H611" s="32"/>
      <c r="I611" s="33"/>
      <c r="J611" s="33"/>
      <c r="K611" s="44"/>
    </row>
    <row r="612" spans="1:11" s="34" customFormat="1" ht="15">
      <c r="A612" s="30"/>
      <c r="B612" s="43" t="s">
        <v>141</v>
      </c>
      <c r="C612" s="45" t="s">
        <v>142</v>
      </c>
      <c r="D612" s="46" t="s">
        <v>10</v>
      </c>
      <c r="E612" s="44">
        <v>0.1375</v>
      </c>
      <c r="F612" s="31">
        <f>TRUNC(5.35,2)</f>
        <v>5.35</v>
      </c>
      <c r="G612" s="32">
        <f>TRUNC(E612*F612,2)</f>
        <v>0.73</v>
      </c>
      <c r="H612" s="32"/>
      <c r="I612" s="33"/>
      <c r="J612" s="33"/>
      <c r="K612" s="44"/>
    </row>
    <row r="613" spans="1:11" s="34" customFormat="1" ht="30">
      <c r="A613" s="30"/>
      <c r="B613" s="43" t="s">
        <v>26</v>
      </c>
      <c r="C613" s="45" t="s">
        <v>27</v>
      </c>
      <c r="D613" s="46" t="s">
        <v>4</v>
      </c>
      <c r="E613" s="44">
        <v>0.1545</v>
      </c>
      <c r="F613" s="31">
        <f>TRUNC(14.34,2)</f>
        <v>14.34</v>
      </c>
      <c r="G613" s="32">
        <f>TRUNC(E613*F613,2)</f>
        <v>2.21</v>
      </c>
      <c r="H613" s="32"/>
      <c r="I613" s="33"/>
      <c r="J613" s="33"/>
      <c r="K613" s="44"/>
    </row>
    <row r="614" spans="1:11" s="34" customFormat="1" ht="30">
      <c r="A614" s="30"/>
      <c r="B614" s="43" t="s">
        <v>209</v>
      </c>
      <c r="C614" s="45" t="s">
        <v>210</v>
      </c>
      <c r="D614" s="46" t="s">
        <v>4</v>
      </c>
      <c r="E614" s="44">
        <v>0.1545</v>
      </c>
      <c r="F614" s="31">
        <f>TRUNC(19.81,2)</f>
        <v>19.81</v>
      </c>
      <c r="G614" s="32">
        <f>TRUNC(E614*F614,2)</f>
        <v>3.06</v>
      </c>
      <c r="H614" s="32"/>
      <c r="I614" s="33"/>
      <c r="J614" s="33"/>
      <c r="K614" s="44"/>
    </row>
    <row r="615" spans="1:11" s="34" customFormat="1" ht="15">
      <c r="A615" s="30"/>
      <c r="B615" s="43"/>
      <c r="C615" s="45"/>
      <c r="D615" s="46"/>
      <c r="E615" s="44" t="s">
        <v>5</v>
      </c>
      <c r="F615" s="31"/>
      <c r="G615" s="32">
        <f>TRUNC(SUM(G611:G614),2)</f>
        <v>9.45</v>
      </c>
      <c r="H615" s="32"/>
      <c r="I615" s="33"/>
      <c r="J615" s="33"/>
      <c r="K615" s="44"/>
    </row>
    <row r="616" spans="1:11" s="88" customFormat="1" ht="60">
      <c r="A616" s="80" t="s">
        <v>947</v>
      </c>
      <c r="B616" s="81" t="s">
        <v>444</v>
      </c>
      <c r="C616" s="82" t="s">
        <v>445</v>
      </c>
      <c r="D616" s="83" t="s">
        <v>2</v>
      </c>
      <c r="E616" s="84">
        <v>48</v>
      </c>
      <c r="F616" s="85">
        <f>TRUNC(G621,2)</f>
        <v>14.78</v>
      </c>
      <c r="G616" s="86">
        <f>TRUNC(F616*1.2882,2)</f>
        <v>19.03</v>
      </c>
      <c r="H616" s="86">
        <f>TRUNC(F616*E616,2)</f>
        <v>709.44</v>
      </c>
      <c r="I616" s="87">
        <f>TRUNC(E616*G616,2)</f>
        <v>913.44</v>
      </c>
      <c r="J616" s="87"/>
      <c r="K616" s="84"/>
    </row>
    <row r="617" spans="1:11" s="34" customFormat="1" ht="15">
      <c r="A617" s="30"/>
      <c r="B617" s="43" t="s">
        <v>446</v>
      </c>
      <c r="C617" s="45" t="s">
        <v>447</v>
      </c>
      <c r="D617" s="46" t="s">
        <v>10</v>
      </c>
      <c r="E617" s="44">
        <v>0.1925</v>
      </c>
      <c r="F617" s="31">
        <f>TRUNC(43.68,2)</f>
        <v>43.68</v>
      </c>
      <c r="G617" s="32">
        <f>TRUNC(E617*F617,2)</f>
        <v>8.4</v>
      </c>
      <c r="H617" s="32"/>
      <c r="I617" s="33"/>
      <c r="J617" s="33"/>
      <c r="K617" s="44"/>
    </row>
    <row r="618" spans="1:11" s="34" customFormat="1" ht="15">
      <c r="A618" s="30"/>
      <c r="B618" s="43" t="s">
        <v>141</v>
      </c>
      <c r="C618" s="45" t="s">
        <v>142</v>
      </c>
      <c r="D618" s="46" t="s">
        <v>10</v>
      </c>
      <c r="E618" s="44">
        <v>0.14300000000000002</v>
      </c>
      <c r="F618" s="31">
        <f>TRUNC(5.35,2)</f>
        <v>5.35</v>
      </c>
      <c r="G618" s="32">
        <f>TRUNC(E618*F618,2)</f>
        <v>0.76</v>
      </c>
      <c r="H618" s="32"/>
      <c r="I618" s="33"/>
      <c r="J618" s="33"/>
      <c r="K618" s="44"/>
    </row>
    <row r="619" spans="1:11" s="34" customFormat="1" ht="30">
      <c r="A619" s="30"/>
      <c r="B619" s="43" t="s">
        <v>26</v>
      </c>
      <c r="C619" s="45" t="s">
        <v>27</v>
      </c>
      <c r="D619" s="46" t="s">
        <v>4</v>
      </c>
      <c r="E619" s="44">
        <v>0.1648</v>
      </c>
      <c r="F619" s="31">
        <f>TRUNC(14.34,2)</f>
        <v>14.34</v>
      </c>
      <c r="G619" s="32">
        <f>TRUNC(E619*F619,2)</f>
        <v>2.36</v>
      </c>
      <c r="H619" s="32"/>
      <c r="I619" s="33"/>
      <c r="J619" s="33"/>
      <c r="K619" s="44"/>
    </row>
    <row r="620" spans="1:11" s="34" customFormat="1" ht="30">
      <c r="A620" s="30"/>
      <c r="B620" s="43" t="s">
        <v>209</v>
      </c>
      <c r="C620" s="45" t="s">
        <v>210</v>
      </c>
      <c r="D620" s="46" t="s">
        <v>4</v>
      </c>
      <c r="E620" s="44">
        <v>0.1648</v>
      </c>
      <c r="F620" s="31">
        <f>TRUNC(19.81,2)</f>
        <v>19.81</v>
      </c>
      <c r="G620" s="32">
        <f>TRUNC(E620*F620,2)</f>
        <v>3.26</v>
      </c>
      <c r="H620" s="32"/>
      <c r="I620" s="33"/>
      <c r="J620" s="33"/>
      <c r="K620" s="44"/>
    </row>
    <row r="621" spans="1:11" s="34" customFormat="1" ht="15">
      <c r="A621" s="30"/>
      <c r="B621" s="43"/>
      <c r="C621" s="45"/>
      <c r="D621" s="46"/>
      <c r="E621" s="44" t="s">
        <v>5</v>
      </c>
      <c r="F621" s="31"/>
      <c r="G621" s="32">
        <f>TRUNC(SUM(G617:G620),2)</f>
        <v>14.78</v>
      </c>
      <c r="H621" s="32"/>
      <c r="I621" s="33"/>
      <c r="J621" s="33"/>
      <c r="K621" s="44"/>
    </row>
    <row r="622" spans="1:11" s="88" customFormat="1" ht="60">
      <c r="A622" s="80" t="s">
        <v>948</v>
      </c>
      <c r="B622" s="81" t="s">
        <v>448</v>
      </c>
      <c r="C622" s="82" t="s">
        <v>449</v>
      </c>
      <c r="D622" s="83" t="s">
        <v>2</v>
      </c>
      <c r="E622" s="84">
        <v>30</v>
      </c>
      <c r="F622" s="85">
        <f>TRUNC(G627,2)</f>
        <v>20.15</v>
      </c>
      <c r="G622" s="86">
        <f>TRUNC(F622*1.2882,2)</f>
        <v>25.95</v>
      </c>
      <c r="H622" s="86">
        <f>TRUNC(F622*E622,2)</f>
        <v>604.5</v>
      </c>
      <c r="I622" s="87">
        <f>TRUNC(E622*G622,2)</f>
        <v>778.5</v>
      </c>
      <c r="J622" s="87"/>
      <c r="K622" s="84"/>
    </row>
    <row r="623" spans="1:11" s="34" customFormat="1" ht="15">
      <c r="A623" s="30"/>
      <c r="B623" s="43" t="s">
        <v>450</v>
      </c>
      <c r="C623" s="45" t="s">
        <v>451</v>
      </c>
      <c r="D623" s="46" t="s">
        <v>10</v>
      </c>
      <c r="E623" s="44">
        <v>0.1925</v>
      </c>
      <c r="F623" s="31">
        <f>TRUNC(67.6,2)</f>
        <v>67.6</v>
      </c>
      <c r="G623" s="32">
        <f>TRUNC(E623*F623,2)</f>
        <v>13.01</v>
      </c>
      <c r="H623" s="32"/>
      <c r="I623" s="33"/>
      <c r="J623" s="33"/>
      <c r="K623" s="44"/>
    </row>
    <row r="624" spans="1:11" s="34" customFormat="1" ht="15">
      <c r="A624" s="30"/>
      <c r="B624" s="43" t="s">
        <v>141</v>
      </c>
      <c r="C624" s="45" t="s">
        <v>142</v>
      </c>
      <c r="D624" s="46" t="s">
        <v>10</v>
      </c>
      <c r="E624" s="44">
        <v>0.15400000000000003</v>
      </c>
      <c r="F624" s="31">
        <f>TRUNC(5.35,2)</f>
        <v>5.35</v>
      </c>
      <c r="G624" s="32">
        <f>TRUNC(E624*F624,2)</f>
        <v>0.82</v>
      </c>
      <c r="H624" s="32"/>
      <c r="I624" s="33"/>
      <c r="J624" s="33"/>
      <c r="K624" s="44"/>
    </row>
    <row r="625" spans="1:11" s="34" customFormat="1" ht="30">
      <c r="A625" s="30"/>
      <c r="B625" s="43" t="s">
        <v>26</v>
      </c>
      <c r="C625" s="45" t="s">
        <v>27</v>
      </c>
      <c r="D625" s="46" t="s">
        <v>4</v>
      </c>
      <c r="E625" s="44">
        <v>0.1854</v>
      </c>
      <c r="F625" s="31">
        <f>TRUNC(14.34,2)</f>
        <v>14.34</v>
      </c>
      <c r="G625" s="32">
        <f>TRUNC(E625*F625,2)</f>
        <v>2.65</v>
      </c>
      <c r="H625" s="32"/>
      <c r="I625" s="33"/>
      <c r="J625" s="33"/>
      <c r="K625" s="44"/>
    </row>
    <row r="626" spans="1:11" s="34" customFormat="1" ht="30">
      <c r="A626" s="30"/>
      <c r="B626" s="43" t="s">
        <v>209</v>
      </c>
      <c r="C626" s="45" t="s">
        <v>210</v>
      </c>
      <c r="D626" s="46" t="s">
        <v>4</v>
      </c>
      <c r="E626" s="44">
        <v>0.1854</v>
      </c>
      <c r="F626" s="31">
        <f>TRUNC(19.81,2)</f>
        <v>19.81</v>
      </c>
      <c r="G626" s="32">
        <f>TRUNC(E626*F626,2)</f>
        <v>3.67</v>
      </c>
      <c r="H626" s="32"/>
      <c r="I626" s="33"/>
      <c r="J626" s="33"/>
      <c r="K626" s="44"/>
    </row>
    <row r="627" spans="1:11" s="34" customFormat="1" ht="15">
      <c r="A627" s="30"/>
      <c r="B627" s="43"/>
      <c r="C627" s="45"/>
      <c r="D627" s="46"/>
      <c r="E627" s="44" t="s">
        <v>5</v>
      </c>
      <c r="F627" s="31"/>
      <c r="G627" s="32">
        <f>TRUNC(SUM(G623:G626),2)</f>
        <v>20.15</v>
      </c>
      <c r="H627" s="32"/>
      <c r="I627" s="33"/>
      <c r="J627" s="33"/>
      <c r="K627" s="44"/>
    </row>
    <row r="628" spans="1:11" s="88" customFormat="1" ht="30">
      <c r="A628" s="80" t="s">
        <v>1598</v>
      </c>
      <c r="B628" s="81" t="s">
        <v>452</v>
      </c>
      <c r="C628" s="82" t="s">
        <v>453</v>
      </c>
      <c r="D628" s="83" t="s">
        <v>2</v>
      </c>
      <c r="E628" s="84">
        <v>54</v>
      </c>
      <c r="F628" s="85">
        <f>TRUNC(G631,2)</f>
        <v>17.38</v>
      </c>
      <c r="G628" s="86">
        <f>TRUNC(F628*1.2882,2)</f>
        <v>22.38</v>
      </c>
      <c r="H628" s="86">
        <f>TRUNC(F628*E628,2)</f>
        <v>938.52</v>
      </c>
      <c r="I628" s="87">
        <f>TRUNC(E628*G628,2)</f>
        <v>1208.52</v>
      </c>
      <c r="J628" s="87"/>
      <c r="K628" s="84"/>
    </row>
    <row r="629" spans="1:11" s="34" customFormat="1" ht="15">
      <c r="A629" s="30"/>
      <c r="B629" s="43" t="s">
        <v>454</v>
      </c>
      <c r="C629" s="45" t="s">
        <v>455</v>
      </c>
      <c r="D629" s="46" t="s">
        <v>10</v>
      </c>
      <c r="E629" s="44">
        <v>0.17</v>
      </c>
      <c r="F629" s="31">
        <f>TRUNC(1.91,2)</f>
        <v>1.91</v>
      </c>
      <c r="G629" s="32">
        <f>TRUNC(E629*F629,2)</f>
        <v>0.32</v>
      </c>
      <c r="H629" s="32"/>
      <c r="I629" s="33"/>
      <c r="J629" s="33"/>
      <c r="K629" s="44"/>
    </row>
    <row r="630" spans="1:11" s="34" customFormat="1" ht="30">
      <c r="A630" s="30"/>
      <c r="B630" s="43" t="s">
        <v>456</v>
      </c>
      <c r="C630" s="45" t="s">
        <v>457</v>
      </c>
      <c r="D630" s="46" t="s">
        <v>2</v>
      </c>
      <c r="E630" s="44">
        <v>1</v>
      </c>
      <c r="F630" s="31">
        <f>TRUNC(17.06,2)</f>
        <v>17.06</v>
      </c>
      <c r="G630" s="32">
        <f>TRUNC(E630*F630,2)</f>
        <v>17.06</v>
      </c>
      <c r="H630" s="32"/>
      <c r="I630" s="33"/>
      <c r="J630" s="33"/>
      <c r="K630" s="44"/>
    </row>
    <row r="631" spans="1:11" s="34" customFormat="1" ht="15">
      <c r="A631" s="30"/>
      <c r="B631" s="43"/>
      <c r="C631" s="45"/>
      <c r="D631" s="46"/>
      <c r="E631" s="44" t="s">
        <v>5</v>
      </c>
      <c r="F631" s="31"/>
      <c r="G631" s="32">
        <f>TRUNC(SUM(G629:G630),2)</f>
        <v>17.38</v>
      </c>
      <c r="H631" s="32"/>
      <c r="I631" s="33"/>
      <c r="J631" s="33"/>
      <c r="K631" s="44"/>
    </row>
    <row r="632" spans="1:11" s="88" customFormat="1" ht="30">
      <c r="A632" s="80" t="s">
        <v>1599</v>
      </c>
      <c r="B632" s="81" t="s">
        <v>952</v>
      </c>
      <c r="C632" s="82" t="s">
        <v>949</v>
      </c>
      <c r="D632" s="83" t="s">
        <v>2</v>
      </c>
      <c r="E632" s="84">
        <v>12</v>
      </c>
      <c r="F632" s="85">
        <f>TRUNC(G635,2)</f>
        <v>31.05</v>
      </c>
      <c r="G632" s="86">
        <f>TRUNC(F632*1.2882,2)</f>
        <v>39.99</v>
      </c>
      <c r="H632" s="86">
        <f>TRUNC(F632*E632,2)</f>
        <v>372.6</v>
      </c>
      <c r="I632" s="87">
        <f>TRUNC(E632*G632,2)</f>
        <v>479.88</v>
      </c>
      <c r="J632" s="87"/>
      <c r="K632" s="84"/>
    </row>
    <row r="633" spans="1:11" s="34" customFormat="1" ht="15">
      <c r="A633" s="30"/>
      <c r="B633" s="43" t="s">
        <v>454</v>
      </c>
      <c r="C633" s="45" t="s">
        <v>455</v>
      </c>
      <c r="D633" s="46" t="s">
        <v>10</v>
      </c>
      <c r="E633" s="44">
        <v>0.17</v>
      </c>
      <c r="F633" s="31">
        <f>TRUNC(1.91,2)</f>
        <v>1.91</v>
      </c>
      <c r="G633" s="32">
        <f>TRUNC(E633*F633,2)</f>
        <v>0.32</v>
      </c>
      <c r="H633" s="32"/>
      <c r="I633" s="33"/>
      <c r="J633" s="33"/>
      <c r="K633" s="44"/>
    </row>
    <row r="634" spans="1:11" s="58" customFormat="1" ht="15">
      <c r="A634" s="54"/>
      <c r="B634" s="52" t="s">
        <v>1989</v>
      </c>
      <c r="C634" s="55" t="s">
        <v>1990</v>
      </c>
      <c r="D634" s="56" t="s">
        <v>2</v>
      </c>
      <c r="E634" s="57">
        <v>1</v>
      </c>
      <c r="F634" s="53">
        <v>30.73</v>
      </c>
      <c r="G634" s="50">
        <f>TRUNC(E634*F634,2)</f>
        <v>30.73</v>
      </c>
      <c r="H634" s="50"/>
      <c r="I634" s="51"/>
      <c r="J634" s="51"/>
      <c r="K634" s="57"/>
    </row>
    <row r="635" spans="1:11" s="34" customFormat="1" ht="15">
      <c r="A635" s="30"/>
      <c r="B635" s="43"/>
      <c r="C635" s="45"/>
      <c r="D635" s="46"/>
      <c r="E635" s="44" t="s">
        <v>5</v>
      </c>
      <c r="F635" s="31"/>
      <c r="G635" s="32">
        <f>TRUNC(SUM(G633:G634),2)</f>
        <v>31.05</v>
      </c>
      <c r="H635" s="32"/>
      <c r="I635" s="33"/>
      <c r="J635" s="33"/>
      <c r="K635" s="44"/>
    </row>
    <row r="636" spans="1:11" s="88" customFormat="1" ht="30">
      <c r="A636" s="80" t="s">
        <v>1600</v>
      </c>
      <c r="B636" s="81" t="s">
        <v>458</v>
      </c>
      <c r="C636" s="82" t="s">
        <v>459</v>
      </c>
      <c r="D636" s="83" t="s">
        <v>2</v>
      </c>
      <c r="E636" s="84">
        <v>78</v>
      </c>
      <c r="F636" s="85">
        <f>TRUNC(G639,2)</f>
        <v>34.48</v>
      </c>
      <c r="G636" s="86">
        <f>TRUNC(F636*1.2882,2)</f>
        <v>44.41</v>
      </c>
      <c r="H636" s="86">
        <f>TRUNC(F636*E636,2)</f>
        <v>2689.44</v>
      </c>
      <c r="I636" s="87">
        <f>TRUNC(E636*G636,2)</f>
        <v>3463.98</v>
      </c>
      <c r="J636" s="87"/>
      <c r="K636" s="84"/>
    </row>
    <row r="637" spans="1:11" s="34" customFormat="1" ht="30">
      <c r="A637" s="30"/>
      <c r="B637" s="43" t="s">
        <v>460</v>
      </c>
      <c r="C637" s="45" t="s">
        <v>461</v>
      </c>
      <c r="D637" s="46" t="s">
        <v>2</v>
      </c>
      <c r="E637" s="44">
        <v>1</v>
      </c>
      <c r="F637" s="31">
        <f>TRUNC(33.54,2)</f>
        <v>33.54</v>
      </c>
      <c r="G637" s="32">
        <f>TRUNC(E637*F637,2)</f>
        <v>33.54</v>
      </c>
      <c r="H637" s="32"/>
      <c r="I637" s="33"/>
      <c r="J637" s="33"/>
      <c r="K637" s="44"/>
    </row>
    <row r="638" spans="1:11" s="34" customFormat="1" ht="15">
      <c r="A638" s="30"/>
      <c r="B638" s="43" t="s">
        <v>462</v>
      </c>
      <c r="C638" s="45" t="s">
        <v>463</v>
      </c>
      <c r="D638" s="46" t="s">
        <v>10</v>
      </c>
      <c r="E638" s="44">
        <v>0.17</v>
      </c>
      <c r="F638" s="31">
        <f>TRUNC(5.57,2)</f>
        <v>5.57</v>
      </c>
      <c r="G638" s="32">
        <f>TRUNC(E638*F638,2)</f>
        <v>0.94</v>
      </c>
      <c r="H638" s="32"/>
      <c r="I638" s="33"/>
      <c r="J638" s="33"/>
      <c r="K638" s="44"/>
    </row>
    <row r="639" spans="1:11" s="34" customFormat="1" ht="15">
      <c r="A639" s="30"/>
      <c r="B639" s="43"/>
      <c r="C639" s="45"/>
      <c r="D639" s="46"/>
      <c r="E639" s="44" t="s">
        <v>5</v>
      </c>
      <c r="F639" s="31"/>
      <c r="G639" s="32">
        <f>TRUNC(SUM(G637:G638),2)</f>
        <v>34.48</v>
      </c>
      <c r="H639" s="32"/>
      <c r="I639" s="33"/>
      <c r="J639" s="33"/>
      <c r="K639" s="44"/>
    </row>
    <row r="640" spans="1:11" s="88" customFormat="1" ht="15">
      <c r="A640" s="80" t="s">
        <v>1601</v>
      </c>
      <c r="B640" s="89" t="s">
        <v>827</v>
      </c>
      <c r="C640" s="82" t="s">
        <v>953</v>
      </c>
      <c r="D640" s="83" t="s">
        <v>10</v>
      </c>
      <c r="E640" s="84">
        <v>1</v>
      </c>
      <c r="F640" s="85">
        <v>59075</v>
      </c>
      <c r="G640" s="86">
        <f>TRUNC(F640*1.2882,2)</f>
        <v>76100.41</v>
      </c>
      <c r="H640" s="86">
        <f>TRUNC(F640*E640,2)</f>
        <v>59075</v>
      </c>
      <c r="I640" s="87">
        <f>TRUNC(E640*G640,2)</f>
        <v>76100.41</v>
      </c>
      <c r="J640" s="87"/>
      <c r="K640" s="84"/>
    </row>
    <row r="641" spans="1:11" s="34" customFormat="1" ht="30">
      <c r="A641" s="30"/>
      <c r="B641" s="52" t="s">
        <v>827</v>
      </c>
      <c r="C641" s="45" t="s">
        <v>954</v>
      </c>
      <c r="D641" s="46" t="s">
        <v>10</v>
      </c>
      <c r="E641" s="44">
        <v>1</v>
      </c>
      <c r="F641" s="31">
        <v>36300</v>
      </c>
      <c r="G641" s="32">
        <f>E641*F641</f>
        <v>36300</v>
      </c>
      <c r="H641" s="32"/>
      <c r="I641" s="33"/>
      <c r="J641" s="33"/>
      <c r="K641" s="44"/>
    </row>
    <row r="642" spans="1:11" s="34" customFormat="1" ht="30">
      <c r="A642" s="30"/>
      <c r="B642" s="52" t="s">
        <v>827</v>
      </c>
      <c r="C642" s="45" t="s">
        <v>955</v>
      </c>
      <c r="D642" s="46" t="s">
        <v>10</v>
      </c>
      <c r="E642" s="44">
        <v>1</v>
      </c>
      <c r="F642" s="31">
        <v>59075</v>
      </c>
      <c r="G642" s="32">
        <f>E642*F642</f>
        <v>59075</v>
      </c>
      <c r="H642" s="32"/>
      <c r="I642" s="33"/>
      <c r="J642" s="33"/>
      <c r="K642" s="44"/>
    </row>
    <row r="643" spans="1:11" s="34" customFormat="1" ht="30">
      <c r="A643" s="30"/>
      <c r="B643" s="52" t="s">
        <v>827</v>
      </c>
      <c r="C643" s="45" t="s">
        <v>956</v>
      </c>
      <c r="D643" s="46" t="s">
        <v>10</v>
      </c>
      <c r="E643" s="44">
        <v>1</v>
      </c>
      <c r="F643" s="31">
        <v>79800</v>
      </c>
      <c r="G643" s="32">
        <f>E643*F643</f>
        <v>79800</v>
      </c>
      <c r="H643" s="32"/>
      <c r="I643" s="33"/>
      <c r="J643" s="33"/>
      <c r="K643" s="44"/>
    </row>
    <row r="644" spans="1:11" s="34" customFormat="1" ht="15">
      <c r="A644" s="30"/>
      <c r="B644" s="43"/>
      <c r="C644" s="45"/>
      <c r="D644" s="46"/>
      <c r="E644" s="44" t="s">
        <v>5</v>
      </c>
      <c r="F644" s="59" t="s">
        <v>957</v>
      </c>
      <c r="G644" s="32">
        <f>F642</f>
        <v>59075</v>
      </c>
      <c r="H644" s="32"/>
      <c r="I644" s="33"/>
      <c r="J644" s="33"/>
      <c r="K644" s="44"/>
    </row>
    <row r="645" spans="1:11" s="88" customFormat="1" ht="30">
      <c r="A645" s="80" t="s">
        <v>1602</v>
      </c>
      <c r="B645" s="81" t="s">
        <v>464</v>
      </c>
      <c r="C645" s="82" t="s">
        <v>465</v>
      </c>
      <c r="D645" s="83" t="s">
        <v>10</v>
      </c>
      <c r="E645" s="84">
        <v>11</v>
      </c>
      <c r="F645" s="85">
        <f>TRUNC(G649,2)</f>
        <v>16.13</v>
      </c>
      <c r="G645" s="86">
        <f>TRUNC(F645*1.2882,2)</f>
        <v>20.77</v>
      </c>
      <c r="H645" s="86">
        <f>TRUNC(F645*E645,2)</f>
        <v>177.43</v>
      </c>
      <c r="I645" s="87">
        <f>TRUNC(E645*G645,2)</f>
        <v>228.47</v>
      </c>
      <c r="J645" s="87"/>
      <c r="K645" s="84"/>
    </row>
    <row r="646" spans="1:11" s="34" customFormat="1" ht="30">
      <c r="A646" s="30"/>
      <c r="B646" s="43" t="s">
        <v>466</v>
      </c>
      <c r="C646" s="45" t="s">
        <v>467</v>
      </c>
      <c r="D646" s="46" t="s">
        <v>10</v>
      </c>
      <c r="E646" s="44">
        <v>1</v>
      </c>
      <c r="F646" s="31">
        <f>TRUNC(237.8,2)</f>
        <v>237.8</v>
      </c>
      <c r="G646" s="32">
        <f aca="true" t="shared" si="30" ref="G646:G654">TRUNC(E646*F646,2)</f>
        <v>237.8</v>
      </c>
      <c r="H646" s="32"/>
      <c r="I646" s="33"/>
      <c r="J646" s="33"/>
      <c r="K646" s="44"/>
    </row>
    <row r="647" spans="1:11" s="34" customFormat="1" ht="15">
      <c r="A647" s="30"/>
      <c r="B647" s="43" t="s">
        <v>414</v>
      </c>
      <c r="C647" s="45" t="s">
        <v>415</v>
      </c>
      <c r="D647" s="46" t="s">
        <v>10</v>
      </c>
      <c r="E647" s="44">
        <v>0.019</v>
      </c>
      <c r="F647" s="31">
        <f>TRUNC(14.38,2)</f>
        <v>14.38</v>
      </c>
      <c r="G647" s="32">
        <f t="shared" si="30"/>
        <v>0.27</v>
      </c>
      <c r="H647" s="32"/>
      <c r="I647" s="33"/>
      <c r="J647" s="33"/>
      <c r="K647" s="44"/>
    </row>
    <row r="648" spans="1:11" s="34" customFormat="1" ht="15">
      <c r="A648" s="30"/>
      <c r="B648" s="43" t="s">
        <v>416</v>
      </c>
      <c r="C648" s="45" t="s">
        <v>417</v>
      </c>
      <c r="D648" s="46" t="s">
        <v>4</v>
      </c>
      <c r="E648" s="44">
        <v>0.789</v>
      </c>
      <c r="F648" s="31">
        <f>TRUNC(26.15,2)</f>
        <v>26.15</v>
      </c>
      <c r="G648" s="32">
        <f t="shared" si="30"/>
        <v>20.63</v>
      </c>
      <c r="H648" s="32"/>
      <c r="I648" s="33"/>
      <c r="J648" s="33"/>
      <c r="K648" s="44"/>
    </row>
    <row r="649" spans="1:11" s="34" customFormat="1" ht="30">
      <c r="A649" s="30"/>
      <c r="B649" s="43" t="s">
        <v>418</v>
      </c>
      <c r="C649" s="45" t="s">
        <v>419</v>
      </c>
      <c r="D649" s="46" t="s">
        <v>4</v>
      </c>
      <c r="E649" s="44">
        <v>0.789</v>
      </c>
      <c r="F649" s="31">
        <f>TRUNC(20.45,2)</f>
        <v>20.45</v>
      </c>
      <c r="G649" s="32">
        <f t="shared" si="30"/>
        <v>16.13</v>
      </c>
      <c r="H649" s="32"/>
      <c r="I649" s="33"/>
      <c r="J649" s="33"/>
      <c r="K649" s="44"/>
    </row>
    <row r="650" spans="1:11" s="88" customFormat="1" ht="30">
      <c r="A650" s="80" t="s">
        <v>1603</v>
      </c>
      <c r="B650" s="81" t="s">
        <v>468</v>
      </c>
      <c r="C650" s="82" t="s">
        <v>469</v>
      </c>
      <c r="D650" s="83" t="s">
        <v>10</v>
      </c>
      <c r="E650" s="84">
        <v>1</v>
      </c>
      <c r="F650" s="85">
        <f>TRUNC(G655,2)</f>
        <v>41.66</v>
      </c>
      <c r="G650" s="86">
        <f>TRUNC(F650*1.2882,2)</f>
        <v>53.66</v>
      </c>
      <c r="H650" s="86">
        <f>TRUNC(F650*E650,2)</f>
        <v>41.66</v>
      </c>
      <c r="I650" s="87">
        <f>TRUNC(E650*G650,2)</f>
        <v>53.66</v>
      </c>
      <c r="J650" s="87"/>
      <c r="K650" s="84"/>
    </row>
    <row r="651" spans="1:11" s="34" customFormat="1" ht="30">
      <c r="A651" s="30"/>
      <c r="B651" s="43" t="s">
        <v>470</v>
      </c>
      <c r="C651" s="45" t="s">
        <v>471</v>
      </c>
      <c r="D651" s="46" t="s">
        <v>10</v>
      </c>
      <c r="E651" s="44">
        <v>1</v>
      </c>
      <c r="F651" s="31">
        <f>TRUNC(32.15,2)</f>
        <v>32.15</v>
      </c>
      <c r="G651" s="32">
        <f t="shared" si="30"/>
        <v>32.15</v>
      </c>
      <c r="H651" s="32"/>
      <c r="I651" s="33"/>
      <c r="J651" s="33"/>
      <c r="K651" s="44"/>
    </row>
    <row r="652" spans="1:11" s="34" customFormat="1" ht="15">
      <c r="A652" s="30"/>
      <c r="B652" s="43" t="s">
        <v>414</v>
      </c>
      <c r="C652" s="45" t="s">
        <v>415</v>
      </c>
      <c r="D652" s="46" t="s">
        <v>10</v>
      </c>
      <c r="E652" s="44">
        <v>0.007</v>
      </c>
      <c r="F652" s="31">
        <f>TRUNC(14.38,2)</f>
        <v>14.38</v>
      </c>
      <c r="G652" s="32">
        <f t="shared" si="30"/>
        <v>0.1</v>
      </c>
      <c r="H652" s="32"/>
      <c r="I652" s="33"/>
      <c r="J652" s="33"/>
      <c r="K652" s="44"/>
    </row>
    <row r="653" spans="1:11" s="34" customFormat="1" ht="15">
      <c r="A653" s="30"/>
      <c r="B653" s="43" t="s">
        <v>416</v>
      </c>
      <c r="C653" s="45" t="s">
        <v>417</v>
      </c>
      <c r="D653" s="46" t="s">
        <v>4</v>
      </c>
      <c r="E653" s="44">
        <v>0.202</v>
      </c>
      <c r="F653" s="31">
        <f>TRUNC(26.15,2)</f>
        <v>26.15</v>
      </c>
      <c r="G653" s="32">
        <f t="shared" si="30"/>
        <v>5.28</v>
      </c>
      <c r="H653" s="32"/>
      <c r="I653" s="33"/>
      <c r="J653" s="33"/>
      <c r="K653" s="44"/>
    </row>
    <row r="654" spans="1:11" s="34" customFormat="1" ht="30">
      <c r="A654" s="30"/>
      <c r="B654" s="43" t="s">
        <v>418</v>
      </c>
      <c r="C654" s="45" t="s">
        <v>419</v>
      </c>
      <c r="D654" s="46" t="s">
        <v>4</v>
      </c>
      <c r="E654" s="44">
        <v>0.202</v>
      </c>
      <c r="F654" s="31">
        <f>TRUNC(20.45,2)</f>
        <v>20.45</v>
      </c>
      <c r="G654" s="32">
        <f t="shared" si="30"/>
        <v>4.13</v>
      </c>
      <c r="H654" s="32"/>
      <c r="I654" s="33"/>
      <c r="J654" s="33"/>
      <c r="K654" s="44"/>
    </row>
    <row r="655" spans="1:11" s="34" customFormat="1" ht="15">
      <c r="A655" s="30"/>
      <c r="B655" s="43"/>
      <c r="C655" s="45"/>
      <c r="D655" s="46"/>
      <c r="E655" s="44" t="s">
        <v>5</v>
      </c>
      <c r="F655" s="31"/>
      <c r="G655" s="32">
        <f>TRUNC(SUM(G651:G654),2)</f>
        <v>41.66</v>
      </c>
      <c r="H655" s="32"/>
      <c r="I655" s="33"/>
      <c r="J655" s="33"/>
      <c r="K655" s="44"/>
    </row>
    <row r="656" spans="1:11" s="88" customFormat="1" ht="30">
      <c r="A656" s="80" t="s">
        <v>1604</v>
      </c>
      <c r="B656" s="81" t="s">
        <v>472</v>
      </c>
      <c r="C656" s="82" t="s">
        <v>473</v>
      </c>
      <c r="D656" s="83" t="s">
        <v>10</v>
      </c>
      <c r="E656" s="84">
        <v>11</v>
      </c>
      <c r="F656" s="85">
        <f>TRUNC(G658,2)</f>
        <v>10.4</v>
      </c>
      <c r="G656" s="86">
        <f>TRUNC(F656*1.2882,2)</f>
        <v>13.39</v>
      </c>
      <c r="H656" s="86">
        <f>TRUNC(F656*E656,2)</f>
        <v>114.4</v>
      </c>
      <c r="I656" s="87">
        <f>TRUNC(E656*G656,2)</f>
        <v>147.29</v>
      </c>
      <c r="J656" s="87"/>
      <c r="K656" s="84"/>
    </row>
    <row r="657" spans="1:11" s="34" customFormat="1" ht="15">
      <c r="A657" s="30"/>
      <c r="B657" s="43" t="s">
        <v>474</v>
      </c>
      <c r="C657" s="45" t="s">
        <v>475</v>
      </c>
      <c r="D657" s="46" t="s">
        <v>10</v>
      </c>
      <c r="E657" s="44">
        <v>1</v>
      </c>
      <c r="F657" s="31">
        <f>TRUNC(10.4,2)</f>
        <v>10.4</v>
      </c>
      <c r="G657" s="32">
        <f>TRUNC(E657*F657,2)</f>
        <v>10.4</v>
      </c>
      <c r="H657" s="32"/>
      <c r="I657" s="33"/>
      <c r="J657" s="33"/>
      <c r="K657" s="44"/>
    </row>
    <row r="658" spans="1:11" s="34" customFormat="1" ht="15">
      <c r="A658" s="30"/>
      <c r="B658" s="43"/>
      <c r="C658" s="45"/>
      <c r="D658" s="46"/>
      <c r="E658" s="44" t="s">
        <v>5</v>
      </c>
      <c r="F658" s="31"/>
      <c r="G658" s="32">
        <f>TRUNC(SUM(G657:G657),2)</f>
        <v>10.4</v>
      </c>
      <c r="H658" s="32"/>
      <c r="I658" s="33"/>
      <c r="J658" s="33"/>
      <c r="K658" s="44"/>
    </row>
    <row r="659" spans="1:11" s="88" customFormat="1" ht="45">
      <c r="A659" s="80" t="s">
        <v>1605</v>
      </c>
      <c r="B659" s="81" t="s">
        <v>1520</v>
      </c>
      <c r="C659" s="82" t="s">
        <v>1523</v>
      </c>
      <c r="D659" s="83" t="s">
        <v>2</v>
      </c>
      <c r="E659" s="84">
        <v>12</v>
      </c>
      <c r="F659" s="85">
        <f>TRUNC(G663,2)</f>
        <v>90.83</v>
      </c>
      <c r="G659" s="86">
        <f>TRUNC(F659*1.2882,2)</f>
        <v>117</v>
      </c>
      <c r="H659" s="86">
        <f>TRUNC(F659*E659,2)</f>
        <v>1089.96</v>
      </c>
      <c r="I659" s="87">
        <f>TRUNC(E659*G659,2)</f>
        <v>1404</v>
      </c>
      <c r="J659" s="87"/>
      <c r="K659" s="84"/>
    </row>
    <row r="660" spans="1:11" s="58" customFormat="1" ht="28.5">
      <c r="A660" s="54"/>
      <c r="B660" s="52" t="s">
        <v>623</v>
      </c>
      <c r="C660" s="55" t="s">
        <v>624</v>
      </c>
      <c r="D660" s="56" t="s">
        <v>2</v>
      </c>
      <c r="E660" s="57">
        <v>1.0391</v>
      </c>
      <c r="F660" s="53">
        <v>75.53</v>
      </c>
      <c r="G660" s="50">
        <f>TRUNC(E660*F660,2)</f>
        <v>78.48</v>
      </c>
      <c r="H660" s="50"/>
      <c r="I660" s="51"/>
      <c r="J660" s="51"/>
      <c r="K660" s="57"/>
    </row>
    <row r="661" spans="1:11" s="34" customFormat="1" ht="15">
      <c r="A661" s="30"/>
      <c r="B661" s="43" t="s">
        <v>416</v>
      </c>
      <c r="C661" s="45" t="s">
        <v>417</v>
      </c>
      <c r="D661" s="46" t="s">
        <v>4</v>
      </c>
      <c r="E661" s="44">
        <v>0.2653</v>
      </c>
      <c r="F661" s="31">
        <f>TRUNC(26.15,2)</f>
        <v>26.15</v>
      </c>
      <c r="G661" s="32">
        <f>TRUNC(E661*F661,2)</f>
        <v>6.93</v>
      </c>
      <c r="H661" s="32"/>
      <c r="I661" s="33"/>
      <c r="J661" s="33"/>
      <c r="K661" s="44"/>
    </row>
    <row r="662" spans="1:11" s="34" customFormat="1" ht="30">
      <c r="A662" s="30"/>
      <c r="B662" s="43" t="s">
        <v>418</v>
      </c>
      <c r="C662" s="45" t="s">
        <v>419</v>
      </c>
      <c r="D662" s="46" t="s">
        <v>4</v>
      </c>
      <c r="E662" s="44">
        <v>0.2653</v>
      </c>
      <c r="F662" s="31">
        <f>TRUNC(20.45,2)</f>
        <v>20.45</v>
      </c>
      <c r="G662" s="32">
        <f>TRUNC(E662*F662,2)</f>
        <v>5.42</v>
      </c>
      <c r="H662" s="32"/>
      <c r="I662" s="33"/>
      <c r="J662" s="33"/>
      <c r="K662" s="44"/>
    </row>
    <row r="663" spans="1:11" s="34" customFormat="1" ht="15">
      <c r="A663" s="30"/>
      <c r="B663" s="43"/>
      <c r="C663" s="45"/>
      <c r="D663" s="46"/>
      <c r="E663" s="44" t="s">
        <v>5</v>
      </c>
      <c r="F663" s="31"/>
      <c r="G663" s="32">
        <f>TRUNC(SUM(G660:G662),2)</f>
        <v>90.83</v>
      </c>
      <c r="H663" s="32"/>
      <c r="I663" s="33"/>
      <c r="J663" s="33"/>
      <c r="K663" s="44"/>
    </row>
    <row r="664" spans="1:11" s="88" customFormat="1" ht="45">
      <c r="A664" s="80" t="s">
        <v>1606</v>
      </c>
      <c r="B664" s="81" t="s">
        <v>1520</v>
      </c>
      <c r="C664" s="82" t="s">
        <v>1524</v>
      </c>
      <c r="D664" s="83" t="s">
        <v>2</v>
      </c>
      <c r="E664" s="84">
        <v>18</v>
      </c>
      <c r="F664" s="85">
        <f>TRUNC(G668,2)</f>
        <v>79.91</v>
      </c>
      <c r="G664" s="86">
        <f>TRUNC(F664*1.2882,2)</f>
        <v>102.94</v>
      </c>
      <c r="H664" s="86">
        <f>TRUNC(F664*E664,2)</f>
        <v>1438.38</v>
      </c>
      <c r="I664" s="87">
        <f>TRUNC(E664*G664,2)</f>
        <v>1852.92</v>
      </c>
      <c r="J664" s="87"/>
      <c r="K664" s="84"/>
    </row>
    <row r="665" spans="1:11" s="58" customFormat="1" ht="28.5">
      <c r="A665" s="54"/>
      <c r="B665" s="52" t="s">
        <v>1521</v>
      </c>
      <c r="C665" s="55" t="s">
        <v>1522</v>
      </c>
      <c r="D665" s="56" t="s">
        <v>2</v>
      </c>
      <c r="E665" s="57">
        <v>1.0391</v>
      </c>
      <c r="F665" s="53">
        <v>65.02</v>
      </c>
      <c r="G665" s="50">
        <f>TRUNC(E665*F665,2)</f>
        <v>67.56</v>
      </c>
      <c r="H665" s="50"/>
      <c r="I665" s="51"/>
      <c r="J665" s="51"/>
      <c r="K665" s="57"/>
    </row>
    <row r="666" spans="1:11" s="34" customFormat="1" ht="15">
      <c r="A666" s="30"/>
      <c r="B666" s="43" t="s">
        <v>416</v>
      </c>
      <c r="C666" s="45" t="s">
        <v>417</v>
      </c>
      <c r="D666" s="46" t="s">
        <v>4</v>
      </c>
      <c r="E666" s="44">
        <v>0.2653</v>
      </c>
      <c r="F666" s="31">
        <f>TRUNC(26.15,2)</f>
        <v>26.15</v>
      </c>
      <c r="G666" s="32">
        <f>TRUNC(E666*F666,2)</f>
        <v>6.93</v>
      </c>
      <c r="H666" s="32"/>
      <c r="I666" s="33"/>
      <c r="J666" s="33"/>
      <c r="K666" s="44"/>
    </row>
    <row r="667" spans="1:11" s="34" customFormat="1" ht="30">
      <c r="A667" s="30"/>
      <c r="B667" s="43" t="s">
        <v>418</v>
      </c>
      <c r="C667" s="45" t="s">
        <v>419</v>
      </c>
      <c r="D667" s="46" t="s">
        <v>4</v>
      </c>
      <c r="E667" s="44">
        <v>0.2653</v>
      </c>
      <c r="F667" s="31">
        <f>TRUNC(20.45,2)</f>
        <v>20.45</v>
      </c>
      <c r="G667" s="32">
        <f>TRUNC(E667*F667,2)</f>
        <v>5.42</v>
      </c>
      <c r="H667" s="32"/>
      <c r="I667" s="33"/>
      <c r="J667" s="33"/>
      <c r="K667" s="44"/>
    </row>
    <row r="668" spans="1:11" s="34" customFormat="1" ht="15">
      <c r="A668" s="30"/>
      <c r="B668" s="43"/>
      <c r="C668" s="45"/>
      <c r="D668" s="46"/>
      <c r="E668" s="44" t="s">
        <v>5</v>
      </c>
      <c r="F668" s="31"/>
      <c r="G668" s="32">
        <f>TRUNC(SUM(G665:G667),2)</f>
        <v>79.91</v>
      </c>
      <c r="H668" s="32"/>
      <c r="I668" s="33"/>
      <c r="J668" s="33"/>
      <c r="K668" s="44"/>
    </row>
    <row r="669" spans="1:11" s="88" customFormat="1" ht="45">
      <c r="A669" s="80" t="s">
        <v>1607</v>
      </c>
      <c r="B669" s="81" t="s">
        <v>965</v>
      </c>
      <c r="C669" s="82" t="s">
        <v>958</v>
      </c>
      <c r="D669" s="83" t="s">
        <v>10</v>
      </c>
      <c r="E669" s="84">
        <v>2</v>
      </c>
      <c r="F669" s="85">
        <f>TRUNC(G679,2)</f>
        <v>1088.52</v>
      </c>
      <c r="G669" s="86">
        <f>TRUNC(F669*1.2882,2)</f>
        <v>1402.23</v>
      </c>
      <c r="H669" s="86">
        <f>TRUNC(F669*E669,2)</f>
        <v>2177.04</v>
      </c>
      <c r="I669" s="87">
        <f>TRUNC(E669*G669,2)</f>
        <v>2804.46</v>
      </c>
      <c r="J669" s="87"/>
      <c r="K669" s="84"/>
    </row>
    <row r="670" spans="1:11" s="34" customFormat="1" ht="30">
      <c r="A670" s="30"/>
      <c r="B670" s="43" t="s">
        <v>959</v>
      </c>
      <c r="C670" s="45" t="s">
        <v>960</v>
      </c>
      <c r="D670" s="46" t="s">
        <v>10</v>
      </c>
      <c r="E670" s="44">
        <v>4</v>
      </c>
      <c r="F670" s="31">
        <f>TRUNC(4.03,2)</f>
        <v>4.03</v>
      </c>
      <c r="G670" s="32">
        <f aca="true" t="shared" si="31" ref="G670:G678">TRUNC(E670*F670,2)</f>
        <v>16.12</v>
      </c>
      <c r="H670" s="32"/>
      <c r="I670" s="33"/>
      <c r="J670" s="33"/>
      <c r="K670" s="44"/>
    </row>
    <row r="671" spans="1:11" s="34" customFormat="1" ht="15">
      <c r="A671" s="30"/>
      <c r="B671" s="43" t="s">
        <v>718</v>
      </c>
      <c r="C671" s="45" t="s">
        <v>719</v>
      </c>
      <c r="D671" s="46" t="s">
        <v>2</v>
      </c>
      <c r="E671" s="44">
        <v>0.24</v>
      </c>
      <c r="F671" s="31">
        <f>TRUNC(9.23,2)</f>
        <v>9.23</v>
      </c>
      <c r="G671" s="32">
        <f t="shared" si="31"/>
        <v>2.21</v>
      </c>
      <c r="H671" s="32"/>
      <c r="I671" s="33"/>
      <c r="J671" s="33"/>
      <c r="K671" s="44"/>
    </row>
    <row r="672" spans="1:11" s="34" customFormat="1" ht="15">
      <c r="A672" s="30"/>
      <c r="B672" s="43" t="s">
        <v>961</v>
      </c>
      <c r="C672" s="45" t="s">
        <v>962</v>
      </c>
      <c r="D672" s="46" t="s">
        <v>2</v>
      </c>
      <c r="E672" s="44">
        <v>10</v>
      </c>
      <c r="F672" s="31">
        <f>TRUNC(1.32,2)</f>
        <v>1.32</v>
      </c>
      <c r="G672" s="32">
        <f t="shared" si="31"/>
        <v>13.2</v>
      </c>
      <c r="H672" s="32"/>
      <c r="I672" s="33"/>
      <c r="J672" s="33"/>
      <c r="K672" s="44"/>
    </row>
    <row r="673" spans="1:11" s="34" customFormat="1" ht="30">
      <c r="A673" s="30"/>
      <c r="B673" s="43" t="s">
        <v>26</v>
      </c>
      <c r="C673" s="45" t="s">
        <v>27</v>
      </c>
      <c r="D673" s="46" t="s">
        <v>4</v>
      </c>
      <c r="E673" s="44">
        <v>5.15</v>
      </c>
      <c r="F673" s="31">
        <f>TRUNC(14.34,2)</f>
        <v>14.34</v>
      </c>
      <c r="G673" s="32">
        <f t="shared" si="31"/>
        <v>73.85</v>
      </c>
      <c r="H673" s="32"/>
      <c r="I673" s="33"/>
      <c r="J673" s="33"/>
      <c r="K673" s="44"/>
    </row>
    <row r="674" spans="1:11" s="34" customFormat="1" ht="15">
      <c r="A674" s="30"/>
      <c r="B674" s="43" t="s">
        <v>239</v>
      </c>
      <c r="C674" s="45" t="s">
        <v>240</v>
      </c>
      <c r="D674" s="46" t="s">
        <v>4</v>
      </c>
      <c r="E674" s="44">
        <v>5.15</v>
      </c>
      <c r="F674" s="31">
        <f>TRUNC(19.81,2)</f>
        <v>19.81</v>
      </c>
      <c r="G674" s="32">
        <f t="shared" si="31"/>
        <v>102.02</v>
      </c>
      <c r="H674" s="32"/>
      <c r="I674" s="33"/>
      <c r="J674" s="33"/>
      <c r="K674" s="44"/>
    </row>
    <row r="675" spans="1:11" s="34" customFormat="1" ht="30">
      <c r="A675" s="30"/>
      <c r="B675" s="43" t="s">
        <v>93</v>
      </c>
      <c r="C675" s="45" t="s">
        <v>94</v>
      </c>
      <c r="D675" s="46" t="s">
        <v>4</v>
      </c>
      <c r="E675" s="44">
        <v>2.06</v>
      </c>
      <c r="F675" s="31">
        <f>TRUNC(19.81,2)</f>
        <v>19.81</v>
      </c>
      <c r="G675" s="32">
        <f t="shared" si="31"/>
        <v>40.8</v>
      </c>
      <c r="H675" s="32"/>
      <c r="I675" s="33"/>
      <c r="J675" s="33"/>
      <c r="K675" s="44"/>
    </row>
    <row r="676" spans="1:11" s="34" customFormat="1" ht="30">
      <c r="A676" s="30"/>
      <c r="B676" s="43" t="s">
        <v>209</v>
      </c>
      <c r="C676" s="45" t="s">
        <v>210</v>
      </c>
      <c r="D676" s="46" t="s">
        <v>4</v>
      </c>
      <c r="E676" s="44">
        <v>2.575</v>
      </c>
      <c r="F676" s="31">
        <f>TRUNC(19.81,2)</f>
        <v>19.81</v>
      </c>
      <c r="G676" s="32">
        <f t="shared" si="31"/>
        <v>51.01</v>
      </c>
      <c r="H676" s="32"/>
      <c r="I676" s="33"/>
      <c r="J676" s="33"/>
      <c r="K676" s="44"/>
    </row>
    <row r="677" spans="1:11" s="34" customFormat="1" ht="15">
      <c r="A677" s="30"/>
      <c r="B677" s="43" t="s">
        <v>963</v>
      </c>
      <c r="C677" s="45" t="s">
        <v>964</v>
      </c>
      <c r="D677" s="46" t="s">
        <v>10</v>
      </c>
      <c r="E677" s="44">
        <v>1</v>
      </c>
      <c r="F677" s="31">
        <f>TRUNC(780.99,2)</f>
        <v>780.99</v>
      </c>
      <c r="G677" s="32">
        <f t="shared" si="31"/>
        <v>780.99</v>
      </c>
      <c r="H677" s="32"/>
      <c r="I677" s="33"/>
      <c r="J677" s="33"/>
      <c r="K677" s="44"/>
    </row>
    <row r="678" spans="1:11" s="34" customFormat="1" ht="15">
      <c r="A678" s="30"/>
      <c r="B678" s="43" t="s">
        <v>215</v>
      </c>
      <c r="C678" s="45" t="s">
        <v>216</v>
      </c>
      <c r="D678" s="46" t="s">
        <v>1</v>
      </c>
      <c r="E678" s="44">
        <v>0.03</v>
      </c>
      <c r="F678" s="31">
        <f>TRUNC(277.3833,2)</f>
        <v>277.38</v>
      </c>
      <c r="G678" s="32">
        <f t="shared" si="31"/>
        <v>8.32</v>
      </c>
      <c r="H678" s="32"/>
      <c r="I678" s="33"/>
      <c r="J678" s="33"/>
      <c r="K678" s="44"/>
    </row>
    <row r="679" spans="1:11" s="34" customFormat="1" ht="15">
      <c r="A679" s="30"/>
      <c r="B679" s="43"/>
      <c r="C679" s="45"/>
      <c r="D679" s="46"/>
      <c r="E679" s="44" t="s">
        <v>5</v>
      </c>
      <c r="F679" s="31"/>
      <c r="G679" s="32">
        <f>TRUNC(SUM(G670:G678),2)</f>
        <v>1088.52</v>
      </c>
      <c r="H679" s="32"/>
      <c r="I679" s="33"/>
      <c r="J679" s="33"/>
      <c r="K679" s="44"/>
    </row>
    <row r="680" spans="1:11" s="88" customFormat="1" ht="45">
      <c r="A680" s="80" t="s">
        <v>1608</v>
      </c>
      <c r="B680" s="81" t="s">
        <v>1525</v>
      </c>
      <c r="C680" s="82" t="s">
        <v>1526</v>
      </c>
      <c r="D680" s="83" t="s">
        <v>2</v>
      </c>
      <c r="E680" s="84">
        <v>84</v>
      </c>
      <c r="F680" s="85">
        <f>TRUNC(G684,2)</f>
        <v>10.68</v>
      </c>
      <c r="G680" s="86">
        <f>TRUNC(F680*1.2882,2)</f>
        <v>13.75</v>
      </c>
      <c r="H680" s="86">
        <f>TRUNC(F680*E680,2)</f>
        <v>897.12</v>
      </c>
      <c r="I680" s="87">
        <f>TRUNC(E680*G680,2)</f>
        <v>1155</v>
      </c>
      <c r="J680" s="87"/>
      <c r="K680" s="84"/>
    </row>
    <row r="681" spans="1:11" s="58" customFormat="1" ht="28.5">
      <c r="A681" s="54"/>
      <c r="B681" s="52" t="s">
        <v>966</v>
      </c>
      <c r="C681" s="55" t="s">
        <v>967</v>
      </c>
      <c r="D681" s="56" t="s">
        <v>2</v>
      </c>
      <c r="E681" s="57">
        <v>1</v>
      </c>
      <c r="F681" s="53">
        <v>5.8</v>
      </c>
      <c r="G681" s="50">
        <f>TRUNC(E681*F681,2)</f>
        <v>5.8</v>
      </c>
      <c r="H681" s="50"/>
      <c r="I681" s="51"/>
      <c r="J681" s="51"/>
      <c r="K681" s="57"/>
    </row>
    <row r="682" spans="1:11" s="34" customFormat="1" ht="15">
      <c r="A682" s="30"/>
      <c r="B682" s="43" t="s">
        <v>283</v>
      </c>
      <c r="C682" s="45" t="s">
        <v>32</v>
      </c>
      <c r="D682" s="46" t="s">
        <v>4</v>
      </c>
      <c r="E682" s="44">
        <v>0.0993</v>
      </c>
      <c r="F682" s="31">
        <f>TRUNC(21.13,2)</f>
        <v>21.13</v>
      </c>
      <c r="G682" s="32">
        <f>TRUNC(E682*F682,2)</f>
        <v>2.09</v>
      </c>
      <c r="H682" s="32"/>
      <c r="I682" s="33"/>
      <c r="J682" s="33"/>
      <c r="K682" s="44"/>
    </row>
    <row r="683" spans="1:11" s="34" customFormat="1" ht="15">
      <c r="A683" s="30"/>
      <c r="B683" s="43" t="s">
        <v>625</v>
      </c>
      <c r="C683" s="45" t="s">
        <v>626</v>
      </c>
      <c r="D683" s="46" t="s">
        <v>4</v>
      </c>
      <c r="E683" s="44">
        <v>0.0993</v>
      </c>
      <c r="F683" s="31">
        <f>TRUNC(28.16,2)</f>
        <v>28.16</v>
      </c>
      <c r="G683" s="32">
        <f>TRUNC(E683*F683,2)</f>
        <v>2.79</v>
      </c>
      <c r="H683" s="32"/>
      <c r="I683" s="33"/>
      <c r="J683" s="33"/>
      <c r="K683" s="44"/>
    </row>
    <row r="684" spans="1:11" s="34" customFormat="1" ht="15">
      <c r="A684" s="30"/>
      <c r="B684" s="43"/>
      <c r="C684" s="45"/>
      <c r="D684" s="46"/>
      <c r="E684" s="44" t="s">
        <v>5</v>
      </c>
      <c r="F684" s="31"/>
      <c r="G684" s="32">
        <f>TRUNC(SUM(G681:G683),2)</f>
        <v>10.68</v>
      </c>
      <c r="H684" s="32"/>
      <c r="I684" s="33"/>
      <c r="J684" s="33"/>
      <c r="K684" s="44"/>
    </row>
    <row r="685" spans="1:11" s="88" customFormat="1" ht="30">
      <c r="A685" s="80" t="s">
        <v>1609</v>
      </c>
      <c r="B685" s="81" t="s">
        <v>627</v>
      </c>
      <c r="C685" s="82" t="s">
        <v>628</v>
      </c>
      <c r="D685" s="83" t="s">
        <v>2</v>
      </c>
      <c r="E685" s="84">
        <v>234</v>
      </c>
      <c r="F685" s="85">
        <f>TRUNC(G690,2)</f>
        <v>45.03</v>
      </c>
      <c r="G685" s="86">
        <f>TRUNC(F685*1.2882,2)</f>
        <v>58</v>
      </c>
      <c r="H685" s="86">
        <f>TRUNC(F685*E685,2)</f>
        <v>10537.02</v>
      </c>
      <c r="I685" s="87">
        <f>TRUNC(E685*G685,2)</f>
        <v>13572</v>
      </c>
      <c r="J685" s="87"/>
      <c r="K685" s="84"/>
    </row>
    <row r="686" spans="1:11" s="34" customFormat="1" ht="15">
      <c r="A686" s="30"/>
      <c r="B686" s="43" t="s">
        <v>629</v>
      </c>
      <c r="C686" s="45" t="s">
        <v>630</v>
      </c>
      <c r="D686" s="46" t="s">
        <v>2</v>
      </c>
      <c r="E686" s="44">
        <v>1.05</v>
      </c>
      <c r="F686" s="31">
        <f>TRUNC(39.11,2)</f>
        <v>39.11</v>
      </c>
      <c r="G686" s="32">
        <f>TRUNC(E686*F686,2)</f>
        <v>41.06</v>
      </c>
      <c r="H686" s="32"/>
      <c r="I686" s="33"/>
      <c r="J686" s="33"/>
      <c r="K686" s="44"/>
    </row>
    <row r="687" spans="1:11" s="34" customFormat="1" ht="30">
      <c r="A687" s="30"/>
      <c r="B687" s="43" t="s">
        <v>631</v>
      </c>
      <c r="C687" s="45" t="s">
        <v>632</v>
      </c>
      <c r="D687" s="46" t="s">
        <v>10</v>
      </c>
      <c r="E687" s="44">
        <v>0.0104</v>
      </c>
      <c r="F687" s="31">
        <f>TRUNC(25.56,2)</f>
        <v>25.56</v>
      </c>
      <c r="G687" s="32">
        <f>TRUNC(E687*F687,2)</f>
        <v>0.26</v>
      </c>
      <c r="H687" s="32"/>
      <c r="I687" s="33"/>
      <c r="J687" s="33"/>
      <c r="K687" s="44"/>
    </row>
    <row r="688" spans="1:11" s="34" customFormat="1" ht="15">
      <c r="A688" s="30"/>
      <c r="B688" s="43" t="s">
        <v>283</v>
      </c>
      <c r="C688" s="45" t="s">
        <v>32</v>
      </c>
      <c r="D688" s="46" t="s">
        <v>4</v>
      </c>
      <c r="E688" s="44">
        <v>0.0753</v>
      </c>
      <c r="F688" s="31">
        <f>TRUNC(21.13,2)</f>
        <v>21.13</v>
      </c>
      <c r="G688" s="32">
        <f>TRUNC(E688*F688,2)</f>
        <v>1.59</v>
      </c>
      <c r="H688" s="32"/>
      <c r="I688" s="33"/>
      <c r="J688" s="33"/>
      <c r="K688" s="44"/>
    </row>
    <row r="689" spans="1:11" s="34" customFormat="1" ht="15">
      <c r="A689" s="30"/>
      <c r="B689" s="43" t="s">
        <v>625</v>
      </c>
      <c r="C689" s="45" t="s">
        <v>626</v>
      </c>
      <c r="D689" s="46" t="s">
        <v>4</v>
      </c>
      <c r="E689" s="44">
        <v>0.0753</v>
      </c>
      <c r="F689" s="31">
        <f>TRUNC(28.16,2)</f>
        <v>28.16</v>
      </c>
      <c r="G689" s="32">
        <f>TRUNC(E689*F689,2)</f>
        <v>2.12</v>
      </c>
      <c r="H689" s="32"/>
      <c r="I689" s="33"/>
      <c r="J689" s="33"/>
      <c r="K689" s="44"/>
    </row>
    <row r="690" spans="1:11" s="34" customFormat="1" ht="15">
      <c r="A690" s="30"/>
      <c r="B690" s="43"/>
      <c r="C690" s="45"/>
      <c r="D690" s="46"/>
      <c r="E690" s="44" t="s">
        <v>5</v>
      </c>
      <c r="F690" s="31"/>
      <c r="G690" s="32">
        <f>TRUNC(SUM(G686:G689),2)</f>
        <v>45.03</v>
      </c>
      <c r="H690" s="32"/>
      <c r="I690" s="33"/>
      <c r="J690" s="33"/>
      <c r="K690" s="44"/>
    </row>
    <row r="691" spans="1:11" s="88" customFormat="1" ht="30">
      <c r="A691" s="80" t="s">
        <v>1610</v>
      </c>
      <c r="B691" s="81" t="s">
        <v>633</v>
      </c>
      <c r="C691" s="82" t="s">
        <v>634</v>
      </c>
      <c r="D691" s="83" t="s">
        <v>2</v>
      </c>
      <c r="E691" s="84">
        <v>60</v>
      </c>
      <c r="F691" s="85">
        <f>TRUNC(G696,2)</f>
        <v>93.31</v>
      </c>
      <c r="G691" s="86">
        <f>TRUNC(F691*1.2882,2)</f>
        <v>120.2</v>
      </c>
      <c r="H691" s="86">
        <f>TRUNC(F691*E691,2)</f>
        <v>5598.6</v>
      </c>
      <c r="I691" s="87">
        <f>TRUNC(E691*G691,2)</f>
        <v>7212</v>
      </c>
      <c r="J691" s="87"/>
      <c r="K691" s="84"/>
    </row>
    <row r="692" spans="1:11" s="34" customFormat="1" ht="15">
      <c r="A692" s="30"/>
      <c r="B692" s="43" t="s">
        <v>635</v>
      </c>
      <c r="C692" s="45" t="s">
        <v>636</v>
      </c>
      <c r="D692" s="46" t="s">
        <v>2</v>
      </c>
      <c r="E692" s="44">
        <v>1.05</v>
      </c>
      <c r="F692" s="31">
        <f>TRUNC(84.34,2)</f>
        <v>84.34</v>
      </c>
      <c r="G692" s="32">
        <f>TRUNC(E692*F692,2)</f>
        <v>88.55</v>
      </c>
      <c r="H692" s="32"/>
      <c r="I692" s="33"/>
      <c r="J692" s="33"/>
      <c r="K692" s="44"/>
    </row>
    <row r="693" spans="1:11" s="34" customFormat="1" ht="30">
      <c r="A693" s="30"/>
      <c r="B693" s="43" t="s">
        <v>631</v>
      </c>
      <c r="C693" s="45" t="s">
        <v>632</v>
      </c>
      <c r="D693" s="46" t="s">
        <v>10</v>
      </c>
      <c r="E693" s="44">
        <v>0.0146</v>
      </c>
      <c r="F693" s="31">
        <f>TRUNC(25.56,2)</f>
        <v>25.56</v>
      </c>
      <c r="G693" s="32">
        <f>TRUNC(E693*F693,2)</f>
        <v>0.37</v>
      </c>
      <c r="H693" s="32"/>
      <c r="I693" s="33"/>
      <c r="J693" s="33"/>
      <c r="K693" s="44"/>
    </row>
    <row r="694" spans="1:11" s="34" customFormat="1" ht="15">
      <c r="A694" s="30"/>
      <c r="B694" s="43" t="s">
        <v>283</v>
      </c>
      <c r="C694" s="45" t="s">
        <v>32</v>
      </c>
      <c r="D694" s="46" t="s">
        <v>4</v>
      </c>
      <c r="E694" s="44">
        <v>0.0892</v>
      </c>
      <c r="F694" s="31">
        <f>TRUNC(21.13,2)</f>
        <v>21.13</v>
      </c>
      <c r="G694" s="32">
        <f>TRUNC(E694*F694,2)</f>
        <v>1.88</v>
      </c>
      <c r="H694" s="32"/>
      <c r="I694" s="33"/>
      <c r="J694" s="33"/>
      <c r="K694" s="44"/>
    </row>
    <row r="695" spans="1:11" s="34" customFormat="1" ht="15">
      <c r="A695" s="30"/>
      <c r="B695" s="43" t="s">
        <v>625</v>
      </c>
      <c r="C695" s="45" t="s">
        <v>626</v>
      </c>
      <c r="D695" s="46" t="s">
        <v>4</v>
      </c>
      <c r="E695" s="44">
        <v>0.0892</v>
      </c>
      <c r="F695" s="31">
        <f>TRUNC(28.16,2)</f>
        <v>28.16</v>
      </c>
      <c r="G695" s="32">
        <f>TRUNC(E695*F695,2)</f>
        <v>2.51</v>
      </c>
      <c r="H695" s="32"/>
      <c r="I695" s="33"/>
      <c r="J695" s="33"/>
      <c r="K695" s="44"/>
    </row>
    <row r="696" spans="1:11" s="34" customFormat="1" ht="15">
      <c r="A696" s="30"/>
      <c r="B696" s="43"/>
      <c r="C696" s="45"/>
      <c r="D696" s="46"/>
      <c r="E696" s="44" t="s">
        <v>5</v>
      </c>
      <c r="F696" s="31"/>
      <c r="G696" s="32">
        <f>TRUNC(SUM(G692:G695),2)</f>
        <v>93.31</v>
      </c>
      <c r="H696" s="32"/>
      <c r="I696" s="33"/>
      <c r="J696" s="33"/>
      <c r="K696" s="44"/>
    </row>
    <row r="697" spans="1:11" s="88" customFormat="1" ht="30">
      <c r="A697" s="80" t="s">
        <v>1611</v>
      </c>
      <c r="B697" s="81" t="s">
        <v>637</v>
      </c>
      <c r="C697" s="82" t="s">
        <v>638</v>
      </c>
      <c r="D697" s="83" t="s">
        <v>2</v>
      </c>
      <c r="E697" s="84">
        <v>48</v>
      </c>
      <c r="F697" s="85">
        <f>TRUNC(G702,2)</f>
        <v>138.43</v>
      </c>
      <c r="G697" s="86">
        <f>TRUNC(F697*1.2882,2)</f>
        <v>178.32</v>
      </c>
      <c r="H697" s="86">
        <f>TRUNC(F697*E697,2)</f>
        <v>6644.64</v>
      </c>
      <c r="I697" s="87">
        <f>TRUNC(E697*G697,2)</f>
        <v>8559.36</v>
      </c>
      <c r="J697" s="87"/>
      <c r="K697" s="84"/>
    </row>
    <row r="698" spans="1:11" s="34" customFormat="1" ht="15">
      <c r="A698" s="30"/>
      <c r="B698" s="43" t="s">
        <v>639</v>
      </c>
      <c r="C698" s="45" t="s">
        <v>640</v>
      </c>
      <c r="D698" s="46" t="s">
        <v>2</v>
      </c>
      <c r="E698" s="44">
        <v>1.05</v>
      </c>
      <c r="F698" s="31">
        <f>TRUNC(126.61,2)</f>
        <v>126.61</v>
      </c>
      <c r="G698" s="32">
        <f>TRUNC(E698*F698,2)</f>
        <v>132.94</v>
      </c>
      <c r="H698" s="32"/>
      <c r="I698" s="33"/>
      <c r="J698" s="33"/>
      <c r="K698" s="44"/>
    </row>
    <row r="699" spans="1:11" s="34" customFormat="1" ht="30">
      <c r="A699" s="30"/>
      <c r="B699" s="43" t="s">
        <v>631</v>
      </c>
      <c r="C699" s="45" t="s">
        <v>632</v>
      </c>
      <c r="D699" s="46" t="s">
        <v>10</v>
      </c>
      <c r="E699" s="44">
        <v>0.0167</v>
      </c>
      <c r="F699" s="31">
        <f>TRUNC(25.56,2)</f>
        <v>25.56</v>
      </c>
      <c r="G699" s="32">
        <f>TRUNC(E699*F699,2)</f>
        <v>0.42</v>
      </c>
      <c r="H699" s="32"/>
      <c r="I699" s="33"/>
      <c r="J699" s="33"/>
      <c r="K699" s="44"/>
    </row>
    <row r="700" spans="1:11" s="34" customFormat="1" ht="15">
      <c r="A700" s="30"/>
      <c r="B700" s="43" t="s">
        <v>283</v>
      </c>
      <c r="C700" s="45" t="s">
        <v>32</v>
      </c>
      <c r="D700" s="46" t="s">
        <v>4</v>
      </c>
      <c r="E700" s="44">
        <v>0.103</v>
      </c>
      <c r="F700" s="31">
        <f>TRUNC(21.13,2)</f>
        <v>21.13</v>
      </c>
      <c r="G700" s="32">
        <f>TRUNC(E700*F700,2)</f>
        <v>2.17</v>
      </c>
      <c r="H700" s="32"/>
      <c r="I700" s="33"/>
      <c r="J700" s="33"/>
      <c r="K700" s="44"/>
    </row>
    <row r="701" spans="1:11" s="34" customFormat="1" ht="15">
      <c r="A701" s="30"/>
      <c r="B701" s="43" t="s">
        <v>625</v>
      </c>
      <c r="C701" s="45" t="s">
        <v>626</v>
      </c>
      <c r="D701" s="46" t="s">
        <v>4</v>
      </c>
      <c r="E701" s="44">
        <v>0.103</v>
      </c>
      <c r="F701" s="31">
        <f>TRUNC(28.16,2)</f>
        <v>28.16</v>
      </c>
      <c r="G701" s="32">
        <f>TRUNC(E701*F701,2)</f>
        <v>2.9</v>
      </c>
      <c r="H701" s="32"/>
      <c r="I701" s="33"/>
      <c r="J701" s="33"/>
      <c r="K701" s="44"/>
    </row>
    <row r="702" spans="1:11" s="34" customFormat="1" ht="15">
      <c r="A702" s="30"/>
      <c r="B702" s="43"/>
      <c r="C702" s="45"/>
      <c r="D702" s="46"/>
      <c r="E702" s="44" t="s">
        <v>5</v>
      </c>
      <c r="F702" s="31"/>
      <c r="G702" s="32">
        <f>TRUNC(SUM(G698:G701),2)</f>
        <v>138.43</v>
      </c>
      <c r="H702" s="32"/>
      <c r="I702" s="33"/>
      <c r="J702" s="33"/>
      <c r="K702" s="44"/>
    </row>
    <row r="703" spans="1:11" s="88" customFormat="1" ht="90">
      <c r="A703" s="80" t="s">
        <v>1612</v>
      </c>
      <c r="B703" s="81" t="s">
        <v>647</v>
      </c>
      <c r="C703" s="82" t="s">
        <v>648</v>
      </c>
      <c r="D703" s="83" t="s">
        <v>10</v>
      </c>
      <c r="E703" s="84">
        <v>20</v>
      </c>
      <c r="F703" s="85">
        <f>TRUNC(G707,2)</f>
        <v>137.09</v>
      </c>
      <c r="G703" s="86">
        <f>TRUNC(F703*1.2882,2)</f>
        <v>176.59</v>
      </c>
      <c r="H703" s="86">
        <f>TRUNC(F703*E703,2)</f>
        <v>2741.8</v>
      </c>
      <c r="I703" s="87">
        <f>TRUNC(E703*G703,2)</f>
        <v>3531.8</v>
      </c>
      <c r="J703" s="87"/>
      <c r="K703" s="84"/>
    </row>
    <row r="704" spans="1:11" s="34" customFormat="1" ht="30">
      <c r="A704" s="30"/>
      <c r="B704" s="43" t="s">
        <v>649</v>
      </c>
      <c r="C704" s="45" t="s">
        <v>650</v>
      </c>
      <c r="D704" s="46" t="s">
        <v>10</v>
      </c>
      <c r="E704" s="44">
        <v>1</v>
      </c>
      <c r="F704" s="31">
        <f>TRUNC(84.3462,2)</f>
        <v>84.34</v>
      </c>
      <c r="G704" s="32">
        <f>TRUNC(E704*F704,2)</f>
        <v>84.34</v>
      </c>
      <c r="H704" s="32"/>
      <c r="I704" s="33"/>
      <c r="J704" s="33"/>
      <c r="K704" s="44"/>
    </row>
    <row r="705" spans="1:11" s="34" customFormat="1" ht="30">
      <c r="A705" s="30"/>
      <c r="B705" s="43" t="s">
        <v>26</v>
      </c>
      <c r="C705" s="45" t="s">
        <v>27</v>
      </c>
      <c r="D705" s="46" t="s">
        <v>4</v>
      </c>
      <c r="E705" s="44">
        <v>1.545</v>
      </c>
      <c r="F705" s="31">
        <f>TRUNC(14.34,2)</f>
        <v>14.34</v>
      </c>
      <c r="G705" s="32">
        <f>TRUNC(E705*F705,2)</f>
        <v>22.15</v>
      </c>
      <c r="H705" s="32"/>
      <c r="I705" s="33"/>
      <c r="J705" s="33"/>
      <c r="K705" s="44"/>
    </row>
    <row r="706" spans="1:11" s="34" customFormat="1" ht="30">
      <c r="A706" s="30"/>
      <c r="B706" s="43" t="s">
        <v>209</v>
      </c>
      <c r="C706" s="45" t="s">
        <v>210</v>
      </c>
      <c r="D706" s="46" t="s">
        <v>4</v>
      </c>
      <c r="E706" s="44">
        <v>1.545</v>
      </c>
      <c r="F706" s="31">
        <f>TRUNC(19.81,2)</f>
        <v>19.81</v>
      </c>
      <c r="G706" s="32">
        <f>TRUNC(E706*F706,2)</f>
        <v>30.6</v>
      </c>
      <c r="H706" s="32"/>
      <c r="I706" s="33"/>
      <c r="J706" s="33"/>
      <c r="K706" s="44"/>
    </row>
    <row r="707" spans="1:11" s="34" customFormat="1" ht="15">
      <c r="A707" s="30"/>
      <c r="B707" s="43"/>
      <c r="C707" s="45"/>
      <c r="D707" s="46"/>
      <c r="E707" s="44" t="s">
        <v>5</v>
      </c>
      <c r="F707" s="31"/>
      <c r="G707" s="32">
        <f>TRUNC(SUM(G704:G706),2)</f>
        <v>137.09</v>
      </c>
      <c r="H707" s="32"/>
      <c r="I707" s="33"/>
      <c r="J707" s="33"/>
      <c r="K707" s="44"/>
    </row>
    <row r="708" spans="1:11" s="88" customFormat="1" ht="30">
      <c r="A708" s="80" t="s">
        <v>1613</v>
      </c>
      <c r="B708" s="81" t="s">
        <v>651</v>
      </c>
      <c r="C708" s="82" t="s">
        <v>652</v>
      </c>
      <c r="D708" s="83" t="s">
        <v>10</v>
      </c>
      <c r="E708" s="84">
        <v>6</v>
      </c>
      <c r="F708" s="85">
        <f>TRUNC(G719,2)</f>
        <v>436.77</v>
      </c>
      <c r="G708" s="86">
        <f>TRUNC(F708*1.2882,2)</f>
        <v>562.64</v>
      </c>
      <c r="H708" s="86">
        <f>TRUNC(F708*E708,2)</f>
        <v>2620.62</v>
      </c>
      <c r="I708" s="87">
        <f>TRUNC(E708*G708,2)</f>
        <v>3375.84</v>
      </c>
      <c r="J708" s="87"/>
      <c r="K708" s="84"/>
    </row>
    <row r="709" spans="1:11" s="34" customFormat="1" ht="15">
      <c r="A709" s="30"/>
      <c r="B709" s="43" t="s">
        <v>653</v>
      </c>
      <c r="C709" s="45" t="s">
        <v>654</v>
      </c>
      <c r="D709" s="46" t="s">
        <v>10</v>
      </c>
      <c r="E709" s="44">
        <v>22.4145</v>
      </c>
      <c r="F709" s="31">
        <f>TRUNC(2.17,2)</f>
        <v>2.17</v>
      </c>
      <c r="G709" s="32">
        <f aca="true" t="shared" si="32" ref="G709:G718">TRUNC(E709*F709,2)</f>
        <v>48.63</v>
      </c>
      <c r="H709" s="32"/>
      <c r="I709" s="33"/>
      <c r="J709" s="33"/>
      <c r="K709" s="44"/>
    </row>
    <row r="710" spans="1:11" s="34" customFormat="1" ht="15">
      <c r="A710" s="30"/>
      <c r="B710" s="43" t="s">
        <v>283</v>
      </c>
      <c r="C710" s="45" t="s">
        <v>32</v>
      </c>
      <c r="D710" s="46" t="s">
        <v>4</v>
      </c>
      <c r="E710" s="44">
        <v>4.223</v>
      </c>
      <c r="F710" s="31">
        <f>TRUNC(21.13,2)</f>
        <v>21.13</v>
      </c>
      <c r="G710" s="32">
        <f t="shared" si="32"/>
        <v>89.23</v>
      </c>
      <c r="H710" s="32"/>
      <c r="I710" s="33"/>
      <c r="J710" s="33"/>
      <c r="K710" s="44"/>
    </row>
    <row r="711" spans="1:11" s="34" customFormat="1" ht="15">
      <c r="A711" s="30"/>
      <c r="B711" s="43" t="s">
        <v>306</v>
      </c>
      <c r="C711" s="45" t="s">
        <v>307</v>
      </c>
      <c r="D711" s="46" t="s">
        <v>4</v>
      </c>
      <c r="E711" s="44">
        <v>4.223</v>
      </c>
      <c r="F711" s="31">
        <f>TRUNC(26.76,2)</f>
        <v>26.76</v>
      </c>
      <c r="G711" s="32">
        <f t="shared" si="32"/>
        <v>113</v>
      </c>
      <c r="H711" s="32"/>
      <c r="I711" s="33"/>
      <c r="J711" s="33"/>
      <c r="K711" s="44"/>
    </row>
    <row r="712" spans="1:11" s="34" customFormat="1" ht="30">
      <c r="A712" s="30"/>
      <c r="B712" s="43" t="s">
        <v>655</v>
      </c>
      <c r="C712" s="45" t="s">
        <v>656</v>
      </c>
      <c r="D712" s="46" t="s">
        <v>0</v>
      </c>
      <c r="E712" s="44">
        <v>0.81</v>
      </c>
      <c r="F712" s="31">
        <f>TRUNC(6.19,2)</f>
        <v>6.19</v>
      </c>
      <c r="G712" s="32">
        <f t="shared" si="32"/>
        <v>5.01</v>
      </c>
      <c r="H712" s="32"/>
      <c r="I712" s="33"/>
      <c r="J712" s="33"/>
      <c r="K712" s="44"/>
    </row>
    <row r="713" spans="1:11" s="34" customFormat="1" ht="45">
      <c r="A713" s="30"/>
      <c r="B713" s="43" t="s">
        <v>657</v>
      </c>
      <c r="C713" s="45" t="s">
        <v>658</v>
      </c>
      <c r="D713" s="46" t="s">
        <v>1</v>
      </c>
      <c r="E713" s="44">
        <v>0.0728</v>
      </c>
      <c r="F713" s="31">
        <f>TRUNC(573.5,2)</f>
        <v>573.5</v>
      </c>
      <c r="G713" s="32">
        <f t="shared" si="32"/>
        <v>41.75</v>
      </c>
      <c r="H713" s="32"/>
      <c r="I713" s="33"/>
      <c r="J713" s="33"/>
      <c r="K713" s="44"/>
    </row>
    <row r="714" spans="1:11" s="34" customFormat="1" ht="30">
      <c r="A714" s="30"/>
      <c r="B714" s="43" t="s">
        <v>659</v>
      </c>
      <c r="C714" s="45" t="s">
        <v>660</v>
      </c>
      <c r="D714" s="46" t="s">
        <v>1</v>
      </c>
      <c r="E714" s="44">
        <v>0.0448</v>
      </c>
      <c r="F714" s="31">
        <f>TRUNC(2435.18,2)</f>
        <v>2435.18</v>
      </c>
      <c r="G714" s="32">
        <f t="shared" si="32"/>
        <v>109.09</v>
      </c>
      <c r="H714" s="32"/>
      <c r="I714" s="33"/>
      <c r="J714" s="33"/>
      <c r="K714" s="44"/>
    </row>
    <row r="715" spans="1:11" s="34" customFormat="1" ht="30">
      <c r="A715" s="30"/>
      <c r="B715" s="43" t="s">
        <v>661</v>
      </c>
      <c r="C715" s="45" t="s">
        <v>662</v>
      </c>
      <c r="D715" s="46" t="s">
        <v>1</v>
      </c>
      <c r="E715" s="44">
        <v>0.0744</v>
      </c>
      <c r="F715" s="31">
        <f>TRUNC(361.79,2)</f>
        <v>361.79</v>
      </c>
      <c r="G715" s="32">
        <f t="shared" si="32"/>
        <v>26.91</v>
      </c>
      <c r="H715" s="32"/>
      <c r="I715" s="33"/>
      <c r="J715" s="33"/>
      <c r="K715" s="44"/>
    </row>
    <row r="716" spans="1:11" s="34" customFormat="1" ht="45">
      <c r="A716" s="30"/>
      <c r="B716" s="43" t="s">
        <v>663</v>
      </c>
      <c r="C716" s="45" t="s">
        <v>664</v>
      </c>
      <c r="D716" s="46" t="s">
        <v>1</v>
      </c>
      <c r="E716" s="44">
        <v>0.0014</v>
      </c>
      <c r="F716" s="31">
        <f>TRUNC(395.72,2)</f>
        <v>395.72</v>
      </c>
      <c r="G716" s="32">
        <f t="shared" si="32"/>
        <v>0.55</v>
      </c>
      <c r="H716" s="32"/>
      <c r="I716" s="33"/>
      <c r="J716" s="33"/>
      <c r="K716" s="44"/>
    </row>
    <row r="717" spans="1:11" s="34" customFormat="1" ht="60">
      <c r="A717" s="30"/>
      <c r="B717" s="43" t="s">
        <v>665</v>
      </c>
      <c r="C717" s="45" t="s">
        <v>666</v>
      </c>
      <c r="D717" s="46" t="s">
        <v>38</v>
      </c>
      <c r="E717" s="44">
        <v>0.0294</v>
      </c>
      <c r="F717" s="31">
        <f>TRUNC(53.55,2)</f>
        <v>53.55</v>
      </c>
      <c r="G717" s="32">
        <f t="shared" si="32"/>
        <v>1.57</v>
      </c>
      <c r="H717" s="32"/>
      <c r="I717" s="33"/>
      <c r="J717" s="33"/>
      <c r="K717" s="44"/>
    </row>
    <row r="718" spans="1:11" s="34" customFormat="1" ht="60">
      <c r="A718" s="30"/>
      <c r="B718" s="43" t="s">
        <v>667</v>
      </c>
      <c r="C718" s="45" t="s">
        <v>668</v>
      </c>
      <c r="D718" s="46" t="s">
        <v>21</v>
      </c>
      <c r="E718" s="44">
        <v>0.0087</v>
      </c>
      <c r="F718" s="31">
        <f>TRUNC(118.98,2)</f>
        <v>118.98</v>
      </c>
      <c r="G718" s="32">
        <f t="shared" si="32"/>
        <v>1.03</v>
      </c>
      <c r="H718" s="32"/>
      <c r="I718" s="33"/>
      <c r="J718" s="33"/>
      <c r="K718" s="44"/>
    </row>
    <row r="719" spans="1:11" s="34" customFormat="1" ht="15">
      <c r="A719" s="30"/>
      <c r="B719" s="43"/>
      <c r="C719" s="45"/>
      <c r="D719" s="46"/>
      <c r="E719" s="44" t="s">
        <v>5</v>
      </c>
      <c r="F719" s="31"/>
      <c r="G719" s="32">
        <f>TRUNC(SUM(G709:G718),2)</f>
        <v>436.77</v>
      </c>
      <c r="H719" s="32"/>
      <c r="I719" s="33"/>
      <c r="J719" s="33"/>
      <c r="K719" s="44"/>
    </row>
    <row r="720" spans="1:11" s="88" customFormat="1" ht="45">
      <c r="A720" s="80" t="s">
        <v>1614</v>
      </c>
      <c r="B720" s="81" t="s">
        <v>669</v>
      </c>
      <c r="C720" s="82" t="s">
        <v>670</v>
      </c>
      <c r="D720" s="83" t="s">
        <v>0</v>
      </c>
      <c r="E720" s="84">
        <v>2.16</v>
      </c>
      <c r="F720" s="85">
        <f>TRUNC(G728,2)</f>
        <v>163.1</v>
      </c>
      <c r="G720" s="86">
        <f>TRUNC(F720*1.2882,2)</f>
        <v>210.1</v>
      </c>
      <c r="H720" s="86">
        <f>TRUNC(F720*E720,2)</f>
        <v>352.29</v>
      </c>
      <c r="I720" s="87">
        <f>TRUNC(E720*G720,2)</f>
        <v>453.81</v>
      </c>
      <c r="J720" s="87"/>
      <c r="K720" s="84"/>
    </row>
    <row r="721" spans="1:11" s="34" customFormat="1" ht="30">
      <c r="A721" s="30"/>
      <c r="B721" s="43" t="s">
        <v>26</v>
      </c>
      <c r="C721" s="45" t="s">
        <v>27</v>
      </c>
      <c r="D721" s="46" t="s">
        <v>4</v>
      </c>
      <c r="E721" s="44">
        <v>1.03</v>
      </c>
      <c r="F721" s="31">
        <f>TRUNC(14.34,2)</f>
        <v>14.34</v>
      </c>
      <c r="G721" s="32">
        <f aca="true" t="shared" si="33" ref="G721:G727">TRUNC(E721*F721,2)</f>
        <v>14.77</v>
      </c>
      <c r="H721" s="32"/>
      <c r="I721" s="33"/>
      <c r="J721" s="33"/>
      <c r="K721" s="44"/>
    </row>
    <row r="722" spans="1:11" s="34" customFormat="1" ht="15">
      <c r="A722" s="30"/>
      <c r="B722" s="43" t="s">
        <v>671</v>
      </c>
      <c r="C722" s="45" t="s">
        <v>672</v>
      </c>
      <c r="D722" s="46" t="s">
        <v>3</v>
      </c>
      <c r="E722" s="44">
        <v>3.6</v>
      </c>
      <c r="F722" s="31">
        <f>TRUNC(3.6932,2)</f>
        <v>3.69</v>
      </c>
      <c r="G722" s="32">
        <f t="shared" si="33"/>
        <v>13.28</v>
      </c>
      <c r="H722" s="32"/>
      <c r="I722" s="33"/>
      <c r="J722" s="33"/>
      <c r="K722" s="44"/>
    </row>
    <row r="723" spans="1:11" s="34" customFormat="1" ht="15">
      <c r="A723" s="30"/>
      <c r="B723" s="43" t="s">
        <v>673</v>
      </c>
      <c r="C723" s="45" t="s">
        <v>674</v>
      </c>
      <c r="D723" s="46" t="s">
        <v>3</v>
      </c>
      <c r="E723" s="44">
        <v>3.6</v>
      </c>
      <c r="F723" s="31">
        <f>TRUNC(8.6734,2)</f>
        <v>8.67</v>
      </c>
      <c r="G723" s="32">
        <f t="shared" si="33"/>
        <v>31.21</v>
      </c>
      <c r="H723" s="32"/>
      <c r="I723" s="33"/>
      <c r="J723" s="33"/>
      <c r="K723" s="44"/>
    </row>
    <row r="724" spans="1:11" s="34" customFormat="1" ht="15">
      <c r="A724" s="30"/>
      <c r="B724" s="43" t="s">
        <v>600</v>
      </c>
      <c r="C724" s="45" t="s">
        <v>601</v>
      </c>
      <c r="D724" s="46" t="s">
        <v>0</v>
      </c>
      <c r="E724" s="44">
        <v>1.24</v>
      </c>
      <c r="F724" s="31">
        <f>TRUNC(63.1912,2)</f>
        <v>63.19</v>
      </c>
      <c r="G724" s="32">
        <f t="shared" si="33"/>
        <v>78.35</v>
      </c>
      <c r="H724" s="32"/>
      <c r="I724" s="33"/>
      <c r="J724" s="33"/>
      <c r="K724" s="44"/>
    </row>
    <row r="725" spans="1:11" s="34" customFormat="1" ht="15">
      <c r="A725" s="30"/>
      <c r="B725" s="43" t="s">
        <v>675</v>
      </c>
      <c r="C725" s="45" t="s">
        <v>676</v>
      </c>
      <c r="D725" s="46" t="s">
        <v>1</v>
      </c>
      <c r="E725" s="44">
        <v>0.06</v>
      </c>
      <c r="F725" s="31">
        <f>TRUNC(75.1902,2)</f>
        <v>75.19</v>
      </c>
      <c r="G725" s="32">
        <f t="shared" si="33"/>
        <v>4.51</v>
      </c>
      <c r="H725" s="32"/>
      <c r="I725" s="33"/>
      <c r="J725" s="33"/>
      <c r="K725" s="44"/>
    </row>
    <row r="726" spans="1:11" s="34" customFormat="1" ht="15">
      <c r="A726" s="30"/>
      <c r="B726" s="43" t="s">
        <v>217</v>
      </c>
      <c r="C726" s="45" t="s">
        <v>218</v>
      </c>
      <c r="D726" s="46" t="s">
        <v>1</v>
      </c>
      <c r="E726" s="44">
        <v>0.06</v>
      </c>
      <c r="F726" s="31">
        <f>TRUNC(72.3465,2)</f>
        <v>72.34</v>
      </c>
      <c r="G726" s="32">
        <f t="shared" si="33"/>
        <v>4.34</v>
      </c>
      <c r="H726" s="32"/>
      <c r="I726" s="33"/>
      <c r="J726" s="33"/>
      <c r="K726" s="44"/>
    </row>
    <row r="727" spans="1:11" s="34" customFormat="1" ht="15">
      <c r="A727" s="30"/>
      <c r="B727" s="43" t="s">
        <v>215</v>
      </c>
      <c r="C727" s="45" t="s">
        <v>216</v>
      </c>
      <c r="D727" s="46" t="s">
        <v>1</v>
      </c>
      <c r="E727" s="44">
        <v>0.06</v>
      </c>
      <c r="F727" s="31">
        <f>TRUNC(277.3833,2)</f>
        <v>277.38</v>
      </c>
      <c r="G727" s="32">
        <f t="shared" si="33"/>
        <v>16.64</v>
      </c>
      <c r="H727" s="32"/>
      <c r="I727" s="33"/>
      <c r="J727" s="33"/>
      <c r="K727" s="44"/>
    </row>
    <row r="728" spans="1:11" s="34" customFormat="1" ht="15">
      <c r="A728" s="30"/>
      <c r="B728" s="43"/>
      <c r="C728" s="45"/>
      <c r="D728" s="46"/>
      <c r="E728" s="44" t="s">
        <v>5</v>
      </c>
      <c r="F728" s="31"/>
      <c r="G728" s="32">
        <f>TRUNC(SUM(G721:G727),2)</f>
        <v>163.1</v>
      </c>
      <c r="H728" s="32"/>
      <c r="I728" s="33"/>
      <c r="J728" s="33"/>
      <c r="K728" s="44"/>
    </row>
    <row r="729" spans="1:11" s="88" customFormat="1" ht="30">
      <c r="A729" s="80" t="s">
        <v>1615</v>
      </c>
      <c r="B729" s="81" t="s">
        <v>1529</v>
      </c>
      <c r="C729" s="82" t="s">
        <v>1530</v>
      </c>
      <c r="D729" s="83" t="s">
        <v>10</v>
      </c>
      <c r="E729" s="84">
        <v>4</v>
      </c>
      <c r="F729" s="85">
        <f>TRUNC(G738,2)</f>
        <v>234.71</v>
      </c>
      <c r="G729" s="86">
        <f>TRUNC(F729*1.2882,2)</f>
        <v>302.35</v>
      </c>
      <c r="H729" s="86">
        <f>TRUNC(F729*E729,2)</f>
        <v>938.84</v>
      </c>
      <c r="I729" s="87">
        <f>TRUNC(E729*G729,2)</f>
        <v>1209.4</v>
      </c>
      <c r="J729" s="87"/>
      <c r="K729" s="84"/>
    </row>
    <row r="730" spans="1:11" s="34" customFormat="1" ht="15">
      <c r="A730" s="30"/>
      <c r="B730" s="43" t="s">
        <v>653</v>
      </c>
      <c r="C730" s="45" t="s">
        <v>654</v>
      </c>
      <c r="D730" s="46" t="s">
        <v>10</v>
      </c>
      <c r="E730" s="44">
        <v>10.8352</v>
      </c>
      <c r="F730" s="31">
        <f>TRUNC(2.17,2)</f>
        <v>2.17</v>
      </c>
      <c r="G730" s="32">
        <f aca="true" t="shared" si="34" ref="G730:G737">TRUNC(E730*F730,2)</f>
        <v>23.51</v>
      </c>
      <c r="H730" s="32"/>
      <c r="I730" s="33"/>
      <c r="J730" s="33"/>
      <c r="K730" s="44"/>
    </row>
    <row r="731" spans="1:11" s="34" customFormat="1" ht="15">
      <c r="A731" s="30"/>
      <c r="B731" s="43" t="s">
        <v>283</v>
      </c>
      <c r="C731" s="45" t="s">
        <v>32</v>
      </c>
      <c r="D731" s="46" t="s">
        <v>4</v>
      </c>
      <c r="E731" s="44">
        <v>2.0421</v>
      </c>
      <c r="F731" s="31">
        <f>TRUNC(21.13,2)</f>
        <v>21.13</v>
      </c>
      <c r="G731" s="32">
        <f t="shared" si="34"/>
        <v>43.14</v>
      </c>
      <c r="H731" s="32"/>
      <c r="I731" s="33"/>
      <c r="J731" s="33"/>
      <c r="K731" s="44"/>
    </row>
    <row r="732" spans="1:11" s="34" customFormat="1" ht="15">
      <c r="A732" s="30"/>
      <c r="B732" s="43" t="s">
        <v>306</v>
      </c>
      <c r="C732" s="45" t="s">
        <v>307</v>
      </c>
      <c r="D732" s="46" t="s">
        <v>4</v>
      </c>
      <c r="E732" s="44">
        <v>2.0421</v>
      </c>
      <c r="F732" s="31">
        <f>TRUNC(26.76,2)</f>
        <v>26.76</v>
      </c>
      <c r="G732" s="32">
        <f t="shared" si="34"/>
        <v>54.64</v>
      </c>
      <c r="H732" s="32"/>
      <c r="I732" s="33"/>
      <c r="J732" s="33"/>
      <c r="K732" s="44"/>
    </row>
    <row r="733" spans="1:11" s="34" customFormat="1" ht="30">
      <c r="A733" s="30"/>
      <c r="B733" s="43" t="s">
        <v>655</v>
      </c>
      <c r="C733" s="45" t="s">
        <v>656</v>
      </c>
      <c r="D733" s="46" t="s">
        <v>0</v>
      </c>
      <c r="E733" s="44">
        <v>0.49</v>
      </c>
      <c r="F733" s="31">
        <f>TRUNC(6.19,2)</f>
        <v>6.19</v>
      </c>
      <c r="G733" s="32">
        <f t="shared" si="34"/>
        <v>3.03</v>
      </c>
      <c r="H733" s="32"/>
      <c r="I733" s="33"/>
      <c r="J733" s="33"/>
      <c r="K733" s="44"/>
    </row>
    <row r="734" spans="1:11" s="34" customFormat="1" ht="45">
      <c r="A734" s="30"/>
      <c r="B734" s="43" t="s">
        <v>657</v>
      </c>
      <c r="C734" s="45" t="s">
        <v>658</v>
      </c>
      <c r="D734" s="46" t="s">
        <v>1</v>
      </c>
      <c r="E734" s="44">
        <v>0.0425</v>
      </c>
      <c r="F734" s="31">
        <f>TRUNC(573.5,2)</f>
        <v>573.5</v>
      </c>
      <c r="G734" s="32">
        <f t="shared" si="34"/>
        <v>24.37</v>
      </c>
      <c r="H734" s="32"/>
      <c r="I734" s="33"/>
      <c r="J734" s="33"/>
      <c r="K734" s="44"/>
    </row>
    <row r="735" spans="1:11" s="34" customFormat="1" ht="30">
      <c r="A735" s="30"/>
      <c r="B735" s="43" t="s">
        <v>1531</v>
      </c>
      <c r="C735" s="45" t="s">
        <v>1532</v>
      </c>
      <c r="D735" s="46" t="s">
        <v>1</v>
      </c>
      <c r="E735" s="44">
        <v>0.0252</v>
      </c>
      <c r="F735" s="31">
        <f>TRUNC(2933.37,2)</f>
        <v>2933.37</v>
      </c>
      <c r="G735" s="32">
        <f t="shared" si="34"/>
        <v>73.92</v>
      </c>
      <c r="H735" s="32"/>
      <c r="I735" s="33"/>
      <c r="J735" s="33"/>
      <c r="K735" s="44"/>
    </row>
    <row r="736" spans="1:11" s="34" customFormat="1" ht="30">
      <c r="A736" s="30"/>
      <c r="B736" s="43" t="s">
        <v>661</v>
      </c>
      <c r="C736" s="45" t="s">
        <v>662</v>
      </c>
      <c r="D736" s="46" t="s">
        <v>1</v>
      </c>
      <c r="E736" s="44">
        <v>0.0327</v>
      </c>
      <c r="F736" s="31">
        <f>TRUNC(361.79,2)</f>
        <v>361.79</v>
      </c>
      <c r="G736" s="32">
        <f t="shared" si="34"/>
        <v>11.83</v>
      </c>
      <c r="H736" s="32"/>
      <c r="I736" s="33"/>
      <c r="J736" s="33"/>
      <c r="K736" s="44"/>
    </row>
    <row r="737" spans="1:11" s="34" customFormat="1" ht="45">
      <c r="A737" s="30"/>
      <c r="B737" s="43" t="s">
        <v>663</v>
      </c>
      <c r="C737" s="45" t="s">
        <v>664</v>
      </c>
      <c r="D737" s="46" t="s">
        <v>1</v>
      </c>
      <c r="E737" s="44">
        <v>0.0007</v>
      </c>
      <c r="F737" s="31">
        <f>TRUNC(395.72,2)</f>
        <v>395.72</v>
      </c>
      <c r="G737" s="32">
        <f t="shared" si="34"/>
        <v>0.27</v>
      </c>
      <c r="H737" s="32"/>
      <c r="I737" s="33"/>
      <c r="J737" s="33"/>
      <c r="K737" s="44"/>
    </row>
    <row r="738" spans="1:11" s="34" customFormat="1" ht="15">
      <c r="A738" s="30"/>
      <c r="B738" s="43"/>
      <c r="C738" s="45"/>
      <c r="D738" s="46"/>
      <c r="E738" s="44" t="s">
        <v>5</v>
      </c>
      <c r="F738" s="31"/>
      <c r="G738" s="32">
        <f>TRUNC(SUM(G730:G737),2)</f>
        <v>234.71</v>
      </c>
      <c r="H738" s="32"/>
      <c r="I738" s="33"/>
      <c r="J738" s="33"/>
      <c r="K738" s="44"/>
    </row>
    <row r="739" spans="1:11" s="88" customFormat="1" ht="30">
      <c r="A739" s="80" t="s">
        <v>1616</v>
      </c>
      <c r="B739" s="81" t="s">
        <v>1527</v>
      </c>
      <c r="C739" s="82" t="s">
        <v>1528</v>
      </c>
      <c r="D739" s="83" t="s">
        <v>10</v>
      </c>
      <c r="E739" s="84">
        <v>4</v>
      </c>
      <c r="F739" s="85">
        <f>TRUNC(G744,2)</f>
        <v>313.61</v>
      </c>
      <c r="G739" s="86">
        <f>TRUNC(F739*1.2882,2)</f>
        <v>403.99</v>
      </c>
      <c r="H739" s="86">
        <f>TRUNC(F739*E739,2)</f>
        <v>1254.44</v>
      </c>
      <c r="I739" s="87">
        <f>TRUNC(E739*G739,2)</f>
        <v>1615.96</v>
      </c>
      <c r="J739" s="87"/>
      <c r="K739" s="84"/>
    </row>
    <row r="740" spans="1:11" s="58" customFormat="1" ht="28.5">
      <c r="A740" s="54"/>
      <c r="B740" s="52" t="s">
        <v>677</v>
      </c>
      <c r="C740" s="55" t="s">
        <v>678</v>
      </c>
      <c r="D740" s="56" t="s">
        <v>10</v>
      </c>
      <c r="E740" s="57">
        <v>1</v>
      </c>
      <c r="F740" s="53">
        <v>185.95</v>
      </c>
      <c r="G740" s="50">
        <f>TRUNC(E740*F740,2)</f>
        <v>185.95</v>
      </c>
      <c r="H740" s="50"/>
      <c r="I740" s="51"/>
      <c r="J740" s="51">
        <f>0.9*0.3</f>
        <v>0.27</v>
      </c>
      <c r="K740" s="57">
        <v>285.27</v>
      </c>
    </row>
    <row r="741" spans="1:12" s="34" customFormat="1" ht="15">
      <c r="A741" s="30"/>
      <c r="B741" s="43" t="s">
        <v>283</v>
      </c>
      <c r="C741" s="45" t="s">
        <v>32</v>
      </c>
      <c r="D741" s="46" t="s">
        <v>4</v>
      </c>
      <c r="E741" s="44">
        <v>2.6</v>
      </c>
      <c r="F741" s="31">
        <f>TRUNC(21.13,2)</f>
        <v>21.13</v>
      </c>
      <c r="G741" s="32">
        <f>TRUNC(E741*F741,2)</f>
        <v>54.93</v>
      </c>
      <c r="H741" s="32"/>
      <c r="I741" s="33"/>
      <c r="J741" s="33">
        <f>0.4*0.4</f>
        <v>0.16000000000000003</v>
      </c>
      <c r="K741" s="44">
        <f>(J741*K740)/J740</f>
        <v>169.0488888888889</v>
      </c>
      <c r="L741" s="34">
        <f>K741*1.1</f>
        <v>185.95377777777782</v>
      </c>
    </row>
    <row r="742" spans="1:11" s="34" customFormat="1" ht="15">
      <c r="A742" s="30"/>
      <c r="B742" s="43" t="s">
        <v>306</v>
      </c>
      <c r="C742" s="45" t="s">
        <v>307</v>
      </c>
      <c r="D742" s="46" t="s">
        <v>4</v>
      </c>
      <c r="E742" s="44">
        <v>2.6</v>
      </c>
      <c r="F742" s="31">
        <f>TRUNC(26.76,2)</f>
        <v>26.76</v>
      </c>
      <c r="G742" s="32">
        <f>TRUNC(E742*F742,2)</f>
        <v>69.57</v>
      </c>
      <c r="H742" s="32"/>
      <c r="I742" s="33"/>
      <c r="J742" s="33"/>
      <c r="K742" s="44"/>
    </row>
    <row r="743" spans="1:11" s="34" customFormat="1" ht="45">
      <c r="A743" s="30"/>
      <c r="B743" s="43" t="s">
        <v>663</v>
      </c>
      <c r="C743" s="45" t="s">
        <v>664</v>
      </c>
      <c r="D743" s="46" t="s">
        <v>1</v>
      </c>
      <c r="E743" s="44">
        <v>0.008</v>
      </c>
      <c r="F743" s="31">
        <f>TRUNC(395.72,2)</f>
        <v>395.72</v>
      </c>
      <c r="G743" s="32">
        <f>TRUNC(E743*F743,2)</f>
        <v>3.16</v>
      </c>
      <c r="H743" s="32"/>
      <c r="I743" s="33"/>
      <c r="J743" s="33"/>
      <c r="K743" s="44"/>
    </row>
    <row r="744" spans="1:11" s="34" customFormat="1" ht="15">
      <c r="A744" s="30"/>
      <c r="B744" s="43"/>
      <c r="C744" s="45"/>
      <c r="D744" s="46"/>
      <c r="E744" s="44" t="s">
        <v>5</v>
      </c>
      <c r="F744" s="31"/>
      <c r="G744" s="32">
        <f>TRUNC(SUM(G740:G743),2)</f>
        <v>313.61</v>
      </c>
      <c r="H744" s="32"/>
      <c r="I744" s="33"/>
      <c r="J744" s="33"/>
      <c r="K744" s="44"/>
    </row>
    <row r="745" spans="1:11" s="88" customFormat="1" ht="30">
      <c r="A745" s="80" t="s">
        <v>1617</v>
      </c>
      <c r="B745" s="81" t="s">
        <v>1533</v>
      </c>
      <c r="C745" s="82" t="s">
        <v>1538</v>
      </c>
      <c r="D745" s="83" t="s">
        <v>10</v>
      </c>
      <c r="E745" s="84">
        <v>1</v>
      </c>
      <c r="F745" s="85">
        <f>TRUNC(G751,2)</f>
        <v>157.92</v>
      </c>
      <c r="G745" s="86">
        <f>TRUNC(F745*1.2882,2)</f>
        <v>203.43</v>
      </c>
      <c r="H745" s="86">
        <f>TRUNC(F745*E745,2)</f>
        <v>157.92</v>
      </c>
      <c r="I745" s="87">
        <f>TRUNC(E745*G745,2)</f>
        <v>203.43</v>
      </c>
      <c r="J745" s="87"/>
      <c r="K745" s="84"/>
    </row>
    <row r="746" spans="1:11" s="34" customFormat="1" ht="30">
      <c r="A746" s="30"/>
      <c r="B746" s="43" t="s">
        <v>1534</v>
      </c>
      <c r="C746" s="45" t="s">
        <v>1535</v>
      </c>
      <c r="D746" s="46" t="s">
        <v>10</v>
      </c>
      <c r="E746" s="44">
        <v>1</v>
      </c>
      <c r="F746" s="31">
        <f>TRUNC(99.54,2)</f>
        <v>99.54</v>
      </c>
      <c r="G746" s="32">
        <f>TRUNC(E746*F746,2)</f>
        <v>99.54</v>
      </c>
      <c r="H746" s="32"/>
      <c r="I746" s="33"/>
      <c r="J746" s="33"/>
      <c r="K746" s="44"/>
    </row>
    <row r="747" spans="1:11" s="34" customFormat="1" ht="15">
      <c r="A747" s="30"/>
      <c r="B747" s="43" t="s">
        <v>283</v>
      </c>
      <c r="C747" s="45" t="s">
        <v>32</v>
      </c>
      <c r="D747" s="46" t="s">
        <v>4</v>
      </c>
      <c r="E747" s="44">
        <v>0.0745</v>
      </c>
      <c r="F747" s="31">
        <f>TRUNC(21.13,2)</f>
        <v>21.13</v>
      </c>
      <c r="G747" s="32">
        <f>TRUNC(E747*F747,2)</f>
        <v>1.57</v>
      </c>
      <c r="H747" s="32"/>
      <c r="I747" s="33"/>
      <c r="J747" s="33"/>
      <c r="K747" s="44"/>
    </row>
    <row r="748" spans="1:11" s="34" customFormat="1" ht="15">
      <c r="A748" s="30"/>
      <c r="B748" s="43" t="s">
        <v>306</v>
      </c>
      <c r="C748" s="45" t="s">
        <v>307</v>
      </c>
      <c r="D748" s="46" t="s">
        <v>4</v>
      </c>
      <c r="E748" s="44">
        <v>0.0745</v>
      </c>
      <c r="F748" s="31">
        <f>TRUNC(26.76,2)</f>
        <v>26.76</v>
      </c>
      <c r="G748" s="32">
        <f>TRUNC(E748*F748,2)</f>
        <v>1.99</v>
      </c>
      <c r="H748" s="32"/>
      <c r="I748" s="33"/>
      <c r="J748" s="33"/>
      <c r="K748" s="44"/>
    </row>
    <row r="749" spans="1:11" s="34" customFormat="1" ht="30">
      <c r="A749" s="30"/>
      <c r="B749" s="43" t="s">
        <v>1536</v>
      </c>
      <c r="C749" s="45" t="s">
        <v>1537</v>
      </c>
      <c r="D749" s="46" t="s">
        <v>1</v>
      </c>
      <c r="E749" s="44">
        <v>0.049</v>
      </c>
      <c r="F749" s="31">
        <f>TRUNC(232.94,2)</f>
        <v>232.94</v>
      </c>
      <c r="G749" s="32">
        <f>TRUNC(E749*F749,2)</f>
        <v>11.41</v>
      </c>
      <c r="H749" s="32"/>
      <c r="I749" s="33"/>
      <c r="J749" s="33"/>
      <c r="K749" s="44"/>
    </row>
    <row r="750" spans="1:11" s="34" customFormat="1" ht="30">
      <c r="A750" s="30"/>
      <c r="B750" s="43" t="s">
        <v>1531</v>
      </c>
      <c r="C750" s="45" t="s">
        <v>1532</v>
      </c>
      <c r="D750" s="46" t="s">
        <v>1</v>
      </c>
      <c r="E750" s="44">
        <v>0.0148</v>
      </c>
      <c r="F750" s="31">
        <f>TRUNC(2933.37,2)</f>
        <v>2933.37</v>
      </c>
      <c r="G750" s="32">
        <f>TRUNC(E750*F750,2)</f>
        <v>43.41</v>
      </c>
      <c r="H750" s="32"/>
      <c r="I750" s="33"/>
      <c r="J750" s="33"/>
      <c r="K750" s="44"/>
    </row>
    <row r="751" spans="1:11" s="34" customFormat="1" ht="15">
      <c r="A751" s="30"/>
      <c r="B751" s="43"/>
      <c r="C751" s="45"/>
      <c r="D751" s="46"/>
      <c r="E751" s="44" t="s">
        <v>5</v>
      </c>
      <c r="F751" s="31"/>
      <c r="G751" s="32">
        <f>TRUNC(SUM(G746:G750),2)</f>
        <v>157.92</v>
      </c>
      <c r="H751" s="32"/>
      <c r="I751" s="33"/>
      <c r="J751" s="33"/>
      <c r="K751" s="44"/>
    </row>
    <row r="752" spans="1:11" s="88" customFormat="1" ht="30">
      <c r="A752" s="80" t="s">
        <v>1618</v>
      </c>
      <c r="B752" s="81" t="s">
        <v>679</v>
      </c>
      <c r="C752" s="82" t="s">
        <v>680</v>
      </c>
      <c r="D752" s="83" t="s">
        <v>10</v>
      </c>
      <c r="E752" s="84">
        <v>1</v>
      </c>
      <c r="F752" s="85">
        <f>TRUNC(G763,2)</f>
        <v>358.92</v>
      </c>
      <c r="G752" s="86">
        <f>TRUNC(F752*1.2882,2)</f>
        <v>462.36</v>
      </c>
      <c r="H752" s="86">
        <f>TRUNC(F752*E752,2)</f>
        <v>358.92</v>
      </c>
      <c r="I752" s="87">
        <f>TRUNC(E752*G752,2)</f>
        <v>462.36</v>
      </c>
      <c r="J752" s="87"/>
      <c r="K752" s="84"/>
    </row>
    <row r="753" spans="1:11" s="34" customFormat="1" ht="30">
      <c r="A753" s="30"/>
      <c r="B753" s="43" t="s">
        <v>681</v>
      </c>
      <c r="C753" s="45" t="s">
        <v>682</v>
      </c>
      <c r="D753" s="46" t="s">
        <v>10</v>
      </c>
      <c r="E753" s="44">
        <v>1</v>
      </c>
      <c r="F753" s="31">
        <f>TRUNC(112.68,2)</f>
        <v>112.68</v>
      </c>
      <c r="G753" s="32">
        <f aca="true" t="shared" si="35" ref="G753:G762">TRUNC(E753*F753,2)</f>
        <v>112.68</v>
      </c>
      <c r="H753" s="32"/>
      <c r="I753" s="33"/>
      <c r="J753" s="33"/>
      <c r="K753" s="44"/>
    </row>
    <row r="754" spans="1:11" s="34" customFormat="1" ht="30">
      <c r="A754" s="30"/>
      <c r="B754" s="43" t="s">
        <v>683</v>
      </c>
      <c r="C754" s="45" t="s">
        <v>684</v>
      </c>
      <c r="D754" s="46" t="s">
        <v>10</v>
      </c>
      <c r="E754" s="44">
        <v>1</v>
      </c>
      <c r="F754" s="31">
        <f>TRUNC(52.58,2)</f>
        <v>52.58</v>
      </c>
      <c r="G754" s="32">
        <f t="shared" si="35"/>
        <v>52.58</v>
      </c>
      <c r="H754" s="32"/>
      <c r="I754" s="33"/>
      <c r="J754" s="33"/>
      <c r="K754" s="44"/>
    </row>
    <row r="755" spans="1:11" s="34" customFormat="1" ht="15">
      <c r="A755" s="30"/>
      <c r="B755" s="43" t="s">
        <v>685</v>
      </c>
      <c r="C755" s="45" t="s">
        <v>686</v>
      </c>
      <c r="D755" s="46" t="s">
        <v>10</v>
      </c>
      <c r="E755" s="44">
        <v>11.7802</v>
      </c>
      <c r="F755" s="31">
        <f>TRUNC(0.77,2)</f>
        <v>0.77</v>
      </c>
      <c r="G755" s="32">
        <f t="shared" si="35"/>
        <v>9.07</v>
      </c>
      <c r="H755" s="32"/>
      <c r="I755" s="33"/>
      <c r="J755" s="33"/>
      <c r="K755" s="44"/>
    </row>
    <row r="756" spans="1:11" s="34" customFormat="1" ht="15">
      <c r="A756" s="30"/>
      <c r="B756" s="43" t="s">
        <v>283</v>
      </c>
      <c r="C756" s="45" t="s">
        <v>32</v>
      </c>
      <c r="D756" s="46" t="s">
        <v>4</v>
      </c>
      <c r="E756" s="44">
        <v>0.4121</v>
      </c>
      <c r="F756" s="31">
        <f>TRUNC(21.13,2)</f>
        <v>21.13</v>
      </c>
      <c r="G756" s="32">
        <f t="shared" si="35"/>
        <v>8.7</v>
      </c>
      <c r="H756" s="32"/>
      <c r="I756" s="33"/>
      <c r="J756" s="33"/>
      <c r="K756" s="44"/>
    </row>
    <row r="757" spans="1:11" s="34" customFormat="1" ht="15">
      <c r="A757" s="30"/>
      <c r="B757" s="43" t="s">
        <v>306</v>
      </c>
      <c r="C757" s="45" t="s">
        <v>307</v>
      </c>
      <c r="D757" s="46" t="s">
        <v>4</v>
      </c>
      <c r="E757" s="44">
        <v>0.5245</v>
      </c>
      <c r="F757" s="31">
        <f>TRUNC(26.76,2)</f>
        <v>26.76</v>
      </c>
      <c r="G757" s="32">
        <f t="shared" si="35"/>
        <v>14.03</v>
      </c>
      <c r="H757" s="32"/>
      <c r="I757" s="33"/>
      <c r="J757" s="33"/>
      <c r="K757" s="44"/>
    </row>
    <row r="758" spans="1:11" s="34" customFormat="1" ht="45">
      <c r="A758" s="30"/>
      <c r="B758" s="43" t="s">
        <v>687</v>
      </c>
      <c r="C758" s="45" t="s">
        <v>688</v>
      </c>
      <c r="D758" s="46" t="s">
        <v>1</v>
      </c>
      <c r="E758" s="44">
        <v>0.2535</v>
      </c>
      <c r="F758" s="31">
        <f>TRUNC(126.4,2)</f>
        <v>126.4</v>
      </c>
      <c r="G758" s="32">
        <f t="shared" si="35"/>
        <v>32.04</v>
      </c>
      <c r="H758" s="32"/>
      <c r="I758" s="33"/>
      <c r="J758" s="33"/>
      <c r="K758" s="44"/>
    </row>
    <row r="759" spans="1:11" s="34" customFormat="1" ht="45">
      <c r="A759" s="30"/>
      <c r="B759" s="43" t="s">
        <v>657</v>
      </c>
      <c r="C759" s="45" t="s">
        <v>658</v>
      </c>
      <c r="D759" s="46" t="s">
        <v>1</v>
      </c>
      <c r="E759" s="44">
        <v>0.029</v>
      </c>
      <c r="F759" s="31">
        <f>TRUNC(573.5,2)</f>
        <v>573.5</v>
      </c>
      <c r="G759" s="32">
        <f t="shared" si="35"/>
        <v>16.63</v>
      </c>
      <c r="H759" s="32"/>
      <c r="I759" s="33"/>
      <c r="J759" s="33"/>
      <c r="K759" s="44"/>
    </row>
    <row r="760" spans="1:11" s="34" customFormat="1" ht="30">
      <c r="A760" s="30"/>
      <c r="B760" s="43" t="s">
        <v>689</v>
      </c>
      <c r="C760" s="45" t="s">
        <v>690</v>
      </c>
      <c r="D760" s="46" t="s">
        <v>1</v>
      </c>
      <c r="E760" s="44">
        <v>0.0221</v>
      </c>
      <c r="F760" s="31">
        <f>TRUNC(4359.79,2)</f>
        <v>4359.79</v>
      </c>
      <c r="G760" s="32">
        <f t="shared" si="35"/>
        <v>96.35</v>
      </c>
      <c r="H760" s="32"/>
      <c r="I760" s="33"/>
      <c r="J760" s="33"/>
      <c r="K760" s="44"/>
    </row>
    <row r="761" spans="1:11" s="34" customFormat="1" ht="60">
      <c r="A761" s="30"/>
      <c r="B761" s="43" t="s">
        <v>665</v>
      </c>
      <c r="C761" s="45" t="s">
        <v>666</v>
      </c>
      <c r="D761" s="46" t="s">
        <v>38</v>
      </c>
      <c r="E761" s="44">
        <v>0.1505</v>
      </c>
      <c r="F761" s="31">
        <f>TRUNC(53.55,2)</f>
        <v>53.55</v>
      </c>
      <c r="G761" s="32">
        <f t="shared" si="35"/>
        <v>8.05</v>
      </c>
      <c r="H761" s="32"/>
      <c r="I761" s="33"/>
      <c r="J761" s="33"/>
      <c r="K761" s="44"/>
    </row>
    <row r="762" spans="1:11" s="34" customFormat="1" ht="60">
      <c r="A762" s="30"/>
      <c r="B762" s="43" t="s">
        <v>667</v>
      </c>
      <c r="C762" s="45" t="s">
        <v>668</v>
      </c>
      <c r="D762" s="46" t="s">
        <v>21</v>
      </c>
      <c r="E762" s="44">
        <v>0.0739</v>
      </c>
      <c r="F762" s="31">
        <f>TRUNC(118.98,2)</f>
        <v>118.98</v>
      </c>
      <c r="G762" s="32">
        <f t="shared" si="35"/>
        <v>8.79</v>
      </c>
      <c r="H762" s="32"/>
      <c r="I762" s="33"/>
      <c r="J762" s="33"/>
      <c r="K762" s="44"/>
    </row>
    <row r="763" spans="1:11" s="34" customFormat="1" ht="15">
      <c r="A763" s="30"/>
      <c r="B763" s="43"/>
      <c r="C763" s="45"/>
      <c r="D763" s="46"/>
      <c r="E763" s="44" t="s">
        <v>5</v>
      </c>
      <c r="F763" s="31"/>
      <c r="G763" s="32">
        <f>TRUNC(SUM(G753:G762),2)</f>
        <v>358.92</v>
      </c>
      <c r="H763" s="32"/>
      <c r="I763" s="33"/>
      <c r="J763" s="33"/>
      <c r="K763" s="44"/>
    </row>
    <row r="764" spans="1:11" s="88" customFormat="1" ht="30">
      <c r="A764" s="80" t="s">
        <v>1619</v>
      </c>
      <c r="B764" s="81" t="s">
        <v>691</v>
      </c>
      <c r="C764" s="82" t="s">
        <v>692</v>
      </c>
      <c r="D764" s="83" t="s">
        <v>10</v>
      </c>
      <c r="E764" s="84">
        <v>2</v>
      </c>
      <c r="F764" s="85">
        <f>TRUNC(G769,2)</f>
        <v>543.03</v>
      </c>
      <c r="G764" s="86">
        <f>TRUNC(F764*1.2882,2)</f>
        <v>699.53</v>
      </c>
      <c r="H764" s="86">
        <f>TRUNC(F764*E764,2)</f>
        <v>1086.06</v>
      </c>
      <c r="I764" s="87">
        <f>TRUNC(E764*G764,2)</f>
        <v>1399.06</v>
      </c>
      <c r="J764" s="87"/>
      <c r="K764" s="84"/>
    </row>
    <row r="765" spans="1:11" s="34" customFormat="1" ht="30">
      <c r="A765" s="30"/>
      <c r="B765" s="43" t="s">
        <v>693</v>
      </c>
      <c r="C765" s="45" t="s">
        <v>694</v>
      </c>
      <c r="D765" s="46" t="s">
        <v>10</v>
      </c>
      <c r="E765" s="44">
        <v>1</v>
      </c>
      <c r="F765" s="31">
        <f>TRUNC(465.62,2)</f>
        <v>465.62</v>
      </c>
      <c r="G765" s="32">
        <f>TRUNC(E765*F765,2)</f>
        <v>465.62</v>
      </c>
      <c r="H765" s="32"/>
      <c r="I765" s="33"/>
      <c r="J765" s="33"/>
      <c r="K765" s="44"/>
    </row>
    <row r="766" spans="1:11" s="34" customFormat="1" ht="15">
      <c r="A766" s="30"/>
      <c r="B766" s="43" t="s">
        <v>283</v>
      </c>
      <c r="C766" s="45" t="s">
        <v>32</v>
      </c>
      <c r="D766" s="46" t="s">
        <v>4</v>
      </c>
      <c r="E766" s="44">
        <v>1.4045</v>
      </c>
      <c r="F766" s="31">
        <f>TRUNC(21.13,2)</f>
        <v>21.13</v>
      </c>
      <c r="G766" s="32">
        <f>TRUNC(E766*F766,2)</f>
        <v>29.67</v>
      </c>
      <c r="H766" s="32"/>
      <c r="I766" s="33"/>
      <c r="J766" s="33"/>
      <c r="K766" s="44"/>
    </row>
    <row r="767" spans="1:11" s="34" customFormat="1" ht="15">
      <c r="A767" s="30"/>
      <c r="B767" s="43" t="s">
        <v>306</v>
      </c>
      <c r="C767" s="45" t="s">
        <v>307</v>
      </c>
      <c r="D767" s="46" t="s">
        <v>4</v>
      </c>
      <c r="E767" s="44">
        <v>1.4045</v>
      </c>
      <c r="F767" s="31">
        <f>TRUNC(26.76,2)</f>
        <v>26.76</v>
      </c>
      <c r="G767" s="32">
        <f>TRUNC(E767*F767,2)</f>
        <v>37.58</v>
      </c>
      <c r="H767" s="32"/>
      <c r="I767" s="33"/>
      <c r="J767" s="33"/>
      <c r="K767" s="44"/>
    </row>
    <row r="768" spans="1:11" s="34" customFormat="1" ht="30">
      <c r="A768" s="30"/>
      <c r="B768" s="43" t="s">
        <v>661</v>
      </c>
      <c r="C768" s="45" t="s">
        <v>662</v>
      </c>
      <c r="D768" s="46" t="s">
        <v>1</v>
      </c>
      <c r="E768" s="44">
        <v>0.0281</v>
      </c>
      <c r="F768" s="31">
        <f>TRUNC(361.79,2)</f>
        <v>361.79</v>
      </c>
      <c r="G768" s="32">
        <f>TRUNC(E768*F768,2)</f>
        <v>10.16</v>
      </c>
      <c r="H768" s="32"/>
      <c r="I768" s="33"/>
      <c r="J768" s="33"/>
      <c r="K768" s="44"/>
    </row>
    <row r="769" spans="1:11" s="34" customFormat="1" ht="15">
      <c r="A769" s="30"/>
      <c r="B769" s="43"/>
      <c r="C769" s="45"/>
      <c r="D769" s="46"/>
      <c r="E769" s="44" t="s">
        <v>5</v>
      </c>
      <c r="F769" s="31"/>
      <c r="G769" s="32">
        <f>TRUNC(SUM(G765:G768),2)</f>
        <v>543.03</v>
      </c>
      <c r="H769" s="32"/>
      <c r="I769" s="33"/>
      <c r="J769" s="33"/>
      <c r="K769" s="44"/>
    </row>
    <row r="770" spans="1:11" s="88" customFormat="1" ht="45">
      <c r="A770" s="80" t="s">
        <v>1620</v>
      </c>
      <c r="B770" s="81" t="s">
        <v>968</v>
      </c>
      <c r="C770" s="82" t="s">
        <v>969</v>
      </c>
      <c r="D770" s="83" t="s">
        <v>2</v>
      </c>
      <c r="E770" s="84">
        <v>12</v>
      </c>
      <c r="F770" s="85">
        <f>TRUNC(G776,2)</f>
        <v>101.74</v>
      </c>
      <c r="G770" s="86">
        <f>TRUNC(F770*1.2882,2)</f>
        <v>131.06</v>
      </c>
      <c r="H770" s="86">
        <f>TRUNC(F770*E770,2)</f>
        <v>1220.88</v>
      </c>
      <c r="I770" s="87">
        <f>TRUNC(E770*G770,2)</f>
        <v>1572.72</v>
      </c>
      <c r="J770" s="87"/>
      <c r="K770" s="84"/>
    </row>
    <row r="771" spans="1:11" s="34" customFormat="1" ht="15">
      <c r="A771" s="30"/>
      <c r="B771" s="43" t="s">
        <v>970</v>
      </c>
      <c r="C771" s="45" t="s">
        <v>971</v>
      </c>
      <c r="D771" s="46" t="s">
        <v>10</v>
      </c>
      <c r="E771" s="44">
        <v>0.4</v>
      </c>
      <c r="F771" s="31">
        <f>TRUNC(164.31,2)</f>
        <v>164.31</v>
      </c>
      <c r="G771" s="32">
        <f>TRUNC(E771*F771,2)</f>
        <v>65.72</v>
      </c>
      <c r="H771" s="32"/>
      <c r="I771" s="33"/>
      <c r="J771" s="33"/>
      <c r="K771" s="44"/>
    </row>
    <row r="772" spans="1:11" s="34" customFormat="1" ht="30">
      <c r="A772" s="30"/>
      <c r="B772" s="43" t="s">
        <v>26</v>
      </c>
      <c r="C772" s="45" t="s">
        <v>27</v>
      </c>
      <c r="D772" s="46" t="s">
        <v>4</v>
      </c>
      <c r="E772" s="44">
        <v>0.515</v>
      </c>
      <c r="F772" s="31">
        <f>TRUNC(14.34,2)</f>
        <v>14.34</v>
      </c>
      <c r="G772" s="32">
        <f>TRUNC(E772*F772,2)</f>
        <v>7.38</v>
      </c>
      <c r="H772" s="32"/>
      <c r="I772" s="33"/>
      <c r="J772" s="33"/>
      <c r="K772" s="44"/>
    </row>
    <row r="773" spans="1:11" s="34" customFormat="1" ht="15">
      <c r="A773" s="30"/>
      <c r="B773" s="43" t="s">
        <v>239</v>
      </c>
      <c r="C773" s="45" t="s">
        <v>240</v>
      </c>
      <c r="D773" s="46" t="s">
        <v>4</v>
      </c>
      <c r="E773" s="44">
        <v>0.515</v>
      </c>
      <c r="F773" s="31">
        <f>TRUNC(19.81,2)</f>
        <v>19.81</v>
      </c>
      <c r="G773" s="32">
        <f>TRUNC(E773*F773,2)</f>
        <v>10.2</v>
      </c>
      <c r="H773" s="32"/>
      <c r="I773" s="33"/>
      <c r="J773" s="33"/>
      <c r="K773" s="44"/>
    </row>
    <row r="774" spans="1:11" s="34" customFormat="1" ht="15">
      <c r="A774" s="30"/>
      <c r="B774" s="43" t="s">
        <v>972</v>
      </c>
      <c r="C774" s="45" t="s">
        <v>973</v>
      </c>
      <c r="D774" s="46" t="s">
        <v>1</v>
      </c>
      <c r="E774" s="44">
        <v>0.036</v>
      </c>
      <c r="F774" s="31">
        <f>TRUNC(438.6362,2)</f>
        <v>438.63</v>
      </c>
      <c r="G774" s="32">
        <f>TRUNC(E774*F774,2)</f>
        <v>15.79</v>
      </c>
      <c r="H774" s="32"/>
      <c r="I774" s="33"/>
      <c r="J774" s="33"/>
      <c r="K774" s="44"/>
    </row>
    <row r="775" spans="1:11" s="34" customFormat="1" ht="15">
      <c r="A775" s="30"/>
      <c r="B775" s="43" t="s">
        <v>974</v>
      </c>
      <c r="C775" s="45" t="s">
        <v>975</v>
      </c>
      <c r="D775" s="46" t="s">
        <v>1</v>
      </c>
      <c r="E775" s="44">
        <v>0.0529</v>
      </c>
      <c r="F775" s="31">
        <f>TRUNC(50.2186,2)</f>
        <v>50.21</v>
      </c>
      <c r="G775" s="32">
        <f>TRUNC(E775*F775,2)</f>
        <v>2.65</v>
      </c>
      <c r="H775" s="32"/>
      <c r="I775" s="33"/>
      <c r="J775" s="33"/>
      <c r="K775" s="44"/>
    </row>
    <row r="776" spans="1:11" s="34" customFormat="1" ht="15">
      <c r="A776" s="30"/>
      <c r="B776" s="43"/>
      <c r="C776" s="45"/>
      <c r="D776" s="46"/>
      <c r="E776" s="44" t="s">
        <v>5</v>
      </c>
      <c r="F776" s="31"/>
      <c r="G776" s="32">
        <f>TRUNC(SUM(G771:G775),2)</f>
        <v>101.74</v>
      </c>
      <c r="H776" s="32"/>
      <c r="I776" s="33"/>
      <c r="J776" s="33"/>
      <c r="K776" s="44"/>
    </row>
    <row r="777" spans="1:11" s="88" customFormat="1" ht="30">
      <c r="A777" s="80" t="s">
        <v>1621</v>
      </c>
      <c r="B777" s="81" t="s">
        <v>695</v>
      </c>
      <c r="C777" s="82" t="s">
        <v>696</v>
      </c>
      <c r="D777" s="83" t="s">
        <v>10</v>
      </c>
      <c r="E777" s="84">
        <v>6</v>
      </c>
      <c r="F777" s="85">
        <f>TRUNC(G786,2)</f>
        <v>27.5</v>
      </c>
      <c r="G777" s="86">
        <f>TRUNC(F777*1.2882,2)</f>
        <v>35.42</v>
      </c>
      <c r="H777" s="86">
        <f>TRUNC(F777*E777,2)</f>
        <v>165</v>
      </c>
      <c r="I777" s="87">
        <f>TRUNC(E777*G777,2)</f>
        <v>212.52</v>
      </c>
      <c r="J777" s="87"/>
      <c r="K777" s="84"/>
    </row>
    <row r="778" spans="1:11" s="34" customFormat="1" ht="15">
      <c r="A778" s="30"/>
      <c r="B778" s="43" t="s">
        <v>641</v>
      </c>
      <c r="C778" s="45" t="s">
        <v>642</v>
      </c>
      <c r="D778" s="46" t="s">
        <v>10</v>
      </c>
      <c r="E778" s="44">
        <v>0.0365</v>
      </c>
      <c r="F778" s="31">
        <f>TRUNC(1.72,2)</f>
        <v>1.72</v>
      </c>
      <c r="G778" s="32">
        <f aca="true" t="shared" si="36" ref="G778:G785">TRUNC(E778*F778,2)</f>
        <v>0.06</v>
      </c>
      <c r="H778" s="32"/>
      <c r="I778" s="33"/>
      <c r="J778" s="33"/>
      <c r="K778" s="44"/>
    </row>
    <row r="779" spans="1:11" s="34" customFormat="1" ht="15">
      <c r="A779" s="30"/>
      <c r="B779" s="43" t="s">
        <v>697</v>
      </c>
      <c r="C779" s="45" t="s">
        <v>698</v>
      </c>
      <c r="D779" s="46" t="s">
        <v>10</v>
      </c>
      <c r="E779" s="44">
        <v>1</v>
      </c>
      <c r="F779" s="31">
        <f>TRUNC(1.5,2)</f>
        <v>1.5</v>
      </c>
      <c r="G779" s="32">
        <f t="shared" si="36"/>
        <v>1.5</v>
      </c>
      <c r="H779" s="32"/>
      <c r="I779" s="33"/>
      <c r="J779" s="33"/>
      <c r="K779" s="44"/>
    </row>
    <row r="780" spans="1:11" s="34" customFormat="1" ht="15">
      <c r="A780" s="30"/>
      <c r="B780" s="43" t="s">
        <v>643</v>
      </c>
      <c r="C780" s="45" t="s">
        <v>644</v>
      </c>
      <c r="D780" s="46" t="s">
        <v>10</v>
      </c>
      <c r="E780" s="44">
        <v>0.0225</v>
      </c>
      <c r="F780" s="31">
        <f>TRUNC(60.64,2)</f>
        <v>60.64</v>
      </c>
      <c r="G780" s="32">
        <f t="shared" si="36"/>
        <v>1.36</v>
      </c>
      <c r="H780" s="32"/>
      <c r="I780" s="33"/>
      <c r="J780" s="33"/>
      <c r="K780" s="44"/>
    </row>
    <row r="781" spans="1:11" s="34" customFormat="1" ht="30">
      <c r="A781" s="30"/>
      <c r="B781" s="43" t="s">
        <v>631</v>
      </c>
      <c r="C781" s="45" t="s">
        <v>632</v>
      </c>
      <c r="D781" s="46" t="s">
        <v>10</v>
      </c>
      <c r="E781" s="44">
        <v>0.02</v>
      </c>
      <c r="F781" s="31">
        <f>TRUNC(25.56,2)</f>
        <v>25.56</v>
      </c>
      <c r="G781" s="32">
        <f t="shared" si="36"/>
        <v>0.51</v>
      </c>
      <c r="H781" s="32"/>
      <c r="I781" s="33"/>
      <c r="J781" s="33"/>
      <c r="K781" s="44"/>
    </row>
    <row r="782" spans="1:11" s="34" customFormat="1" ht="15">
      <c r="A782" s="30"/>
      <c r="B782" s="43" t="s">
        <v>699</v>
      </c>
      <c r="C782" s="45" t="s">
        <v>700</v>
      </c>
      <c r="D782" s="46" t="s">
        <v>10</v>
      </c>
      <c r="E782" s="44">
        <v>1</v>
      </c>
      <c r="F782" s="31">
        <f>TRUNC(16.75,2)</f>
        <v>16.75</v>
      </c>
      <c r="G782" s="32">
        <f t="shared" si="36"/>
        <v>16.75</v>
      </c>
      <c r="H782" s="32"/>
      <c r="I782" s="33"/>
      <c r="J782" s="33"/>
      <c r="K782" s="44"/>
    </row>
    <row r="783" spans="1:11" s="34" customFormat="1" ht="15">
      <c r="A783" s="30"/>
      <c r="B783" s="43" t="s">
        <v>645</v>
      </c>
      <c r="C783" s="45" t="s">
        <v>646</v>
      </c>
      <c r="D783" s="46" t="s">
        <v>10</v>
      </c>
      <c r="E783" s="44">
        <v>0.0148</v>
      </c>
      <c r="F783" s="31">
        <f>TRUNC(69.83,2)</f>
        <v>69.83</v>
      </c>
      <c r="G783" s="32">
        <f t="shared" si="36"/>
        <v>1.03</v>
      </c>
      <c r="H783" s="32"/>
      <c r="I783" s="33"/>
      <c r="J783" s="33"/>
      <c r="K783" s="44"/>
    </row>
    <row r="784" spans="1:11" s="34" customFormat="1" ht="15">
      <c r="A784" s="30"/>
      <c r="B784" s="43" t="s">
        <v>416</v>
      </c>
      <c r="C784" s="45" t="s">
        <v>417</v>
      </c>
      <c r="D784" s="46" t="s">
        <v>4</v>
      </c>
      <c r="E784" s="44">
        <v>0.135</v>
      </c>
      <c r="F784" s="31">
        <f>TRUNC(26.15,2)</f>
        <v>26.15</v>
      </c>
      <c r="G784" s="32">
        <f t="shared" si="36"/>
        <v>3.53</v>
      </c>
      <c r="H784" s="32"/>
      <c r="I784" s="33"/>
      <c r="J784" s="33"/>
      <c r="K784" s="44"/>
    </row>
    <row r="785" spans="1:11" s="34" customFormat="1" ht="30">
      <c r="A785" s="30"/>
      <c r="B785" s="43" t="s">
        <v>418</v>
      </c>
      <c r="C785" s="45" t="s">
        <v>419</v>
      </c>
      <c r="D785" s="46" t="s">
        <v>4</v>
      </c>
      <c r="E785" s="44">
        <v>0.135</v>
      </c>
      <c r="F785" s="31">
        <f>TRUNC(20.45,2)</f>
        <v>20.45</v>
      </c>
      <c r="G785" s="32">
        <f t="shared" si="36"/>
        <v>2.76</v>
      </c>
      <c r="H785" s="32"/>
      <c r="I785" s="33"/>
      <c r="J785" s="33"/>
      <c r="K785" s="44"/>
    </row>
    <row r="786" spans="1:11" s="34" customFormat="1" ht="15">
      <c r="A786" s="30"/>
      <c r="B786" s="43"/>
      <c r="C786" s="45"/>
      <c r="D786" s="46"/>
      <c r="E786" s="44" t="s">
        <v>5</v>
      </c>
      <c r="F786" s="31"/>
      <c r="G786" s="32">
        <f>TRUNC(SUM(G778:G785),2)</f>
        <v>27.5</v>
      </c>
      <c r="H786" s="32"/>
      <c r="I786" s="33"/>
      <c r="J786" s="33"/>
      <c r="K786" s="44"/>
    </row>
    <row r="787" spans="1:11" s="88" customFormat="1" ht="30">
      <c r="A787" s="80" t="s">
        <v>1622</v>
      </c>
      <c r="B787" s="81" t="s">
        <v>1539</v>
      </c>
      <c r="C787" s="82" t="s">
        <v>701</v>
      </c>
      <c r="D787" s="83" t="s">
        <v>10</v>
      </c>
      <c r="E787" s="84">
        <v>9</v>
      </c>
      <c r="F787" s="85">
        <f>TRUNC(G796,2)</f>
        <v>68.43</v>
      </c>
      <c r="G787" s="86">
        <f>TRUNC(F787*1.2882,2)</f>
        <v>88.15</v>
      </c>
      <c r="H787" s="86">
        <f>TRUNC(F787*E787,2)</f>
        <v>615.87</v>
      </c>
      <c r="I787" s="87">
        <f>TRUNC(E787*G787,2)</f>
        <v>793.35</v>
      </c>
      <c r="J787" s="87"/>
      <c r="K787" s="84"/>
    </row>
    <row r="788" spans="1:11" s="34" customFormat="1" ht="15">
      <c r="A788" s="30"/>
      <c r="B788" s="43" t="s">
        <v>641</v>
      </c>
      <c r="C788" s="45" t="s">
        <v>642</v>
      </c>
      <c r="D788" s="46" t="s">
        <v>10</v>
      </c>
      <c r="E788" s="44">
        <v>0.0365</v>
      </c>
      <c r="F788" s="31">
        <f>TRUNC(1.72,2)</f>
        <v>1.72</v>
      </c>
      <c r="G788" s="32">
        <f aca="true" t="shared" si="37" ref="G788:G795">TRUNC(E788*F788,2)</f>
        <v>0.06</v>
      </c>
      <c r="H788" s="32"/>
      <c r="I788" s="33"/>
      <c r="J788" s="33"/>
      <c r="K788" s="44"/>
    </row>
    <row r="789" spans="1:11" s="34" customFormat="1" ht="15">
      <c r="A789" s="30"/>
      <c r="B789" s="43" t="s">
        <v>643</v>
      </c>
      <c r="C789" s="45" t="s">
        <v>644</v>
      </c>
      <c r="D789" s="46" t="s">
        <v>10</v>
      </c>
      <c r="E789" s="44">
        <v>0.0225</v>
      </c>
      <c r="F789" s="31">
        <f>TRUNC(60.64,2)</f>
        <v>60.64</v>
      </c>
      <c r="G789" s="32">
        <f t="shared" si="37"/>
        <v>1.36</v>
      </c>
      <c r="H789" s="32"/>
      <c r="I789" s="33"/>
      <c r="J789" s="33"/>
      <c r="K789" s="44"/>
    </row>
    <row r="790" spans="1:11" s="34" customFormat="1" ht="30">
      <c r="A790" s="30"/>
      <c r="B790" s="43" t="s">
        <v>631</v>
      </c>
      <c r="C790" s="45" t="s">
        <v>632</v>
      </c>
      <c r="D790" s="46" t="s">
        <v>10</v>
      </c>
      <c r="E790" s="44">
        <v>0.03</v>
      </c>
      <c r="F790" s="31">
        <f>TRUNC(25.56,2)</f>
        <v>25.56</v>
      </c>
      <c r="G790" s="32">
        <f t="shared" si="37"/>
        <v>0.76</v>
      </c>
      <c r="H790" s="32"/>
      <c r="I790" s="33"/>
      <c r="J790" s="33"/>
      <c r="K790" s="44"/>
    </row>
    <row r="791" spans="1:11" s="34" customFormat="1" ht="15">
      <c r="A791" s="30"/>
      <c r="B791" s="43" t="s">
        <v>1540</v>
      </c>
      <c r="C791" s="45" t="s">
        <v>702</v>
      </c>
      <c r="D791" s="46" t="s">
        <v>10</v>
      </c>
      <c r="E791" s="44">
        <v>1</v>
      </c>
      <c r="F791" s="31">
        <f>TRUNC(52.72,2)</f>
        <v>52.72</v>
      </c>
      <c r="G791" s="32">
        <f t="shared" si="37"/>
        <v>52.72</v>
      </c>
      <c r="H791" s="32"/>
      <c r="I791" s="33"/>
      <c r="J791" s="33"/>
      <c r="K791" s="44"/>
    </row>
    <row r="792" spans="1:11" s="34" customFormat="1" ht="15">
      <c r="A792" s="30"/>
      <c r="B792" s="43" t="s">
        <v>1541</v>
      </c>
      <c r="C792" s="45" t="s">
        <v>703</v>
      </c>
      <c r="D792" s="46" t="s">
        <v>10</v>
      </c>
      <c r="E792" s="44">
        <v>1</v>
      </c>
      <c r="F792" s="31">
        <f>TRUNC(2.72,2)</f>
        <v>2.72</v>
      </c>
      <c r="G792" s="32">
        <f t="shared" si="37"/>
        <v>2.72</v>
      </c>
      <c r="H792" s="32"/>
      <c r="I792" s="33"/>
      <c r="J792" s="33"/>
      <c r="K792" s="44"/>
    </row>
    <row r="793" spans="1:11" s="34" customFormat="1" ht="15">
      <c r="A793" s="30"/>
      <c r="B793" s="43" t="s">
        <v>645</v>
      </c>
      <c r="C793" s="45" t="s">
        <v>646</v>
      </c>
      <c r="D793" s="46" t="s">
        <v>10</v>
      </c>
      <c r="E793" s="44">
        <v>0.0148</v>
      </c>
      <c r="F793" s="31">
        <f>TRUNC(69.83,2)</f>
        <v>69.83</v>
      </c>
      <c r="G793" s="32">
        <f t="shared" si="37"/>
        <v>1.03</v>
      </c>
      <c r="H793" s="32"/>
      <c r="I793" s="33"/>
      <c r="J793" s="33"/>
      <c r="K793" s="44"/>
    </row>
    <row r="794" spans="1:11" s="34" customFormat="1" ht="15">
      <c r="A794" s="30"/>
      <c r="B794" s="43" t="s">
        <v>416</v>
      </c>
      <c r="C794" s="45" t="s">
        <v>417</v>
      </c>
      <c r="D794" s="46" t="s">
        <v>4</v>
      </c>
      <c r="E794" s="44">
        <v>0.21</v>
      </c>
      <c r="F794" s="31">
        <f>TRUNC(26.15,2)</f>
        <v>26.15</v>
      </c>
      <c r="G794" s="32">
        <f t="shared" si="37"/>
        <v>5.49</v>
      </c>
      <c r="H794" s="32"/>
      <c r="I794" s="33"/>
      <c r="J794" s="33"/>
      <c r="K794" s="44"/>
    </row>
    <row r="795" spans="1:11" s="34" customFormat="1" ht="30">
      <c r="A795" s="30"/>
      <c r="B795" s="43" t="s">
        <v>418</v>
      </c>
      <c r="C795" s="45" t="s">
        <v>419</v>
      </c>
      <c r="D795" s="46" t="s">
        <v>4</v>
      </c>
      <c r="E795" s="44">
        <v>0.21</v>
      </c>
      <c r="F795" s="31">
        <f>TRUNC(20.45,2)</f>
        <v>20.45</v>
      </c>
      <c r="G795" s="32">
        <f t="shared" si="37"/>
        <v>4.29</v>
      </c>
      <c r="H795" s="32"/>
      <c r="I795" s="33"/>
      <c r="J795" s="33"/>
      <c r="K795" s="44"/>
    </row>
    <row r="796" spans="1:11" s="34" customFormat="1" ht="15">
      <c r="A796" s="30"/>
      <c r="B796" s="43"/>
      <c r="C796" s="45"/>
      <c r="D796" s="46"/>
      <c r="E796" s="44" t="s">
        <v>5</v>
      </c>
      <c r="F796" s="31"/>
      <c r="G796" s="32">
        <f>TRUNC(SUM(G788:G795),2)</f>
        <v>68.43</v>
      </c>
      <c r="H796" s="32"/>
      <c r="I796" s="33"/>
      <c r="J796" s="33"/>
      <c r="K796" s="44"/>
    </row>
    <row r="797" spans="1:11" s="88" customFormat="1" ht="30">
      <c r="A797" s="80" t="s">
        <v>1623</v>
      </c>
      <c r="B797" s="81" t="s">
        <v>704</v>
      </c>
      <c r="C797" s="82" t="s">
        <v>705</v>
      </c>
      <c r="D797" s="83" t="s">
        <v>10</v>
      </c>
      <c r="E797" s="84">
        <v>4</v>
      </c>
      <c r="F797" s="85">
        <f>TRUNC(G804,2)</f>
        <v>11.06</v>
      </c>
      <c r="G797" s="86">
        <f>TRUNC(F797*1.2882,2)</f>
        <v>14.24</v>
      </c>
      <c r="H797" s="86">
        <f>TRUNC(F797*E797,2)</f>
        <v>44.24</v>
      </c>
      <c r="I797" s="87">
        <f>TRUNC(E797*G797,2)</f>
        <v>56.96</v>
      </c>
      <c r="J797" s="87"/>
      <c r="K797" s="84"/>
    </row>
    <row r="798" spans="1:11" s="34" customFormat="1" ht="15">
      <c r="A798" s="30"/>
      <c r="B798" s="43" t="s">
        <v>641</v>
      </c>
      <c r="C798" s="45" t="s">
        <v>642</v>
      </c>
      <c r="D798" s="46" t="s">
        <v>10</v>
      </c>
      <c r="E798" s="44">
        <v>0.012</v>
      </c>
      <c r="F798" s="31">
        <f>TRUNC(1.72,2)</f>
        <v>1.72</v>
      </c>
      <c r="G798" s="32">
        <f aca="true" t="shared" si="38" ref="G798:G803">TRUNC(E798*F798,2)</f>
        <v>0.02</v>
      </c>
      <c r="H798" s="32"/>
      <c r="I798" s="33"/>
      <c r="J798" s="33"/>
      <c r="K798" s="44"/>
    </row>
    <row r="799" spans="1:11" s="34" customFormat="1" ht="15">
      <c r="A799" s="30"/>
      <c r="B799" s="43" t="s">
        <v>643</v>
      </c>
      <c r="C799" s="45" t="s">
        <v>644</v>
      </c>
      <c r="D799" s="46" t="s">
        <v>10</v>
      </c>
      <c r="E799" s="44">
        <v>0.0075</v>
      </c>
      <c r="F799" s="31">
        <f>TRUNC(60.64,2)</f>
        <v>60.64</v>
      </c>
      <c r="G799" s="32">
        <f t="shared" si="38"/>
        <v>0.45</v>
      </c>
      <c r="H799" s="32"/>
      <c r="I799" s="33"/>
      <c r="J799" s="33"/>
      <c r="K799" s="44"/>
    </row>
    <row r="800" spans="1:11" s="34" customFormat="1" ht="15">
      <c r="A800" s="30"/>
      <c r="B800" s="43" t="s">
        <v>706</v>
      </c>
      <c r="C800" s="45" t="s">
        <v>707</v>
      </c>
      <c r="D800" s="46" t="s">
        <v>10</v>
      </c>
      <c r="E800" s="44">
        <v>1</v>
      </c>
      <c r="F800" s="31">
        <f>TRUNC(8.63,2)</f>
        <v>8.63</v>
      </c>
      <c r="G800" s="32">
        <f t="shared" si="38"/>
        <v>8.63</v>
      </c>
      <c r="H800" s="32"/>
      <c r="I800" s="33"/>
      <c r="J800" s="33"/>
      <c r="K800" s="44"/>
    </row>
    <row r="801" spans="1:11" s="34" customFormat="1" ht="15">
      <c r="A801" s="30"/>
      <c r="B801" s="43" t="s">
        <v>645</v>
      </c>
      <c r="C801" s="45" t="s">
        <v>646</v>
      </c>
      <c r="D801" s="46" t="s">
        <v>10</v>
      </c>
      <c r="E801" s="44">
        <v>0.0049</v>
      </c>
      <c r="F801" s="31">
        <f>TRUNC(69.83,2)</f>
        <v>69.83</v>
      </c>
      <c r="G801" s="32">
        <f t="shared" si="38"/>
        <v>0.34</v>
      </c>
      <c r="H801" s="32"/>
      <c r="I801" s="33"/>
      <c r="J801" s="33"/>
      <c r="K801" s="44"/>
    </row>
    <row r="802" spans="1:11" s="34" customFormat="1" ht="15">
      <c r="A802" s="30"/>
      <c r="B802" s="43" t="s">
        <v>416</v>
      </c>
      <c r="C802" s="45" t="s">
        <v>417</v>
      </c>
      <c r="D802" s="46" t="s">
        <v>4</v>
      </c>
      <c r="E802" s="44">
        <v>0.035</v>
      </c>
      <c r="F802" s="31">
        <f>TRUNC(26.15,2)</f>
        <v>26.15</v>
      </c>
      <c r="G802" s="32">
        <f t="shared" si="38"/>
        <v>0.91</v>
      </c>
      <c r="H802" s="32"/>
      <c r="I802" s="33"/>
      <c r="J802" s="33"/>
      <c r="K802" s="44"/>
    </row>
    <row r="803" spans="1:11" s="34" customFormat="1" ht="30">
      <c r="A803" s="30"/>
      <c r="B803" s="43" t="s">
        <v>418</v>
      </c>
      <c r="C803" s="45" t="s">
        <v>419</v>
      </c>
      <c r="D803" s="46" t="s">
        <v>4</v>
      </c>
      <c r="E803" s="44">
        <v>0.035</v>
      </c>
      <c r="F803" s="31">
        <f>TRUNC(20.45,2)</f>
        <v>20.45</v>
      </c>
      <c r="G803" s="32">
        <f t="shared" si="38"/>
        <v>0.71</v>
      </c>
      <c r="H803" s="32"/>
      <c r="I803" s="33"/>
      <c r="J803" s="33"/>
      <c r="K803" s="44"/>
    </row>
    <row r="804" spans="1:11" s="34" customFormat="1" ht="15">
      <c r="A804" s="30"/>
      <c r="B804" s="43"/>
      <c r="C804" s="45"/>
      <c r="D804" s="46"/>
      <c r="E804" s="44" t="s">
        <v>5</v>
      </c>
      <c r="F804" s="31"/>
      <c r="G804" s="32">
        <f>TRUNC(SUM(G798:G803),2)</f>
        <v>11.06</v>
      </c>
      <c r="H804" s="32"/>
      <c r="I804" s="33"/>
      <c r="J804" s="33"/>
      <c r="K804" s="44"/>
    </row>
    <row r="805" spans="1:11" s="88" customFormat="1" ht="30">
      <c r="A805" s="80" t="s">
        <v>1624</v>
      </c>
      <c r="B805" s="81" t="s">
        <v>708</v>
      </c>
      <c r="C805" s="82" t="s">
        <v>709</v>
      </c>
      <c r="D805" s="83" t="s">
        <v>2</v>
      </c>
      <c r="E805" s="84">
        <v>4</v>
      </c>
      <c r="F805" s="85">
        <f>TRUNC(G812,2)</f>
        <v>12.17</v>
      </c>
      <c r="G805" s="86">
        <f>TRUNC(F805*1.2882,2)</f>
        <v>15.67</v>
      </c>
      <c r="H805" s="86">
        <f>TRUNC(F805*E805,2)</f>
        <v>48.68</v>
      </c>
      <c r="I805" s="87">
        <f>TRUNC(E805*G805,2)</f>
        <v>62.68</v>
      </c>
      <c r="J805" s="87"/>
      <c r="K805" s="84"/>
    </row>
    <row r="806" spans="1:11" s="34" customFormat="1" ht="15">
      <c r="A806" s="30"/>
      <c r="B806" s="43" t="s">
        <v>641</v>
      </c>
      <c r="C806" s="45" t="s">
        <v>642</v>
      </c>
      <c r="D806" s="46" t="s">
        <v>10</v>
      </c>
      <c r="E806" s="44">
        <v>0.017</v>
      </c>
      <c r="F806" s="31">
        <f>TRUNC(1.72,2)</f>
        <v>1.72</v>
      </c>
      <c r="G806" s="32">
        <f aca="true" t="shared" si="39" ref="G806:G811">TRUNC(E806*F806,2)</f>
        <v>0.02</v>
      </c>
      <c r="H806" s="32"/>
      <c r="I806" s="33"/>
      <c r="J806" s="33"/>
      <c r="K806" s="44"/>
    </row>
    <row r="807" spans="1:11" s="34" customFormat="1" ht="15">
      <c r="A807" s="30"/>
      <c r="B807" s="43" t="s">
        <v>643</v>
      </c>
      <c r="C807" s="45" t="s">
        <v>644</v>
      </c>
      <c r="D807" s="46" t="s">
        <v>10</v>
      </c>
      <c r="E807" s="44">
        <v>0.0048</v>
      </c>
      <c r="F807" s="31">
        <f>TRUNC(60.64,2)</f>
        <v>60.64</v>
      </c>
      <c r="G807" s="32">
        <f t="shared" si="39"/>
        <v>0.29</v>
      </c>
      <c r="H807" s="32"/>
      <c r="I807" s="33"/>
      <c r="J807" s="33"/>
      <c r="K807" s="44"/>
    </row>
    <row r="808" spans="1:11" s="34" customFormat="1" ht="15">
      <c r="A808" s="30"/>
      <c r="B808" s="43" t="s">
        <v>710</v>
      </c>
      <c r="C808" s="45" t="s">
        <v>711</v>
      </c>
      <c r="D808" s="46" t="s">
        <v>2</v>
      </c>
      <c r="E808" s="44">
        <v>1.05</v>
      </c>
      <c r="F808" s="31">
        <f>TRUNC(8.86,2)</f>
        <v>8.86</v>
      </c>
      <c r="G808" s="32">
        <f t="shared" si="39"/>
        <v>9.3</v>
      </c>
      <c r="H808" s="32"/>
      <c r="I808" s="33"/>
      <c r="J808" s="33"/>
      <c r="K808" s="44"/>
    </row>
    <row r="809" spans="1:11" s="34" customFormat="1" ht="15">
      <c r="A809" s="30"/>
      <c r="B809" s="43" t="s">
        <v>645</v>
      </c>
      <c r="C809" s="45" t="s">
        <v>646</v>
      </c>
      <c r="D809" s="46" t="s">
        <v>10</v>
      </c>
      <c r="E809" s="44">
        <v>0.0035</v>
      </c>
      <c r="F809" s="31">
        <f>TRUNC(69.83,2)</f>
        <v>69.83</v>
      </c>
      <c r="G809" s="32">
        <f t="shared" si="39"/>
        <v>0.24</v>
      </c>
      <c r="H809" s="32"/>
      <c r="I809" s="33"/>
      <c r="J809" s="33"/>
      <c r="K809" s="44"/>
    </row>
    <row r="810" spans="1:11" s="34" customFormat="1" ht="15">
      <c r="A810" s="30"/>
      <c r="B810" s="43" t="s">
        <v>416</v>
      </c>
      <c r="C810" s="45" t="s">
        <v>417</v>
      </c>
      <c r="D810" s="46" t="s">
        <v>4</v>
      </c>
      <c r="E810" s="44">
        <v>0.05</v>
      </c>
      <c r="F810" s="31">
        <f>TRUNC(26.15,2)</f>
        <v>26.15</v>
      </c>
      <c r="G810" s="32">
        <f t="shared" si="39"/>
        <v>1.3</v>
      </c>
      <c r="H810" s="32"/>
      <c r="I810" s="33"/>
      <c r="J810" s="33"/>
      <c r="K810" s="44"/>
    </row>
    <row r="811" spans="1:11" s="34" customFormat="1" ht="30">
      <c r="A811" s="30"/>
      <c r="B811" s="43" t="s">
        <v>418</v>
      </c>
      <c r="C811" s="45" t="s">
        <v>419</v>
      </c>
      <c r="D811" s="46" t="s">
        <v>4</v>
      </c>
      <c r="E811" s="44">
        <v>0.05</v>
      </c>
      <c r="F811" s="31">
        <f>TRUNC(20.45,2)</f>
        <v>20.45</v>
      </c>
      <c r="G811" s="32">
        <f t="shared" si="39"/>
        <v>1.02</v>
      </c>
      <c r="H811" s="32"/>
      <c r="I811" s="33"/>
      <c r="J811" s="33"/>
      <c r="K811" s="44"/>
    </row>
    <row r="812" spans="1:11" s="34" customFormat="1" ht="15">
      <c r="A812" s="30"/>
      <c r="B812" s="43"/>
      <c r="C812" s="45"/>
      <c r="D812" s="46"/>
      <c r="E812" s="44" t="s">
        <v>5</v>
      </c>
      <c r="F812" s="31"/>
      <c r="G812" s="32">
        <f>TRUNC(SUM(G806:G811),2)</f>
        <v>12.17</v>
      </c>
      <c r="H812" s="32"/>
      <c r="I812" s="33"/>
      <c r="J812" s="33"/>
      <c r="K812" s="44"/>
    </row>
    <row r="813" spans="1:11" s="88" customFormat="1" ht="30">
      <c r="A813" s="80" t="s">
        <v>1625</v>
      </c>
      <c r="B813" s="81" t="s">
        <v>712</v>
      </c>
      <c r="C813" s="82" t="s">
        <v>713</v>
      </c>
      <c r="D813" s="83" t="s">
        <v>2</v>
      </c>
      <c r="E813" s="84">
        <v>6</v>
      </c>
      <c r="F813" s="85">
        <f>TRUNC(G820,2)</f>
        <v>19.91</v>
      </c>
      <c r="G813" s="86">
        <f>TRUNC(F813*1.2882,2)</f>
        <v>25.64</v>
      </c>
      <c r="H813" s="86">
        <f>TRUNC(F813*E813,2)</f>
        <v>119.46</v>
      </c>
      <c r="I813" s="87">
        <f>TRUNC(E813*G813,2)</f>
        <v>153.84</v>
      </c>
      <c r="J813" s="87"/>
      <c r="K813" s="84"/>
    </row>
    <row r="814" spans="1:11" s="34" customFormat="1" ht="15">
      <c r="A814" s="30"/>
      <c r="B814" s="43" t="s">
        <v>641</v>
      </c>
      <c r="C814" s="45" t="s">
        <v>642</v>
      </c>
      <c r="D814" s="46" t="s">
        <v>10</v>
      </c>
      <c r="E814" s="44">
        <v>0.037</v>
      </c>
      <c r="F814" s="31">
        <f>TRUNC(1.72,2)</f>
        <v>1.72</v>
      </c>
      <c r="G814" s="32">
        <f aca="true" t="shared" si="40" ref="G814:G819">TRUNC(E814*F814,2)</f>
        <v>0.06</v>
      </c>
      <c r="H814" s="32"/>
      <c r="I814" s="33"/>
      <c r="J814" s="33"/>
      <c r="K814" s="44"/>
    </row>
    <row r="815" spans="1:11" s="34" customFormat="1" ht="15">
      <c r="A815" s="30"/>
      <c r="B815" s="43" t="s">
        <v>643</v>
      </c>
      <c r="C815" s="45" t="s">
        <v>644</v>
      </c>
      <c r="D815" s="46" t="s">
        <v>10</v>
      </c>
      <c r="E815" s="44">
        <v>0.0124</v>
      </c>
      <c r="F815" s="31">
        <f>TRUNC(60.64,2)</f>
        <v>60.64</v>
      </c>
      <c r="G815" s="32">
        <f t="shared" si="40"/>
        <v>0.75</v>
      </c>
      <c r="H815" s="32"/>
      <c r="I815" s="33"/>
      <c r="J815" s="33"/>
      <c r="K815" s="44"/>
    </row>
    <row r="816" spans="1:11" s="34" customFormat="1" ht="15">
      <c r="A816" s="30"/>
      <c r="B816" s="43" t="s">
        <v>714</v>
      </c>
      <c r="C816" s="45" t="s">
        <v>715</v>
      </c>
      <c r="D816" s="46" t="s">
        <v>2</v>
      </c>
      <c r="E816" s="44">
        <v>1.05</v>
      </c>
      <c r="F816" s="31">
        <f>TRUNC(12.8,2)</f>
        <v>12.8</v>
      </c>
      <c r="G816" s="32">
        <f t="shared" si="40"/>
        <v>13.44</v>
      </c>
      <c r="H816" s="32"/>
      <c r="I816" s="33"/>
      <c r="J816" s="33"/>
      <c r="K816" s="44"/>
    </row>
    <row r="817" spans="1:11" s="34" customFormat="1" ht="15">
      <c r="A817" s="30"/>
      <c r="B817" s="43" t="s">
        <v>645</v>
      </c>
      <c r="C817" s="45" t="s">
        <v>646</v>
      </c>
      <c r="D817" s="46" t="s">
        <v>10</v>
      </c>
      <c r="E817" s="44">
        <v>0.008</v>
      </c>
      <c r="F817" s="31">
        <f>TRUNC(69.83,2)</f>
        <v>69.83</v>
      </c>
      <c r="G817" s="32">
        <f t="shared" si="40"/>
        <v>0.55</v>
      </c>
      <c r="H817" s="32"/>
      <c r="I817" s="33"/>
      <c r="J817" s="33"/>
      <c r="K817" s="44"/>
    </row>
    <row r="818" spans="1:11" s="34" customFormat="1" ht="15">
      <c r="A818" s="30"/>
      <c r="B818" s="43" t="s">
        <v>416</v>
      </c>
      <c r="C818" s="45" t="s">
        <v>417</v>
      </c>
      <c r="D818" s="46" t="s">
        <v>4</v>
      </c>
      <c r="E818" s="44">
        <v>0.11</v>
      </c>
      <c r="F818" s="31">
        <f>TRUNC(26.15,2)</f>
        <v>26.15</v>
      </c>
      <c r="G818" s="32">
        <f t="shared" si="40"/>
        <v>2.87</v>
      </c>
      <c r="H818" s="32"/>
      <c r="I818" s="33"/>
      <c r="J818" s="33"/>
      <c r="K818" s="44"/>
    </row>
    <row r="819" spans="1:11" s="34" customFormat="1" ht="30">
      <c r="A819" s="30"/>
      <c r="B819" s="43" t="s">
        <v>418</v>
      </c>
      <c r="C819" s="45" t="s">
        <v>419</v>
      </c>
      <c r="D819" s="46" t="s">
        <v>4</v>
      </c>
      <c r="E819" s="44">
        <v>0.11</v>
      </c>
      <c r="F819" s="31">
        <f>TRUNC(20.45,2)</f>
        <v>20.45</v>
      </c>
      <c r="G819" s="32">
        <f t="shared" si="40"/>
        <v>2.24</v>
      </c>
      <c r="H819" s="32"/>
      <c r="I819" s="33"/>
      <c r="J819" s="33"/>
      <c r="K819" s="44"/>
    </row>
    <row r="820" spans="1:11" s="34" customFormat="1" ht="15">
      <c r="A820" s="30"/>
      <c r="B820" s="43"/>
      <c r="C820" s="45"/>
      <c r="D820" s="46"/>
      <c r="E820" s="44" t="s">
        <v>5</v>
      </c>
      <c r="F820" s="31"/>
      <c r="G820" s="32">
        <f>TRUNC(SUM(G814:G819),2)</f>
        <v>19.91</v>
      </c>
      <c r="H820" s="32"/>
      <c r="I820" s="33"/>
      <c r="J820" s="33"/>
      <c r="K820" s="44"/>
    </row>
    <row r="821" spans="1:11" s="88" customFormat="1" ht="60">
      <c r="A821" s="80" t="s">
        <v>1626</v>
      </c>
      <c r="B821" s="81" t="s">
        <v>976</v>
      </c>
      <c r="C821" s="82" t="s">
        <v>977</v>
      </c>
      <c r="D821" s="83" t="s">
        <v>2</v>
      </c>
      <c r="E821" s="84">
        <v>96</v>
      </c>
      <c r="F821" s="85">
        <f>TRUNC(G833,2)</f>
        <v>57.6</v>
      </c>
      <c r="G821" s="86">
        <f>TRUNC(F821*1.2882,2)</f>
        <v>74.2</v>
      </c>
      <c r="H821" s="86">
        <f>TRUNC(F821*E821,2)</f>
        <v>5529.6</v>
      </c>
      <c r="I821" s="87">
        <f>TRUNC(E821*G821,2)</f>
        <v>7123.2</v>
      </c>
      <c r="J821" s="87"/>
      <c r="K821" s="84"/>
    </row>
    <row r="822" spans="1:11" s="34" customFormat="1" ht="30">
      <c r="A822" s="30"/>
      <c r="B822" s="43" t="s">
        <v>978</v>
      </c>
      <c r="C822" s="45" t="s">
        <v>979</v>
      </c>
      <c r="D822" s="46" t="s">
        <v>10</v>
      </c>
      <c r="E822" s="44">
        <v>0.2596</v>
      </c>
      <c r="F822" s="31">
        <f>TRUNC(5.03,2)</f>
        <v>5.03</v>
      </c>
      <c r="G822" s="32">
        <f aca="true" t="shared" si="41" ref="G822:G832">TRUNC(E822*F822,2)</f>
        <v>1.3</v>
      </c>
      <c r="H822" s="32"/>
      <c r="I822" s="33"/>
      <c r="J822" s="33"/>
      <c r="K822" s="44"/>
    </row>
    <row r="823" spans="1:11" s="34" customFormat="1" ht="45">
      <c r="A823" s="30"/>
      <c r="B823" s="43" t="s">
        <v>980</v>
      </c>
      <c r="C823" s="45" t="s">
        <v>981</v>
      </c>
      <c r="D823" s="46" t="s">
        <v>2</v>
      </c>
      <c r="E823" s="44">
        <v>0.8022</v>
      </c>
      <c r="F823" s="31">
        <f>TRUNC(7.31,2)</f>
        <v>7.31</v>
      </c>
      <c r="G823" s="32">
        <f t="shared" si="41"/>
        <v>5.86</v>
      </c>
      <c r="H823" s="32"/>
      <c r="I823" s="33"/>
      <c r="J823" s="33"/>
      <c r="K823" s="44"/>
    </row>
    <row r="824" spans="1:11" s="34" customFormat="1" ht="30">
      <c r="A824" s="30"/>
      <c r="B824" s="43" t="s">
        <v>982</v>
      </c>
      <c r="C824" s="45" t="s">
        <v>983</v>
      </c>
      <c r="D824" s="46" t="s">
        <v>2</v>
      </c>
      <c r="E824" s="44">
        <v>0.2609</v>
      </c>
      <c r="F824" s="31">
        <f>TRUNC(12.96,2)</f>
        <v>12.96</v>
      </c>
      <c r="G824" s="32">
        <f t="shared" si="41"/>
        <v>3.38</v>
      </c>
      <c r="H824" s="32"/>
      <c r="I824" s="33"/>
      <c r="J824" s="33"/>
      <c r="K824" s="44"/>
    </row>
    <row r="825" spans="1:11" s="34" customFormat="1" ht="30">
      <c r="A825" s="30"/>
      <c r="B825" s="43" t="s">
        <v>984</v>
      </c>
      <c r="C825" s="45" t="s">
        <v>985</v>
      </c>
      <c r="D825" s="46" t="s">
        <v>10</v>
      </c>
      <c r="E825" s="44">
        <v>0.2222</v>
      </c>
      <c r="F825" s="31">
        <f>TRUNC(2.79,2)</f>
        <v>2.79</v>
      </c>
      <c r="G825" s="32">
        <f t="shared" si="41"/>
        <v>0.61</v>
      </c>
      <c r="H825" s="32"/>
      <c r="I825" s="33"/>
      <c r="J825" s="33"/>
      <c r="K825" s="44"/>
    </row>
    <row r="826" spans="1:11" s="34" customFormat="1" ht="30">
      <c r="A826" s="30"/>
      <c r="B826" s="43" t="s">
        <v>986</v>
      </c>
      <c r="C826" s="45" t="s">
        <v>987</v>
      </c>
      <c r="D826" s="46" t="s">
        <v>2</v>
      </c>
      <c r="E826" s="44">
        <v>0.2609</v>
      </c>
      <c r="F826" s="31">
        <f>TRUNC(13.17,2)</f>
        <v>13.17</v>
      </c>
      <c r="G826" s="32">
        <f t="shared" si="41"/>
        <v>3.43</v>
      </c>
      <c r="H826" s="32"/>
      <c r="I826" s="33"/>
      <c r="J826" s="33"/>
      <c r="K826" s="44"/>
    </row>
    <row r="827" spans="1:11" s="34" customFormat="1" ht="30">
      <c r="A827" s="30"/>
      <c r="B827" s="43" t="s">
        <v>988</v>
      </c>
      <c r="C827" s="45" t="s">
        <v>989</v>
      </c>
      <c r="D827" s="46" t="s">
        <v>10</v>
      </c>
      <c r="E827" s="44">
        <v>0.2596</v>
      </c>
      <c r="F827" s="31">
        <f>TRUNC(14.48,2)</f>
        <v>14.48</v>
      </c>
      <c r="G827" s="32">
        <f t="shared" si="41"/>
        <v>3.75</v>
      </c>
      <c r="H827" s="32"/>
      <c r="I827" s="33"/>
      <c r="J827" s="33"/>
      <c r="K827" s="44"/>
    </row>
    <row r="828" spans="1:11" s="34" customFormat="1" ht="45">
      <c r="A828" s="30"/>
      <c r="B828" s="43" t="s">
        <v>990</v>
      </c>
      <c r="C828" s="45" t="s">
        <v>991</v>
      </c>
      <c r="D828" s="46" t="s">
        <v>10</v>
      </c>
      <c r="E828" s="44">
        <v>0.3116</v>
      </c>
      <c r="F828" s="31">
        <f>TRUNC(12.15,2)</f>
        <v>12.15</v>
      </c>
      <c r="G828" s="32">
        <f t="shared" si="41"/>
        <v>3.78</v>
      </c>
      <c r="H828" s="32"/>
      <c r="I828" s="33"/>
      <c r="J828" s="33"/>
      <c r="K828" s="44"/>
    </row>
    <row r="829" spans="1:11" s="34" customFormat="1" ht="45">
      <c r="A829" s="30"/>
      <c r="B829" s="43" t="s">
        <v>992</v>
      </c>
      <c r="C829" s="45" t="s">
        <v>993</v>
      </c>
      <c r="D829" s="46" t="s">
        <v>10</v>
      </c>
      <c r="E829" s="44">
        <v>0.2924</v>
      </c>
      <c r="F829" s="31">
        <f>TRUNC(6.17,2)</f>
        <v>6.17</v>
      </c>
      <c r="G829" s="32">
        <f t="shared" si="41"/>
        <v>1.8</v>
      </c>
      <c r="H829" s="32"/>
      <c r="I829" s="33"/>
      <c r="J829" s="33"/>
      <c r="K829" s="44"/>
    </row>
    <row r="830" spans="1:11" s="34" customFormat="1" ht="45">
      <c r="A830" s="30"/>
      <c r="B830" s="43" t="s">
        <v>994</v>
      </c>
      <c r="C830" s="45" t="s">
        <v>995</v>
      </c>
      <c r="D830" s="46" t="s">
        <v>10</v>
      </c>
      <c r="E830" s="44">
        <v>0.7691</v>
      </c>
      <c r="F830" s="31">
        <f>TRUNC(7.3,2)</f>
        <v>7.3</v>
      </c>
      <c r="G830" s="32">
        <f t="shared" si="41"/>
        <v>5.61</v>
      </c>
      <c r="H830" s="32"/>
      <c r="I830" s="33"/>
      <c r="J830" s="33"/>
      <c r="K830" s="44"/>
    </row>
    <row r="831" spans="1:11" s="34" customFormat="1" ht="45">
      <c r="A831" s="30"/>
      <c r="B831" s="43" t="s">
        <v>996</v>
      </c>
      <c r="C831" s="45" t="s">
        <v>997</v>
      </c>
      <c r="D831" s="46" t="s">
        <v>10</v>
      </c>
      <c r="E831" s="44">
        <v>0.8584</v>
      </c>
      <c r="F831" s="31">
        <f>TRUNC(9.88,2)</f>
        <v>9.88</v>
      </c>
      <c r="G831" s="32">
        <f t="shared" si="41"/>
        <v>8.48</v>
      </c>
      <c r="H831" s="32"/>
      <c r="I831" s="33"/>
      <c r="J831" s="33"/>
      <c r="K831" s="44"/>
    </row>
    <row r="832" spans="1:11" s="34" customFormat="1" ht="45">
      <c r="A832" s="30"/>
      <c r="B832" s="43" t="s">
        <v>998</v>
      </c>
      <c r="C832" s="45" t="s">
        <v>999</v>
      </c>
      <c r="D832" s="46" t="s">
        <v>2</v>
      </c>
      <c r="E832" s="44">
        <v>1</v>
      </c>
      <c r="F832" s="31">
        <f>TRUNC(19.6,2)</f>
        <v>19.6</v>
      </c>
      <c r="G832" s="32">
        <f t="shared" si="41"/>
        <v>19.6</v>
      </c>
      <c r="H832" s="32"/>
      <c r="I832" s="33"/>
      <c r="J832" s="33"/>
      <c r="K832" s="44"/>
    </row>
    <row r="833" spans="1:11" s="34" customFormat="1" ht="15">
      <c r="A833" s="30"/>
      <c r="B833" s="43"/>
      <c r="C833" s="45"/>
      <c r="D833" s="46"/>
      <c r="E833" s="44" t="s">
        <v>5</v>
      </c>
      <c r="F833" s="31"/>
      <c r="G833" s="32">
        <f>TRUNC(SUM(G822:G832),2)</f>
        <v>57.6</v>
      </c>
      <c r="H833" s="32"/>
      <c r="I833" s="33"/>
      <c r="J833" s="33"/>
      <c r="K833" s="44"/>
    </row>
    <row r="834" spans="1:11" s="88" customFormat="1" ht="60">
      <c r="A834" s="80" t="s">
        <v>1627</v>
      </c>
      <c r="B834" s="81" t="s">
        <v>1000</v>
      </c>
      <c r="C834" s="82" t="s">
        <v>1001</v>
      </c>
      <c r="D834" s="83" t="s">
        <v>2</v>
      </c>
      <c r="E834" s="84">
        <v>102</v>
      </c>
      <c r="F834" s="85">
        <f>TRUNC(G847,2)</f>
        <v>85.03</v>
      </c>
      <c r="G834" s="86">
        <f>TRUNC(F834*1.2882,2)</f>
        <v>109.53</v>
      </c>
      <c r="H834" s="86">
        <f>TRUNC(F834*E834,2)</f>
        <v>8673.06</v>
      </c>
      <c r="I834" s="87">
        <f>TRUNC(E834*G834,2)</f>
        <v>11172.06</v>
      </c>
      <c r="J834" s="87"/>
      <c r="K834" s="84"/>
    </row>
    <row r="835" spans="1:11" s="34" customFormat="1" ht="30">
      <c r="A835" s="30"/>
      <c r="B835" s="43" t="s">
        <v>1002</v>
      </c>
      <c r="C835" s="45" t="s">
        <v>1003</v>
      </c>
      <c r="D835" s="46" t="s">
        <v>2</v>
      </c>
      <c r="E835" s="44">
        <v>0.1074</v>
      </c>
      <c r="F835" s="31">
        <f>TRUNC(14.18,2)</f>
        <v>14.18</v>
      </c>
      <c r="G835" s="32">
        <f aca="true" t="shared" si="42" ref="G835:G846">TRUNC(E835*F835,2)</f>
        <v>1.52</v>
      </c>
      <c r="H835" s="32"/>
      <c r="I835" s="33"/>
      <c r="J835" s="33"/>
      <c r="K835" s="44"/>
    </row>
    <row r="836" spans="1:11" s="34" customFormat="1" ht="30">
      <c r="A836" s="30"/>
      <c r="B836" s="43" t="s">
        <v>1004</v>
      </c>
      <c r="C836" s="45" t="s">
        <v>1005</v>
      </c>
      <c r="D836" s="46" t="s">
        <v>10</v>
      </c>
      <c r="E836" s="44">
        <v>0.1718</v>
      </c>
      <c r="F836" s="31">
        <f>TRUNC(5.35,2)</f>
        <v>5.35</v>
      </c>
      <c r="G836" s="32">
        <f t="shared" si="42"/>
        <v>0.91</v>
      </c>
      <c r="H836" s="32"/>
      <c r="I836" s="33"/>
      <c r="J836" s="33"/>
      <c r="K836" s="44"/>
    </row>
    <row r="837" spans="1:11" s="34" customFormat="1" ht="60">
      <c r="A837" s="30"/>
      <c r="B837" s="43" t="s">
        <v>1006</v>
      </c>
      <c r="C837" s="45" t="s">
        <v>1007</v>
      </c>
      <c r="D837" s="46" t="s">
        <v>2</v>
      </c>
      <c r="E837" s="44">
        <v>0.0353</v>
      </c>
      <c r="F837" s="31">
        <f>TRUNC(5.96,2)</f>
        <v>5.96</v>
      </c>
      <c r="G837" s="32">
        <f t="shared" si="42"/>
        <v>0.21</v>
      </c>
      <c r="H837" s="32"/>
      <c r="I837" s="33"/>
      <c r="J837" s="33"/>
      <c r="K837" s="44"/>
    </row>
    <row r="838" spans="1:11" s="34" customFormat="1" ht="30">
      <c r="A838" s="30"/>
      <c r="B838" s="43" t="s">
        <v>1008</v>
      </c>
      <c r="C838" s="45" t="s">
        <v>1009</v>
      </c>
      <c r="D838" s="46" t="s">
        <v>2</v>
      </c>
      <c r="E838" s="44">
        <v>0.1074</v>
      </c>
      <c r="F838" s="31">
        <f>TRUNC(20.48,2)</f>
        <v>20.48</v>
      </c>
      <c r="G838" s="32">
        <f t="shared" si="42"/>
        <v>2.19</v>
      </c>
      <c r="H838" s="32"/>
      <c r="I838" s="33"/>
      <c r="J838" s="33"/>
      <c r="K838" s="44"/>
    </row>
    <row r="839" spans="1:11" s="34" customFormat="1" ht="30">
      <c r="A839" s="30"/>
      <c r="B839" s="43" t="s">
        <v>1010</v>
      </c>
      <c r="C839" s="45" t="s">
        <v>1011</v>
      </c>
      <c r="D839" s="46" t="s">
        <v>10</v>
      </c>
      <c r="E839" s="44">
        <v>0.0421</v>
      </c>
      <c r="F839" s="31">
        <f>TRUNC(4.97,2)</f>
        <v>4.97</v>
      </c>
      <c r="G839" s="32">
        <f t="shared" si="42"/>
        <v>0.2</v>
      </c>
      <c r="H839" s="32"/>
      <c r="I839" s="33"/>
      <c r="J839" s="33"/>
      <c r="K839" s="44"/>
    </row>
    <row r="840" spans="1:11" s="34" customFormat="1" ht="30">
      <c r="A840" s="30"/>
      <c r="B840" s="43" t="s">
        <v>1012</v>
      </c>
      <c r="C840" s="45" t="s">
        <v>1013</v>
      </c>
      <c r="D840" s="46" t="s">
        <v>10</v>
      </c>
      <c r="E840" s="44">
        <v>0.1718</v>
      </c>
      <c r="F840" s="31">
        <f>TRUNC(35.2,2)</f>
        <v>35.2</v>
      </c>
      <c r="G840" s="32">
        <f t="shared" si="42"/>
        <v>6.04</v>
      </c>
      <c r="H840" s="32"/>
      <c r="I840" s="33"/>
      <c r="J840" s="33"/>
      <c r="K840" s="44"/>
    </row>
    <row r="841" spans="1:11" s="34" customFormat="1" ht="45">
      <c r="A841" s="30"/>
      <c r="B841" s="43" t="s">
        <v>1014</v>
      </c>
      <c r="C841" s="45" t="s">
        <v>1015</v>
      </c>
      <c r="D841" s="46" t="s">
        <v>10</v>
      </c>
      <c r="E841" s="44">
        <v>0.0278</v>
      </c>
      <c r="F841" s="31">
        <f>TRUNC(6.43,2)</f>
        <v>6.43</v>
      </c>
      <c r="G841" s="32">
        <f t="shared" si="42"/>
        <v>0.17</v>
      </c>
      <c r="H841" s="32"/>
      <c r="I841" s="33"/>
      <c r="J841" s="33"/>
      <c r="K841" s="44"/>
    </row>
    <row r="842" spans="1:11" s="34" customFormat="1" ht="45">
      <c r="A842" s="30"/>
      <c r="B842" s="43" t="s">
        <v>1016</v>
      </c>
      <c r="C842" s="45" t="s">
        <v>1017</v>
      </c>
      <c r="D842" s="46" t="s">
        <v>10</v>
      </c>
      <c r="E842" s="44">
        <v>0.07</v>
      </c>
      <c r="F842" s="31">
        <f>TRUNC(19.29,2)</f>
        <v>19.29</v>
      </c>
      <c r="G842" s="32">
        <f t="shared" si="42"/>
        <v>1.35</v>
      </c>
      <c r="H842" s="32"/>
      <c r="I842" s="33"/>
      <c r="J842" s="33"/>
      <c r="K842" s="44"/>
    </row>
    <row r="843" spans="1:11" s="34" customFormat="1" ht="45">
      <c r="A843" s="30"/>
      <c r="B843" s="43" t="s">
        <v>1018</v>
      </c>
      <c r="C843" s="45" t="s">
        <v>1019</v>
      </c>
      <c r="D843" s="46" t="s">
        <v>10</v>
      </c>
      <c r="E843" s="44">
        <v>1.2919</v>
      </c>
      <c r="F843" s="31">
        <f>TRUNC(8.76,2)</f>
        <v>8.76</v>
      </c>
      <c r="G843" s="32">
        <f t="shared" si="42"/>
        <v>11.31</v>
      </c>
      <c r="H843" s="32"/>
      <c r="I843" s="33"/>
      <c r="J843" s="33"/>
      <c r="K843" s="44"/>
    </row>
    <row r="844" spans="1:11" s="34" customFormat="1" ht="45">
      <c r="A844" s="30"/>
      <c r="B844" s="43" t="s">
        <v>1020</v>
      </c>
      <c r="C844" s="45" t="s">
        <v>1021</v>
      </c>
      <c r="D844" s="46" t="s">
        <v>10</v>
      </c>
      <c r="E844" s="44">
        <v>1.4991</v>
      </c>
      <c r="F844" s="31">
        <f>TRUNC(11.32,2)</f>
        <v>11.32</v>
      </c>
      <c r="G844" s="32">
        <f t="shared" si="42"/>
        <v>16.96</v>
      </c>
      <c r="H844" s="32"/>
      <c r="I844" s="33"/>
      <c r="J844" s="33"/>
      <c r="K844" s="44"/>
    </row>
    <row r="845" spans="1:11" s="34" customFormat="1" ht="45">
      <c r="A845" s="30"/>
      <c r="B845" s="43" t="s">
        <v>1022</v>
      </c>
      <c r="C845" s="45" t="s">
        <v>1023</v>
      </c>
      <c r="D845" s="46" t="s">
        <v>10</v>
      </c>
      <c r="E845" s="44">
        <v>1.4223</v>
      </c>
      <c r="F845" s="31">
        <f>TRUNC(10.71,2)</f>
        <v>10.71</v>
      </c>
      <c r="G845" s="32">
        <f t="shared" si="42"/>
        <v>15.23</v>
      </c>
      <c r="H845" s="32"/>
      <c r="I845" s="33"/>
      <c r="J845" s="33"/>
      <c r="K845" s="44"/>
    </row>
    <row r="846" spans="1:11" s="34" customFormat="1" ht="45">
      <c r="A846" s="30"/>
      <c r="B846" s="43" t="s">
        <v>1024</v>
      </c>
      <c r="C846" s="45" t="s">
        <v>1025</v>
      </c>
      <c r="D846" s="46" t="s">
        <v>2</v>
      </c>
      <c r="E846" s="44">
        <v>1</v>
      </c>
      <c r="F846" s="31">
        <f>TRUNC(28.94,2)</f>
        <v>28.94</v>
      </c>
      <c r="G846" s="32">
        <f t="shared" si="42"/>
        <v>28.94</v>
      </c>
      <c r="H846" s="32"/>
      <c r="I846" s="33"/>
      <c r="J846" s="33"/>
      <c r="K846" s="44"/>
    </row>
    <row r="847" spans="1:11" s="34" customFormat="1" ht="15">
      <c r="A847" s="30"/>
      <c r="B847" s="43"/>
      <c r="C847" s="45"/>
      <c r="D847" s="46"/>
      <c r="E847" s="44" t="s">
        <v>5</v>
      </c>
      <c r="F847" s="31"/>
      <c r="G847" s="32">
        <f>TRUNC(SUM(G835:G846),2)</f>
        <v>85.03</v>
      </c>
      <c r="H847" s="32"/>
      <c r="I847" s="33"/>
      <c r="J847" s="33"/>
      <c r="K847" s="44"/>
    </row>
    <row r="848" spans="1:11" s="88" customFormat="1" ht="60">
      <c r="A848" s="80" t="s">
        <v>1628</v>
      </c>
      <c r="B848" s="81" t="s">
        <v>1026</v>
      </c>
      <c r="C848" s="82" t="s">
        <v>1027</v>
      </c>
      <c r="D848" s="83" t="s">
        <v>2</v>
      </c>
      <c r="E848" s="84">
        <v>48</v>
      </c>
      <c r="F848" s="85">
        <f>TRUNC(G865,2)</f>
        <v>39.96</v>
      </c>
      <c r="G848" s="86">
        <f>TRUNC(F848*1.2882,2)</f>
        <v>51.47</v>
      </c>
      <c r="H848" s="86">
        <f>TRUNC(F848*E848,2)</f>
        <v>1918.08</v>
      </c>
      <c r="I848" s="87">
        <f>TRUNC(E848*G848,2)</f>
        <v>2470.56</v>
      </c>
      <c r="J848" s="87"/>
      <c r="K848" s="84"/>
    </row>
    <row r="849" spans="1:11" s="34" customFormat="1" ht="45">
      <c r="A849" s="30"/>
      <c r="B849" s="43" t="s">
        <v>1028</v>
      </c>
      <c r="C849" s="45" t="s">
        <v>1029</v>
      </c>
      <c r="D849" s="46" t="s">
        <v>10</v>
      </c>
      <c r="E849" s="44">
        <v>0.0065</v>
      </c>
      <c r="F849" s="31">
        <f>TRUNC(25.74,2)</f>
        <v>25.74</v>
      </c>
      <c r="G849" s="32">
        <f aca="true" t="shared" si="43" ref="G849:G864">TRUNC(E849*F849,2)</f>
        <v>0.16</v>
      </c>
      <c r="H849" s="32"/>
      <c r="I849" s="33"/>
      <c r="J849" s="33"/>
      <c r="K849" s="44"/>
    </row>
    <row r="850" spans="1:11" s="34" customFormat="1" ht="45">
      <c r="A850" s="30"/>
      <c r="B850" s="43" t="s">
        <v>1030</v>
      </c>
      <c r="C850" s="45" t="s">
        <v>1031</v>
      </c>
      <c r="D850" s="46" t="s">
        <v>10</v>
      </c>
      <c r="E850" s="44">
        <v>0.0635</v>
      </c>
      <c r="F850" s="31">
        <f>TRUNC(18.43,2)</f>
        <v>18.43</v>
      </c>
      <c r="G850" s="32">
        <f t="shared" si="43"/>
        <v>1.17</v>
      </c>
      <c r="H850" s="32"/>
      <c r="I850" s="33"/>
      <c r="J850" s="33"/>
      <c r="K850" s="44"/>
    </row>
    <row r="851" spans="1:11" s="34" customFormat="1" ht="45">
      <c r="A851" s="30"/>
      <c r="B851" s="43" t="s">
        <v>1032</v>
      </c>
      <c r="C851" s="45" t="s">
        <v>1033</v>
      </c>
      <c r="D851" s="46" t="s">
        <v>10</v>
      </c>
      <c r="E851" s="44">
        <v>0.0721</v>
      </c>
      <c r="F851" s="31">
        <f>TRUNC(19.29,2)</f>
        <v>19.29</v>
      </c>
      <c r="G851" s="32">
        <f t="shared" si="43"/>
        <v>1.39</v>
      </c>
      <c r="H851" s="32"/>
      <c r="I851" s="33"/>
      <c r="J851" s="33"/>
      <c r="K851" s="44"/>
    </row>
    <row r="852" spans="1:11" s="34" customFormat="1" ht="45">
      <c r="A852" s="30"/>
      <c r="B852" s="43" t="s">
        <v>1034</v>
      </c>
      <c r="C852" s="45" t="s">
        <v>1035</v>
      </c>
      <c r="D852" s="46" t="s">
        <v>10</v>
      </c>
      <c r="E852" s="44">
        <v>0.0422</v>
      </c>
      <c r="F852" s="31">
        <f>TRUNC(14.57,2)</f>
        <v>14.57</v>
      </c>
      <c r="G852" s="32">
        <f t="shared" si="43"/>
        <v>0.61</v>
      </c>
      <c r="H852" s="32"/>
      <c r="I852" s="33"/>
      <c r="J852" s="33"/>
      <c r="K852" s="44"/>
    </row>
    <row r="853" spans="1:11" s="34" customFormat="1" ht="45">
      <c r="A853" s="30"/>
      <c r="B853" s="43" t="s">
        <v>1036</v>
      </c>
      <c r="C853" s="45" t="s">
        <v>1037</v>
      </c>
      <c r="D853" s="46" t="s">
        <v>10</v>
      </c>
      <c r="E853" s="44">
        <v>0.0204</v>
      </c>
      <c r="F853" s="31">
        <f>TRUNC(31.89,2)</f>
        <v>31.89</v>
      </c>
      <c r="G853" s="32">
        <f t="shared" si="43"/>
        <v>0.65</v>
      </c>
      <c r="H853" s="32"/>
      <c r="I853" s="33"/>
      <c r="J853" s="33"/>
      <c r="K853" s="44"/>
    </row>
    <row r="854" spans="1:11" s="34" customFormat="1" ht="45">
      <c r="A854" s="30"/>
      <c r="B854" s="43" t="s">
        <v>1038</v>
      </c>
      <c r="C854" s="45" t="s">
        <v>1039</v>
      </c>
      <c r="D854" s="46" t="s">
        <v>10</v>
      </c>
      <c r="E854" s="44">
        <v>0.0278</v>
      </c>
      <c r="F854" s="31">
        <f>TRUNC(34.28,2)</f>
        <v>34.28</v>
      </c>
      <c r="G854" s="32">
        <f t="shared" si="43"/>
        <v>0.95</v>
      </c>
      <c r="H854" s="32"/>
      <c r="I854" s="33"/>
      <c r="J854" s="33"/>
      <c r="K854" s="44"/>
    </row>
    <row r="855" spans="1:11" s="34" customFormat="1" ht="45">
      <c r="A855" s="30"/>
      <c r="B855" s="43" t="s">
        <v>1040</v>
      </c>
      <c r="C855" s="45" t="s">
        <v>1041</v>
      </c>
      <c r="D855" s="46" t="s">
        <v>2</v>
      </c>
      <c r="E855" s="44">
        <v>0.1099</v>
      </c>
      <c r="F855" s="31">
        <f>TRUNC(43.9,2)</f>
        <v>43.9</v>
      </c>
      <c r="G855" s="32">
        <f t="shared" si="43"/>
        <v>4.82</v>
      </c>
      <c r="H855" s="32"/>
      <c r="I855" s="33"/>
      <c r="J855" s="33"/>
      <c r="K855" s="44"/>
    </row>
    <row r="856" spans="1:11" s="34" customFormat="1" ht="45">
      <c r="A856" s="30"/>
      <c r="B856" s="43" t="s">
        <v>1042</v>
      </c>
      <c r="C856" s="45" t="s">
        <v>1043</v>
      </c>
      <c r="D856" s="46" t="s">
        <v>10</v>
      </c>
      <c r="E856" s="44">
        <v>0.0242</v>
      </c>
      <c r="F856" s="31">
        <f>TRUNC(14.17,2)</f>
        <v>14.17</v>
      </c>
      <c r="G856" s="32">
        <f t="shared" si="43"/>
        <v>0.34</v>
      </c>
      <c r="H856" s="32"/>
      <c r="I856" s="33"/>
      <c r="J856" s="33"/>
      <c r="K856" s="44"/>
    </row>
    <row r="857" spans="1:11" s="34" customFormat="1" ht="30">
      <c r="A857" s="30"/>
      <c r="B857" s="43" t="s">
        <v>1004</v>
      </c>
      <c r="C857" s="45" t="s">
        <v>1005</v>
      </c>
      <c r="D857" s="46" t="s">
        <v>10</v>
      </c>
      <c r="E857" s="44">
        <v>0.0984</v>
      </c>
      <c r="F857" s="31">
        <f>TRUNC(5.35,2)</f>
        <v>5.35</v>
      </c>
      <c r="G857" s="32">
        <f t="shared" si="43"/>
        <v>0.52</v>
      </c>
      <c r="H857" s="32"/>
      <c r="I857" s="33"/>
      <c r="J857" s="33"/>
      <c r="K857" s="44"/>
    </row>
    <row r="858" spans="1:11" s="34" customFormat="1" ht="45">
      <c r="A858" s="30"/>
      <c r="B858" s="43" t="s">
        <v>1044</v>
      </c>
      <c r="C858" s="45" t="s">
        <v>1045</v>
      </c>
      <c r="D858" s="46" t="s">
        <v>10</v>
      </c>
      <c r="E858" s="44">
        <v>0.2329</v>
      </c>
      <c r="F858" s="31">
        <f>TRUNC(11.31,2)</f>
        <v>11.31</v>
      </c>
      <c r="G858" s="32">
        <f t="shared" si="43"/>
        <v>2.63</v>
      </c>
      <c r="H858" s="32"/>
      <c r="I858" s="33"/>
      <c r="J858" s="33"/>
      <c r="K858" s="44"/>
    </row>
    <row r="859" spans="1:11" s="34" customFormat="1" ht="45">
      <c r="A859" s="30"/>
      <c r="B859" s="43" t="s">
        <v>1046</v>
      </c>
      <c r="C859" s="45" t="s">
        <v>1047</v>
      </c>
      <c r="D859" s="46" t="s">
        <v>10</v>
      </c>
      <c r="E859" s="44">
        <v>0.0399</v>
      </c>
      <c r="F859" s="31">
        <f>TRUNC(25.36,2)</f>
        <v>25.36</v>
      </c>
      <c r="G859" s="32">
        <f t="shared" si="43"/>
        <v>1.01</v>
      </c>
      <c r="H859" s="32"/>
      <c r="I859" s="33"/>
      <c r="J859" s="33"/>
      <c r="K859" s="44"/>
    </row>
    <row r="860" spans="1:11" s="34" customFormat="1" ht="45">
      <c r="A860" s="30"/>
      <c r="B860" s="43" t="s">
        <v>1048</v>
      </c>
      <c r="C860" s="45" t="s">
        <v>1049</v>
      </c>
      <c r="D860" s="46" t="s">
        <v>10</v>
      </c>
      <c r="E860" s="44">
        <v>0.126</v>
      </c>
      <c r="F860" s="31">
        <f>TRUNC(27.75,2)</f>
        <v>27.75</v>
      </c>
      <c r="G860" s="32">
        <f t="shared" si="43"/>
        <v>3.49</v>
      </c>
      <c r="H860" s="32"/>
      <c r="I860" s="33"/>
      <c r="J860" s="33"/>
      <c r="K860" s="44"/>
    </row>
    <row r="861" spans="1:11" s="34" customFormat="1" ht="30">
      <c r="A861" s="30"/>
      <c r="B861" s="43" t="s">
        <v>1012</v>
      </c>
      <c r="C861" s="45" t="s">
        <v>1013</v>
      </c>
      <c r="D861" s="46" t="s">
        <v>10</v>
      </c>
      <c r="E861" s="44">
        <v>0.0984</v>
      </c>
      <c r="F861" s="31">
        <f>TRUNC(35.2,2)</f>
        <v>35.2</v>
      </c>
      <c r="G861" s="32">
        <f t="shared" si="43"/>
        <v>3.46</v>
      </c>
      <c r="H861" s="32"/>
      <c r="I861" s="33"/>
      <c r="J861" s="33"/>
      <c r="K861" s="44"/>
    </row>
    <row r="862" spans="1:11" s="34" customFormat="1" ht="30">
      <c r="A862" s="30"/>
      <c r="B862" s="43" t="s">
        <v>1010</v>
      </c>
      <c r="C862" s="45" t="s">
        <v>1011</v>
      </c>
      <c r="D862" s="46" t="s">
        <v>10</v>
      </c>
      <c r="E862" s="44">
        <v>0.1661</v>
      </c>
      <c r="F862" s="31">
        <f>TRUNC(4.97,2)</f>
        <v>4.97</v>
      </c>
      <c r="G862" s="32">
        <f t="shared" si="43"/>
        <v>0.82</v>
      </c>
      <c r="H862" s="32"/>
      <c r="I862" s="33"/>
      <c r="J862" s="33"/>
      <c r="K862" s="44"/>
    </row>
    <row r="863" spans="1:11" s="34" customFormat="1" ht="60">
      <c r="A863" s="30"/>
      <c r="B863" s="43" t="s">
        <v>1006</v>
      </c>
      <c r="C863" s="45" t="s">
        <v>1007</v>
      </c>
      <c r="D863" s="46" t="s">
        <v>2</v>
      </c>
      <c r="E863" s="44">
        <v>0.0382</v>
      </c>
      <c r="F863" s="31">
        <f>TRUNC(5.96,2)</f>
        <v>5.96</v>
      </c>
      <c r="G863" s="32">
        <f t="shared" si="43"/>
        <v>0.22</v>
      </c>
      <c r="H863" s="32"/>
      <c r="I863" s="33"/>
      <c r="J863" s="33"/>
      <c r="K863" s="44"/>
    </row>
    <row r="864" spans="1:11" s="34" customFormat="1" ht="30">
      <c r="A864" s="30"/>
      <c r="B864" s="43" t="s">
        <v>712</v>
      </c>
      <c r="C864" s="45" t="s">
        <v>1050</v>
      </c>
      <c r="D864" s="46" t="s">
        <v>2</v>
      </c>
      <c r="E864" s="44">
        <v>0.8901</v>
      </c>
      <c r="F864" s="31">
        <f>TRUNC(19.91,2)</f>
        <v>19.91</v>
      </c>
      <c r="G864" s="32">
        <f t="shared" si="43"/>
        <v>17.72</v>
      </c>
      <c r="H864" s="32"/>
      <c r="I864" s="33"/>
      <c r="J864" s="33"/>
      <c r="K864" s="44"/>
    </row>
    <row r="865" spans="1:11" s="34" customFormat="1" ht="15">
      <c r="A865" s="30"/>
      <c r="B865" s="43"/>
      <c r="C865" s="45"/>
      <c r="D865" s="46"/>
      <c r="E865" s="44" t="s">
        <v>5</v>
      </c>
      <c r="F865" s="31"/>
      <c r="G865" s="32">
        <f>TRUNC(SUM(G849:G864),2)</f>
        <v>39.96</v>
      </c>
      <c r="H865" s="32"/>
      <c r="I865" s="33"/>
      <c r="J865" s="33"/>
      <c r="K865" s="44"/>
    </row>
    <row r="866" spans="1:11" s="88" customFormat="1" ht="60">
      <c r="A866" s="80" t="s">
        <v>1629</v>
      </c>
      <c r="B866" s="81" t="s">
        <v>1063</v>
      </c>
      <c r="C866" s="82" t="s">
        <v>1064</v>
      </c>
      <c r="D866" s="83" t="s">
        <v>2</v>
      </c>
      <c r="E866" s="84">
        <v>192</v>
      </c>
      <c r="F866" s="85">
        <f>TRUNC(G886,2)</f>
        <v>67.2</v>
      </c>
      <c r="G866" s="86">
        <f>TRUNC(F866*1.2882,2)</f>
        <v>86.56</v>
      </c>
      <c r="H866" s="86">
        <f>TRUNC(F866*E866,2)</f>
        <v>12902.4</v>
      </c>
      <c r="I866" s="87">
        <f>TRUNC(E866*G866,2)</f>
        <v>16619.52</v>
      </c>
      <c r="J866" s="87"/>
      <c r="K866" s="84"/>
    </row>
    <row r="867" spans="1:11" s="34" customFormat="1" ht="45">
      <c r="A867" s="30"/>
      <c r="B867" s="43" t="s">
        <v>1065</v>
      </c>
      <c r="C867" s="45" t="s">
        <v>1066</v>
      </c>
      <c r="D867" s="46" t="s">
        <v>10</v>
      </c>
      <c r="E867" s="44">
        <v>0.0311</v>
      </c>
      <c r="F867" s="31">
        <f>TRUNC(37.12,2)</f>
        <v>37.12</v>
      </c>
      <c r="G867" s="32">
        <f aca="true" t="shared" si="44" ref="G867:G885">TRUNC(E867*F867,2)</f>
        <v>1.15</v>
      </c>
      <c r="H867" s="32"/>
      <c r="I867" s="33"/>
      <c r="J867" s="33"/>
      <c r="K867" s="44"/>
    </row>
    <row r="868" spans="1:11" s="34" customFormat="1" ht="45">
      <c r="A868" s="30"/>
      <c r="B868" s="43" t="s">
        <v>1067</v>
      </c>
      <c r="C868" s="45" t="s">
        <v>1068</v>
      </c>
      <c r="D868" s="46" t="s">
        <v>10</v>
      </c>
      <c r="E868" s="44">
        <v>0.0653</v>
      </c>
      <c r="F868" s="31">
        <f>TRUNC(23.94,2)</f>
        <v>23.94</v>
      </c>
      <c r="G868" s="32">
        <f t="shared" si="44"/>
        <v>1.56</v>
      </c>
      <c r="H868" s="32"/>
      <c r="I868" s="33"/>
      <c r="J868" s="33"/>
      <c r="K868" s="44"/>
    </row>
    <row r="869" spans="1:11" s="34" customFormat="1" ht="45">
      <c r="A869" s="30"/>
      <c r="B869" s="43" t="s">
        <v>1069</v>
      </c>
      <c r="C869" s="45" t="s">
        <v>1070</v>
      </c>
      <c r="D869" s="46" t="s">
        <v>10</v>
      </c>
      <c r="E869" s="44">
        <v>0.2122</v>
      </c>
      <c r="F869" s="31">
        <f>TRUNC(37.52,2)</f>
        <v>37.52</v>
      </c>
      <c r="G869" s="32">
        <f t="shared" si="44"/>
        <v>7.96</v>
      </c>
      <c r="H869" s="32"/>
      <c r="I869" s="33"/>
      <c r="J869" s="33"/>
      <c r="K869" s="44"/>
    </row>
    <row r="870" spans="1:11" s="34" customFormat="1" ht="45">
      <c r="A870" s="30"/>
      <c r="B870" s="43" t="s">
        <v>1071</v>
      </c>
      <c r="C870" s="45" t="s">
        <v>1072</v>
      </c>
      <c r="D870" s="46" t="s">
        <v>10</v>
      </c>
      <c r="E870" s="44">
        <v>0.0982</v>
      </c>
      <c r="F870" s="31">
        <f>TRUNC(18.32,2)</f>
        <v>18.32</v>
      </c>
      <c r="G870" s="32">
        <f t="shared" si="44"/>
        <v>1.79</v>
      </c>
      <c r="H870" s="32"/>
      <c r="I870" s="33"/>
      <c r="J870" s="33"/>
      <c r="K870" s="44"/>
    </row>
    <row r="871" spans="1:11" s="34" customFormat="1" ht="45">
      <c r="A871" s="30"/>
      <c r="B871" s="43" t="s">
        <v>1073</v>
      </c>
      <c r="C871" s="45" t="s">
        <v>1074</v>
      </c>
      <c r="D871" s="46" t="s">
        <v>10</v>
      </c>
      <c r="E871" s="44">
        <v>0.0478</v>
      </c>
      <c r="F871" s="31">
        <f>TRUNC(39.44,2)</f>
        <v>39.44</v>
      </c>
      <c r="G871" s="32">
        <f t="shared" si="44"/>
        <v>1.88</v>
      </c>
      <c r="H871" s="32"/>
      <c r="I871" s="33"/>
      <c r="J871" s="33"/>
      <c r="K871" s="44"/>
    </row>
    <row r="872" spans="1:11" s="34" customFormat="1" ht="45">
      <c r="A872" s="30"/>
      <c r="B872" s="43" t="s">
        <v>1075</v>
      </c>
      <c r="C872" s="45" t="s">
        <v>1076</v>
      </c>
      <c r="D872" s="46" t="s">
        <v>10</v>
      </c>
      <c r="E872" s="44">
        <v>0.1086</v>
      </c>
      <c r="F872" s="31">
        <f>TRUNC(45.03,2)</f>
        <v>45.03</v>
      </c>
      <c r="G872" s="32">
        <f t="shared" si="44"/>
        <v>4.89</v>
      </c>
      <c r="H872" s="32"/>
      <c r="I872" s="33"/>
      <c r="J872" s="33"/>
      <c r="K872" s="44"/>
    </row>
    <row r="873" spans="1:11" s="34" customFormat="1" ht="30">
      <c r="A873" s="30"/>
      <c r="B873" s="43" t="s">
        <v>1077</v>
      </c>
      <c r="C873" s="45" t="s">
        <v>1078</v>
      </c>
      <c r="D873" s="46" t="s">
        <v>2</v>
      </c>
      <c r="E873" s="44">
        <v>0.561</v>
      </c>
      <c r="F873" s="31">
        <f>TRUNC(24.66,2)</f>
        <v>24.66</v>
      </c>
      <c r="G873" s="32">
        <f t="shared" si="44"/>
        <v>13.83</v>
      </c>
      <c r="H873" s="32"/>
      <c r="I873" s="33"/>
      <c r="J873" s="33"/>
      <c r="K873" s="44"/>
    </row>
    <row r="874" spans="1:11" s="34" customFormat="1" ht="45">
      <c r="A874" s="30"/>
      <c r="B874" s="43" t="s">
        <v>1079</v>
      </c>
      <c r="C874" s="45" t="s">
        <v>1080</v>
      </c>
      <c r="D874" s="46" t="s">
        <v>10</v>
      </c>
      <c r="E874" s="44">
        <v>0.0085</v>
      </c>
      <c r="F874" s="31">
        <f>TRUNC(17.88,2)</f>
        <v>17.88</v>
      </c>
      <c r="G874" s="32">
        <f t="shared" si="44"/>
        <v>0.15</v>
      </c>
      <c r="H874" s="32"/>
      <c r="I874" s="33"/>
      <c r="J874" s="33"/>
      <c r="K874" s="44"/>
    </row>
    <row r="875" spans="1:11" s="34" customFormat="1" ht="45">
      <c r="A875" s="30"/>
      <c r="B875" s="43" t="s">
        <v>1081</v>
      </c>
      <c r="C875" s="45" t="s">
        <v>1082</v>
      </c>
      <c r="D875" s="46" t="s">
        <v>2</v>
      </c>
      <c r="E875" s="44">
        <v>0.1846</v>
      </c>
      <c r="F875" s="31">
        <f>TRUNC(56.18,2)</f>
        <v>56.18</v>
      </c>
      <c r="G875" s="32">
        <f t="shared" si="44"/>
        <v>10.37</v>
      </c>
      <c r="H875" s="32"/>
      <c r="I875" s="33"/>
      <c r="J875" s="33"/>
      <c r="K875" s="44"/>
    </row>
    <row r="876" spans="1:11" s="34" customFormat="1" ht="45">
      <c r="A876" s="30"/>
      <c r="B876" s="43" t="s">
        <v>1083</v>
      </c>
      <c r="C876" s="45" t="s">
        <v>1084</v>
      </c>
      <c r="D876" s="46" t="s">
        <v>10</v>
      </c>
      <c r="E876" s="44">
        <v>0.0598</v>
      </c>
      <c r="F876" s="31">
        <f>TRUNC(31.53,2)</f>
        <v>31.53</v>
      </c>
      <c r="G876" s="32">
        <f t="shared" si="44"/>
        <v>1.88</v>
      </c>
      <c r="H876" s="32"/>
      <c r="I876" s="33"/>
      <c r="J876" s="33"/>
      <c r="K876" s="44"/>
    </row>
    <row r="877" spans="1:11" s="34" customFormat="1" ht="30">
      <c r="A877" s="30"/>
      <c r="B877" s="43" t="s">
        <v>1053</v>
      </c>
      <c r="C877" s="45" t="s">
        <v>1054</v>
      </c>
      <c r="D877" s="46" t="s">
        <v>10</v>
      </c>
      <c r="E877" s="44">
        <v>0.0995</v>
      </c>
      <c r="F877" s="31">
        <f>TRUNC(5.93,2)</f>
        <v>5.93</v>
      </c>
      <c r="G877" s="32">
        <f t="shared" si="44"/>
        <v>0.59</v>
      </c>
      <c r="H877" s="32"/>
      <c r="I877" s="33"/>
      <c r="J877" s="33"/>
      <c r="K877" s="44"/>
    </row>
    <row r="878" spans="1:11" s="34" customFormat="1" ht="30">
      <c r="A878" s="30"/>
      <c r="B878" s="43" t="s">
        <v>1085</v>
      </c>
      <c r="C878" s="45" t="s">
        <v>1086</v>
      </c>
      <c r="D878" s="46" t="s">
        <v>2</v>
      </c>
      <c r="E878" s="44">
        <v>0.2544</v>
      </c>
      <c r="F878" s="31">
        <f>TRUNC(30.21,2)</f>
        <v>30.21</v>
      </c>
      <c r="G878" s="32">
        <f t="shared" si="44"/>
        <v>7.68</v>
      </c>
      <c r="H878" s="32"/>
      <c r="I878" s="33"/>
      <c r="J878" s="33"/>
      <c r="K878" s="44"/>
    </row>
    <row r="879" spans="1:11" s="34" customFormat="1" ht="45">
      <c r="A879" s="30"/>
      <c r="B879" s="43" t="s">
        <v>1087</v>
      </c>
      <c r="C879" s="45" t="s">
        <v>1088</v>
      </c>
      <c r="D879" s="46" t="s">
        <v>10</v>
      </c>
      <c r="E879" s="44">
        <v>0.0178</v>
      </c>
      <c r="F879" s="31">
        <f>TRUNC(23.47,2)</f>
        <v>23.47</v>
      </c>
      <c r="G879" s="32">
        <f t="shared" si="44"/>
        <v>0.41</v>
      </c>
      <c r="H879" s="32"/>
      <c r="I879" s="33"/>
      <c r="J879" s="33"/>
      <c r="K879" s="44"/>
    </row>
    <row r="880" spans="1:11" s="34" customFormat="1" ht="45">
      <c r="A880" s="30"/>
      <c r="B880" s="43" t="s">
        <v>1089</v>
      </c>
      <c r="C880" s="45" t="s">
        <v>1090</v>
      </c>
      <c r="D880" s="46" t="s">
        <v>10</v>
      </c>
      <c r="E880" s="44">
        <v>0.1267</v>
      </c>
      <c r="F880" s="31">
        <f>TRUNC(17.86,2)</f>
        <v>17.86</v>
      </c>
      <c r="G880" s="32">
        <f t="shared" si="44"/>
        <v>2.26</v>
      </c>
      <c r="H880" s="32"/>
      <c r="I880" s="33"/>
      <c r="J880" s="33"/>
      <c r="K880" s="44"/>
    </row>
    <row r="881" spans="1:11" s="34" customFormat="1" ht="45">
      <c r="A881" s="30"/>
      <c r="B881" s="43" t="s">
        <v>1091</v>
      </c>
      <c r="C881" s="45" t="s">
        <v>1092</v>
      </c>
      <c r="D881" s="46" t="s">
        <v>10</v>
      </c>
      <c r="E881" s="44">
        <v>0.0008</v>
      </c>
      <c r="F881" s="31">
        <f>TRUNC(44.57,2)</f>
        <v>44.57</v>
      </c>
      <c r="G881" s="32">
        <f t="shared" si="44"/>
        <v>0.03</v>
      </c>
      <c r="H881" s="32"/>
      <c r="I881" s="33"/>
      <c r="J881" s="33"/>
      <c r="K881" s="44"/>
    </row>
    <row r="882" spans="1:11" s="34" customFormat="1" ht="30">
      <c r="A882" s="30"/>
      <c r="B882" s="43" t="s">
        <v>1057</v>
      </c>
      <c r="C882" s="45" t="s">
        <v>1058</v>
      </c>
      <c r="D882" s="46" t="s">
        <v>10</v>
      </c>
      <c r="E882" s="44">
        <v>0.09995</v>
      </c>
      <c r="F882" s="31">
        <f>TRUNC(50.45,2)</f>
        <v>50.45</v>
      </c>
      <c r="G882" s="32">
        <f t="shared" si="44"/>
        <v>5.04</v>
      </c>
      <c r="H882" s="32"/>
      <c r="I882" s="33"/>
      <c r="J882" s="33"/>
      <c r="K882" s="44"/>
    </row>
    <row r="883" spans="1:11" s="34" customFormat="1" ht="30">
      <c r="A883" s="30"/>
      <c r="B883" s="43" t="s">
        <v>1093</v>
      </c>
      <c r="C883" s="45" t="s">
        <v>1094</v>
      </c>
      <c r="D883" s="46" t="s">
        <v>10</v>
      </c>
      <c r="E883" s="44">
        <v>0.2323</v>
      </c>
      <c r="F883" s="31">
        <f>TRUNC(6.56,2)</f>
        <v>6.56</v>
      </c>
      <c r="G883" s="32">
        <f t="shared" si="44"/>
        <v>1.52</v>
      </c>
      <c r="H883" s="32"/>
      <c r="I883" s="33"/>
      <c r="J883" s="33"/>
      <c r="K883" s="44"/>
    </row>
    <row r="884" spans="1:11" s="34" customFormat="1" ht="45">
      <c r="A884" s="30"/>
      <c r="B884" s="43" t="s">
        <v>1095</v>
      </c>
      <c r="C884" s="45" t="s">
        <v>1096</v>
      </c>
      <c r="D884" s="46" t="s">
        <v>2</v>
      </c>
      <c r="E884" s="44">
        <v>0.1239</v>
      </c>
      <c r="F884" s="31">
        <f>TRUNC(6.84,2)</f>
        <v>6.84</v>
      </c>
      <c r="G884" s="32">
        <f t="shared" si="44"/>
        <v>0.84</v>
      </c>
      <c r="H884" s="32"/>
      <c r="I884" s="33"/>
      <c r="J884" s="33"/>
      <c r="K884" s="44"/>
    </row>
    <row r="885" spans="1:11" s="34" customFormat="1" ht="45">
      <c r="A885" s="30"/>
      <c r="B885" s="43" t="s">
        <v>1097</v>
      </c>
      <c r="C885" s="45" t="s">
        <v>1098</v>
      </c>
      <c r="D885" s="46" t="s">
        <v>10</v>
      </c>
      <c r="E885" s="44">
        <v>0.2392</v>
      </c>
      <c r="F885" s="31">
        <f>TRUNC(14.13,2)</f>
        <v>14.13</v>
      </c>
      <c r="G885" s="32">
        <f t="shared" si="44"/>
        <v>3.37</v>
      </c>
      <c r="H885" s="32"/>
      <c r="I885" s="33"/>
      <c r="J885" s="33"/>
      <c r="K885" s="44"/>
    </row>
    <row r="886" spans="1:11" s="34" customFormat="1" ht="15">
      <c r="A886" s="30"/>
      <c r="B886" s="43"/>
      <c r="C886" s="45"/>
      <c r="D886" s="46"/>
      <c r="E886" s="44" t="s">
        <v>5</v>
      </c>
      <c r="F886" s="31"/>
      <c r="G886" s="32">
        <f>TRUNC(SUM(G867:G885),2)</f>
        <v>67.2</v>
      </c>
      <c r="H886" s="32"/>
      <c r="I886" s="33"/>
      <c r="J886" s="33"/>
      <c r="K886" s="44"/>
    </row>
    <row r="887" spans="1:11" s="88" customFormat="1" ht="45">
      <c r="A887" s="80" t="s">
        <v>1630</v>
      </c>
      <c r="B887" s="81" t="s">
        <v>1051</v>
      </c>
      <c r="C887" s="82" t="s">
        <v>1052</v>
      </c>
      <c r="D887" s="83" t="s">
        <v>2</v>
      </c>
      <c r="E887" s="84">
        <v>12</v>
      </c>
      <c r="F887" s="85">
        <f>TRUNC(G893,2)</f>
        <v>72.9</v>
      </c>
      <c r="G887" s="86">
        <f>TRUNC(F887*1.2882,2)</f>
        <v>93.9</v>
      </c>
      <c r="H887" s="86">
        <f>TRUNC(F887*E887,2)</f>
        <v>874.8</v>
      </c>
      <c r="I887" s="87">
        <f>TRUNC(E887*G887,2)</f>
        <v>1126.8</v>
      </c>
      <c r="J887" s="87"/>
      <c r="K887" s="84"/>
    </row>
    <row r="888" spans="1:11" s="34" customFormat="1" ht="30">
      <c r="A888" s="30"/>
      <c r="B888" s="43" t="s">
        <v>1053</v>
      </c>
      <c r="C888" s="45" t="s">
        <v>1054</v>
      </c>
      <c r="D888" s="46" t="s">
        <v>10</v>
      </c>
      <c r="E888" s="44">
        <v>0.0896</v>
      </c>
      <c r="F888" s="31">
        <f>TRUNC(5.93,2)</f>
        <v>5.93</v>
      </c>
      <c r="G888" s="32">
        <f>TRUNC(E888*F888,2)</f>
        <v>0.53</v>
      </c>
      <c r="H888" s="32"/>
      <c r="I888" s="33"/>
      <c r="J888" s="33"/>
      <c r="K888" s="44"/>
    </row>
    <row r="889" spans="1:11" s="34" customFormat="1" ht="30">
      <c r="A889" s="30"/>
      <c r="B889" s="43" t="s">
        <v>1055</v>
      </c>
      <c r="C889" s="45" t="s">
        <v>1056</v>
      </c>
      <c r="D889" s="46" t="s">
        <v>10</v>
      </c>
      <c r="E889" s="44">
        <v>0.1715</v>
      </c>
      <c r="F889" s="31">
        <f>TRUNC(45.53,2)</f>
        <v>45.53</v>
      </c>
      <c r="G889" s="32">
        <f>TRUNC(E889*F889,2)</f>
        <v>7.8</v>
      </c>
      <c r="H889" s="32"/>
      <c r="I889" s="33"/>
      <c r="J889" s="33"/>
      <c r="K889" s="44"/>
    </row>
    <row r="890" spans="1:11" s="34" customFormat="1" ht="30">
      <c r="A890" s="30"/>
      <c r="B890" s="43" t="s">
        <v>1057</v>
      </c>
      <c r="C890" s="45" t="s">
        <v>1058</v>
      </c>
      <c r="D890" s="46" t="s">
        <v>10</v>
      </c>
      <c r="E890" s="44">
        <v>0.0896</v>
      </c>
      <c r="F890" s="31">
        <f>TRUNC(50.45,2)</f>
        <v>50.45</v>
      </c>
      <c r="G890" s="32">
        <f>TRUNC(E890*F890,2)</f>
        <v>4.52</v>
      </c>
      <c r="H890" s="32"/>
      <c r="I890" s="33"/>
      <c r="J890" s="33"/>
      <c r="K890" s="44"/>
    </row>
    <row r="891" spans="1:11" s="34" customFormat="1" ht="45">
      <c r="A891" s="30"/>
      <c r="B891" s="43" t="s">
        <v>1059</v>
      </c>
      <c r="C891" s="45" t="s">
        <v>1060</v>
      </c>
      <c r="D891" s="46" t="s">
        <v>10</v>
      </c>
      <c r="E891" s="44">
        <v>0.0111</v>
      </c>
      <c r="F891" s="31">
        <f>TRUNC(83.14,2)</f>
        <v>83.14</v>
      </c>
      <c r="G891" s="32">
        <f>TRUNC(E891*F891,2)</f>
        <v>0.92</v>
      </c>
      <c r="H891" s="32"/>
      <c r="I891" s="33"/>
      <c r="J891" s="33"/>
      <c r="K891" s="44"/>
    </row>
    <row r="892" spans="1:11" s="34" customFormat="1" ht="30">
      <c r="A892" s="30"/>
      <c r="B892" s="43" t="s">
        <v>1061</v>
      </c>
      <c r="C892" s="45" t="s">
        <v>1062</v>
      </c>
      <c r="D892" s="46" t="s">
        <v>2</v>
      </c>
      <c r="E892" s="44">
        <v>1</v>
      </c>
      <c r="F892" s="31">
        <f>TRUNC(59.13,2)</f>
        <v>59.13</v>
      </c>
      <c r="G892" s="32">
        <f>TRUNC(E892*F892,2)</f>
        <v>59.13</v>
      </c>
      <c r="H892" s="32"/>
      <c r="I892" s="33"/>
      <c r="J892" s="33"/>
      <c r="K892" s="44"/>
    </row>
    <row r="893" spans="1:11" s="34" customFormat="1" ht="15">
      <c r="A893" s="30"/>
      <c r="B893" s="43"/>
      <c r="C893" s="45"/>
      <c r="D893" s="46"/>
      <c r="E893" s="44" t="s">
        <v>5</v>
      </c>
      <c r="F893" s="31"/>
      <c r="G893" s="32">
        <f>TRUNC(SUM(G888:G892),2)</f>
        <v>72.9</v>
      </c>
      <c r="H893" s="32"/>
      <c r="I893" s="33"/>
      <c r="J893" s="33"/>
      <c r="K893" s="44"/>
    </row>
    <row r="894" spans="1:11" s="88" customFormat="1" ht="30">
      <c r="A894" s="80" t="s">
        <v>1631</v>
      </c>
      <c r="B894" s="81" t="s">
        <v>695</v>
      </c>
      <c r="C894" s="82" t="s">
        <v>696</v>
      </c>
      <c r="D894" s="83" t="s">
        <v>10</v>
      </c>
      <c r="E894" s="84">
        <v>1</v>
      </c>
      <c r="F894" s="85">
        <f>TRUNC(G903,2)</f>
        <v>27.5</v>
      </c>
      <c r="G894" s="86">
        <f>TRUNC(F894*1.2882,2)</f>
        <v>35.42</v>
      </c>
      <c r="H894" s="86">
        <f>TRUNC(F894*E894,2)</f>
        <v>27.5</v>
      </c>
      <c r="I894" s="87">
        <f>TRUNC(E894*G894,2)</f>
        <v>35.42</v>
      </c>
      <c r="J894" s="87"/>
      <c r="K894" s="84"/>
    </row>
    <row r="895" spans="1:11" s="34" customFormat="1" ht="15">
      <c r="A895" s="30"/>
      <c r="B895" s="43" t="s">
        <v>641</v>
      </c>
      <c r="C895" s="45" t="s">
        <v>642</v>
      </c>
      <c r="D895" s="46" t="s">
        <v>10</v>
      </c>
      <c r="E895" s="44">
        <v>0.0365</v>
      </c>
      <c r="F895" s="31">
        <f>TRUNC(1.72,2)</f>
        <v>1.72</v>
      </c>
      <c r="G895" s="32">
        <f aca="true" t="shared" si="45" ref="G895:G902">TRUNC(E895*F895,2)</f>
        <v>0.06</v>
      </c>
      <c r="H895" s="32"/>
      <c r="I895" s="33"/>
      <c r="J895" s="33"/>
      <c r="K895" s="44"/>
    </row>
    <row r="896" spans="1:11" s="34" customFormat="1" ht="15">
      <c r="A896" s="30"/>
      <c r="B896" s="43" t="s">
        <v>697</v>
      </c>
      <c r="C896" s="45" t="s">
        <v>698</v>
      </c>
      <c r="D896" s="46" t="s">
        <v>10</v>
      </c>
      <c r="E896" s="44">
        <v>1</v>
      </c>
      <c r="F896" s="31">
        <f>TRUNC(1.5,2)</f>
        <v>1.5</v>
      </c>
      <c r="G896" s="32">
        <f t="shared" si="45"/>
        <v>1.5</v>
      </c>
      <c r="H896" s="32"/>
      <c r="I896" s="33"/>
      <c r="J896" s="33"/>
      <c r="K896" s="44"/>
    </row>
    <row r="897" spans="1:11" s="34" customFormat="1" ht="15">
      <c r="A897" s="30"/>
      <c r="B897" s="43" t="s">
        <v>643</v>
      </c>
      <c r="C897" s="45" t="s">
        <v>644</v>
      </c>
      <c r="D897" s="46" t="s">
        <v>10</v>
      </c>
      <c r="E897" s="44">
        <v>0.0225</v>
      </c>
      <c r="F897" s="31">
        <f>TRUNC(60.64,2)</f>
        <v>60.64</v>
      </c>
      <c r="G897" s="32">
        <f t="shared" si="45"/>
        <v>1.36</v>
      </c>
      <c r="H897" s="32"/>
      <c r="I897" s="33"/>
      <c r="J897" s="33"/>
      <c r="K897" s="44"/>
    </row>
    <row r="898" spans="1:11" s="34" customFormat="1" ht="30">
      <c r="A898" s="30"/>
      <c r="B898" s="43" t="s">
        <v>631</v>
      </c>
      <c r="C898" s="45" t="s">
        <v>632</v>
      </c>
      <c r="D898" s="46" t="s">
        <v>10</v>
      </c>
      <c r="E898" s="44">
        <v>0.02</v>
      </c>
      <c r="F898" s="31">
        <f>TRUNC(25.56,2)</f>
        <v>25.56</v>
      </c>
      <c r="G898" s="32">
        <f t="shared" si="45"/>
        <v>0.51</v>
      </c>
      <c r="H898" s="32"/>
      <c r="I898" s="33"/>
      <c r="J898" s="33"/>
      <c r="K898" s="44"/>
    </row>
    <row r="899" spans="1:11" s="34" customFormat="1" ht="15">
      <c r="A899" s="30"/>
      <c r="B899" s="43" t="s">
        <v>699</v>
      </c>
      <c r="C899" s="45" t="s">
        <v>700</v>
      </c>
      <c r="D899" s="46" t="s">
        <v>10</v>
      </c>
      <c r="E899" s="44">
        <v>1</v>
      </c>
      <c r="F899" s="31">
        <f>TRUNC(16.75,2)</f>
        <v>16.75</v>
      </c>
      <c r="G899" s="32">
        <f t="shared" si="45"/>
        <v>16.75</v>
      </c>
      <c r="H899" s="32"/>
      <c r="I899" s="33"/>
      <c r="J899" s="33"/>
      <c r="K899" s="44"/>
    </row>
    <row r="900" spans="1:11" s="34" customFormat="1" ht="15">
      <c r="A900" s="30"/>
      <c r="B900" s="43" t="s">
        <v>645</v>
      </c>
      <c r="C900" s="45" t="s">
        <v>646</v>
      </c>
      <c r="D900" s="46" t="s">
        <v>10</v>
      </c>
      <c r="E900" s="44">
        <v>0.0148</v>
      </c>
      <c r="F900" s="31">
        <f>TRUNC(69.83,2)</f>
        <v>69.83</v>
      </c>
      <c r="G900" s="32">
        <f t="shared" si="45"/>
        <v>1.03</v>
      </c>
      <c r="H900" s="32"/>
      <c r="I900" s="33"/>
      <c r="J900" s="33"/>
      <c r="K900" s="44"/>
    </row>
    <row r="901" spans="1:11" s="34" customFormat="1" ht="15">
      <c r="A901" s="30"/>
      <c r="B901" s="43" t="s">
        <v>416</v>
      </c>
      <c r="C901" s="45" t="s">
        <v>417</v>
      </c>
      <c r="D901" s="46" t="s">
        <v>4</v>
      </c>
      <c r="E901" s="44">
        <v>0.135</v>
      </c>
      <c r="F901" s="31">
        <f>TRUNC(26.15,2)</f>
        <v>26.15</v>
      </c>
      <c r="G901" s="32">
        <f t="shared" si="45"/>
        <v>3.53</v>
      </c>
      <c r="H901" s="32"/>
      <c r="I901" s="33"/>
      <c r="J901" s="33"/>
      <c r="K901" s="44"/>
    </row>
    <row r="902" spans="1:11" s="34" customFormat="1" ht="30">
      <c r="A902" s="30"/>
      <c r="B902" s="43" t="s">
        <v>418</v>
      </c>
      <c r="C902" s="45" t="s">
        <v>419</v>
      </c>
      <c r="D902" s="46" t="s">
        <v>4</v>
      </c>
      <c r="E902" s="44">
        <v>0.135</v>
      </c>
      <c r="F902" s="31">
        <f>TRUNC(20.45,2)</f>
        <v>20.45</v>
      </c>
      <c r="G902" s="32">
        <f t="shared" si="45"/>
        <v>2.76</v>
      </c>
      <c r="H902" s="32"/>
      <c r="I902" s="33"/>
      <c r="J902" s="33"/>
      <c r="K902" s="44"/>
    </row>
    <row r="903" spans="1:11" s="34" customFormat="1" ht="15">
      <c r="A903" s="30"/>
      <c r="B903" s="43"/>
      <c r="C903" s="45"/>
      <c r="D903" s="46"/>
      <c r="E903" s="44" t="s">
        <v>5</v>
      </c>
      <c r="F903" s="31"/>
      <c r="G903" s="32">
        <f>TRUNC(SUM(G895:G902),2)</f>
        <v>27.5</v>
      </c>
      <c r="H903" s="32"/>
      <c r="I903" s="33"/>
      <c r="J903" s="33"/>
      <c r="K903" s="44"/>
    </row>
    <row r="904" spans="1:11" s="88" customFormat="1" ht="30">
      <c r="A904" s="80" t="s">
        <v>1632</v>
      </c>
      <c r="B904" s="81" t="s">
        <v>1572</v>
      </c>
      <c r="C904" s="82" t="s">
        <v>1573</v>
      </c>
      <c r="D904" s="83" t="s">
        <v>10</v>
      </c>
      <c r="E904" s="84">
        <v>1</v>
      </c>
      <c r="F904" s="85">
        <f>TRUNC(G909,2)</f>
        <v>570</v>
      </c>
      <c r="G904" s="86">
        <f>TRUNC(F904*1.2882,2)</f>
        <v>734.27</v>
      </c>
      <c r="H904" s="86">
        <f>TRUNC(F904*E904,2)</f>
        <v>570</v>
      </c>
      <c r="I904" s="87">
        <f>TRUNC(E904*G904,2)</f>
        <v>734.27</v>
      </c>
      <c r="J904" s="87"/>
      <c r="K904" s="84"/>
    </row>
    <row r="905" spans="1:11" s="34" customFormat="1" ht="30">
      <c r="A905" s="30"/>
      <c r="B905" s="43" t="s">
        <v>1574</v>
      </c>
      <c r="C905" s="45" t="s">
        <v>1575</v>
      </c>
      <c r="D905" s="46" t="s">
        <v>10</v>
      </c>
      <c r="E905" s="44">
        <v>1</v>
      </c>
      <c r="F905" s="31">
        <f>TRUNC(550.59,2)</f>
        <v>550.59</v>
      </c>
      <c r="G905" s="32">
        <f>TRUNC(E905*F905,2)</f>
        <v>550.59</v>
      </c>
      <c r="H905" s="32"/>
      <c r="I905" s="33"/>
      <c r="J905" s="33"/>
      <c r="K905" s="44"/>
    </row>
    <row r="906" spans="1:11" s="34" customFormat="1" ht="15">
      <c r="A906" s="30"/>
      <c r="B906" s="43" t="s">
        <v>283</v>
      </c>
      <c r="C906" s="45" t="s">
        <v>32</v>
      </c>
      <c r="D906" s="46" t="s">
        <v>4</v>
      </c>
      <c r="E906" s="44">
        <v>0.3474</v>
      </c>
      <c r="F906" s="31">
        <f>TRUNC(21.13,2)</f>
        <v>21.13</v>
      </c>
      <c r="G906" s="32">
        <f>TRUNC(E906*F906,2)</f>
        <v>7.34</v>
      </c>
      <c r="H906" s="32"/>
      <c r="I906" s="33"/>
      <c r="J906" s="33"/>
      <c r="K906" s="44"/>
    </row>
    <row r="907" spans="1:11" s="34" customFormat="1" ht="15">
      <c r="A907" s="30"/>
      <c r="B907" s="43" t="s">
        <v>306</v>
      </c>
      <c r="C907" s="45" t="s">
        <v>307</v>
      </c>
      <c r="D907" s="46" t="s">
        <v>4</v>
      </c>
      <c r="E907" s="44">
        <v>0.3474</v>
      </c>
      <c r="F907" s="31">
        <f>TRUNC(26.76,2)</f>
        <v>26.76</v>
      </c>
      <c r="G907" s="32">
        <f>TRUNC(E907*F907,2)</f>
        <v>9.29</v>
      </c>
      <c r="H907" s="32"/>
      <c r="I907" s="33"/>
      <c r="J907" s="33"/>
      <c r="K907" s="44"/>
    </row>
    <row r="908" spans="1:11" s="34" customFormat="1" ht="30">
      <c r="A908" s="30"/>
      <c r="B908" s="43" t="s">
        <v>1576</v>
      </c>
      <c r="C908" s="45" t="s">
        <v>1577</v>
      </c>
      <c r="D908" s="46" t="s">
        <v>1</v>
      </c>
      <c r="E908" s="44">
        <v>0.0141</v>
      </c>
      <c r="F908" s="31">
        <f>TRUNC(197.44,2)</f>
        <v>197.44</v>
      </c>
      <c r="G908" s="32">
        <f>TRUNC(E908*F908,2)</f>
        <v>2.78</v>
      </c>
      <c r="H908" s="32"/>
      <c r="I908" s="33"/>
      <c r="J908" s="33"/>
      <c r="K908" s="44"/>
    </row>
    <row r="909" spans="1:11" s="34" customFormat="1" ht="15">
      <c r="A909" s="30"/>
      <c r="B909" s="43"/>
      <c r="C909" s="45"/>
      <c r="D909" s="46"/>
      <c r="E909" s="44" t="s">
        <v>5</v>
      </c>
      <c r="F909" s="31"/>
      <c r="G909" s="32">
        <f>TRUNC(SUM(G905:G908),2)</f>
        <v>570</v>
      </c>
      <c r="H909" s="32"/>
      <c r="I909" s="33"/>
      <c r="J909" s="33"/>
      <c r="K909" s="44"/>
    </row>
    <row r="910" spans="1:11" s="88" customFormat="1" ht="45">
      <c r="A910" s="80" t="s">
        <v>1633</v>
      </c>
      <c r="B910" s="81" t="s">
        <v>1542</v>
      </c>
      <c r="C910" s="82" t="s">
        <v>1543</v>
      </c>
      <c r="D910" s="83" t="s">
        <v>10</v>
      </c>
      <c r="E910" s="84">
        <v>7</v>
      </c>
      <c r="F910" s="85">
        <f>TRUNC(G921,2)</f>
        <v>1020.13</v>
      </c>
      <c r="G910" s="86">
        <f>TRUNC(F910*1.2882,2)</f>
        <v>1314.13</v>
      </c>
      <c r="H910" s="86">
        <f>TRUNC(F910*E910,2)</f>
        <v>7140.91</v>
      </c>
      <c r="I910" s="87">
        <f>TRUNC(E910*G910,2)</f>
        <v>9198.91</v>
      </c>
      <c r="J910" s="87"/>
      <c r="K910" s="84"/>
    </row>
    <row r="911" spans="1:11" s="34" customFormat="1" ht="15">
      <c r="A911" s="30"/>
      <c r="B911" s="43" t="s">
        <v>685</v>
      </c>
      <c r="C911" s="45" t="s">
        <v>686</v>
      </c>
      <c r="D911" s="46" t="s">
        <v>10</v>
      </c>
      <c r="E911" s="44">
        <v>250.8106</v>
      </c>
      <c r="F911" s="31">
        <f>TRUNC(0.77,2)</f>
        <v>0.77</v>
      </c>
      <c r="G911" s="32">
        <f aca="true" t="shared" si="46" ref="G911:G920">TRUNC(E911*F911,2)</f>
        <v>193.12</v>
      </c>
      <c r="H911" s="32"/>
      <c r="I911" s="33"/>
      <c r="J911" s="33"/>
      <c r="K911" s="44"/>
    </row>
    <row r="912" spans="1:11" s="34" customFormat="1" ht="15">
      <c r="A912" s="30"/>
      <c r="B912" s="43" t="s">
        <v>283</v>
      </c>
      <c r="C912" s="45" t="s">
        <v>32</v>
      </c>
      <c r="D912" s="46" t="s">
        <v>4</v>
      </c>
      <c r="E912" s="44">
        <v>10.0778</v>
      </c>
      <c r="F912" s="31">
        <f>TRUNC(21.13,2)</f>
        <v>21.13</v>
      </c>
      <c r="G912" s="32">
        <f t="shared" si="46"/>
        <v>212.94</v>
      </c>
      <c r="H912" s="32"/>
      <c r="I912" s="33"/>
      <c r="J912" s="33"/>
      <c r="K912" s="44"/>
    </row>
    <row r="913" spans="1:11" s="34" customFormat="1" ht="15">
      <c r="A913" s="30"/>
      <c r="B913" s="43" t="s">
        <v>306</v>
      </c>
      <c r="C913" s="45" t="s">
        <v>307</v>
      </c>
      <c r="D913" s="46" t="s">
        <v>4</v>
      </c>
      <c r="E913" s="44">
        <v>10.0778</v>
      </c>
      <c r="F913" s="31">
        <f>TRUNC(26.76,2)</f>
        <v>26.76</v>
      </c>
      <c r="G913" s="32">
        <f t="shared" si="46"/>
        <v>269.68</v>
      </c>
      <c r="H913" s="32"/>
      <c r="I913" s="33"/>
      <c r="J913" s="33"/>
      <c r="K913" s="44"/>
    </row>
    <row r="914" spans="1:11" s="34" customFormat="1" ht="30">
      <c r="A914" s="30"/>
      <c r="B914" s="43" t="s">
        <v>1544</v>
      </c>
      <c r="C914" s="45" t="s">
        <v>1545</v>
      </c>
      <c r="D914" s="46" t="s">
        <v>0</v>
      </c>
      <c r="E914" s="44">
        <v>1.69</v>
      </c>
      <c r="F914" s="31">
        <f>TRUNC(3.05,2)</f>
        <v>3.05</v>
      </c>
      <c r="G914" s="32">
        <f t="shared" si="46"/>
        <v>5.15</v>
      </c>
      <c r="H914" s="32"/>
      <c r="I914" s="33"/>
      <c r="J914" s="33"/>
      <c r="K914" s="44"/>
    </row>
    <row r="915" spans="1:11" s="34" customFormat="1" ht="45">
      <c r="A915" s="30"/>
      <c r="B915" s="43" t="s">
        <v>657</v>
      </c>
      <c r="C915" s="45" t="s">
        <v>658</v>
      </c>
      <c r="D915" s="46" t="s">
        <v>1</v>
      </c>
      <c r="E915" s="44">
        <v>0.205</v>
      </c>
      <c r="F915" s="31">
        <f>TRUNC(573.5,2)</f>
        <v>573.5</v>
      </c>
      <c r="G915" s="32">
        <f t="shared" si="46"/>
        <v>117.56</v>
      </c>
      <c r="H915" s="32"/>
      <c r="I915" s="33"/>
      <c r="J915" s="33"/>
      <c r="K915" s="44"/>
    </row>
    <row r="916" spans="1:11" s="34" customFormat="1" ht="30">
      <c r="A916" s="30"/>
      <c r="B916" s="43" t="s">
        <v>1546</v>
      </c>
      <c r="C916" s="45" t="s">
        <v>1547</v>
      </c>
      <c r="D916" s="46" t="s">
        <v>1</v>
      </c>
      <c r="E916" s="44">
        <v>0.1008</v>
      </c>
      <c r="F916" s="31">
        <f>TRUNC(1531.51,2)</f>
        <v>1531.51</v>
      </c>
      <c r="G916" s="32">
        <f t="shared" si="46"/>
        <v>154.37</v>
      </c>
      <c r="H916" s="32"/>
      <c r="I916" s="33"/>
      <c r="J916" s="33"/>
      <c r="K916" s="44"/>
    </row>
    <row r="917" spans="1:11" s="34" customFormat="1" ht="30">
      <c r="A917" s="30"/>
      <c r="B917" s="43" t="s">
        <v>661</v>
      </c>
      <c r="C917" s="45" t="s">
        <v>662</v>
      </c>
      <c r="D917" s="46" t="s">
        <v>1</v>
      </c>
      <c r="E917" s="44">
        <v>0.1675</v>
      </c>
      <c r="F917" s="31">
        <f>TRUNC(361.79,2)</f>
        <v>361.79</v>
      </c>
      <c r="G917" s="32">
        <f t="shared" si="46"/>
        <v>60.59</v>
      </c>
      <c r="H917" s="32"/>
      <c r="I917" s="33"/>
      <c r="J917" s="33"/>
      <c r="K917" s="44"/>
    </row>
    <row r="918" spans="1:11" s="34" customFormat="1" ht="45">
      <c r="A918" s="30"/>
      <c r="B918" s="43" t="s">
        <v>663</v>
      </c>
      <c r="C918" s="45" t="s">
        <v>664</v>
      </c>
      <c r="D918" s="46" t="s">
        <v>1</v>
      </c>
      <c r="E918" s="44">
        <v>0.0021</v>
      </c>
      <c r="F918" s="31">
        <f>TRUNC(395.72,2)</f>
        <v>395.72</v>
      </c>
      <c r="G918" s="32">
        <f t="shared" si="46"/>
        <v>0.83</v>
      </c>
      <c r="H918" s="32"/>
      <c r="I918" s="33"/>
      <c r="J918" s="33"/>
      <c r="K918" s="44"/>
    </row>
    <row r="919" spans="1:11" s="34" customFormat="1" ht="60">
      <c r="A919" s="30"/>
      <c r="B919" s="43" t="s">
        <v>665</v>
      </c>
      <c r="C919" s="45" t="s">
        <v>666</v>
      </c>
      <c r="D919" s="46" t="s">
        <v>38</v>
      </c>
      <c r="E919" s="44">
        <v>0.0664</v>
      </c>
      <c r="F919" s="31">
        <f>TRUNC(53.55,2)</f>
        <v>53.55</v>
      </c>
      <c r="G919" s="32">
        <f t="shared" si="46"/>
        <v>3.55</v>
      </c>
      <c r="H919" s="32"/>
      <c r="I919" s="33"/>
      <c r="J919" s="33"/>
      <c r="K919" s="44"/>
    </row>
    <row r="920" spans="1:11" s="34" customFormat="1" ht="60">
      <c r="A920" s="30"/>
      <c r="B920" s="43" t="s">
        <v>667</v>
      </c>
      <c r="C920" s="45" t="s">
        <v>668</v>
      </c>
      <c r="D920" s="46" t="s">
        <v>21</v>
      </c>
      <c r="E920" s="44">
        <v>0.0197</v>
      </c>
      <c r="F920" s="31">
        <f>TRUNC(118.98,2)</f>
        <v>118.98</v>
      </c>
      <c r="G920" s="32">
        <f t="shared" si="46"/>
        <v>2.34</v>
      </c>
      <c r="H920" s="32"/>
      <c r="I920" s="33"/>
      <c r="J920" s="33"/>
      <c r="K920" s="44"/>
    </row>
    <row r="921" spans="1:11" s="34" customFormat="1" ht="15">
      <c r="A921" s="30"/>
      <c r="B921" s="43"/>
      <c r="C921" s="45"/>
      <c r="D921" s="46"/>
      <c r="E921" s="44" t="s">
        <v>5</v>
      </c>
      <c r="F921" s="31"/>
      <c r="G921" s="32">
        <f>TRUNC(SUM(G911:G920),2)</f>
        <v>1020.13</v>
      </c>
      <c r="H921" s="32"/>
      <c r="I921" s="33"/>
      <c r="J921" s="33"/>
      <c r="K921" s="44"/>
    </row>
    <row r="922" spans="1:11" s="88" customFormat="1" ht="75">
      <c r="A922" s="80" t="s">
        <v>1634</v>
      </c>
      <c r="B922" s="81" t="s">
        <v>1548</v>
      </c>
      <c r="C922" s="82" t="s">
        <v>1549</v>
      </c>
      <c r="D922" s="83" t="s">
        <v>10</v>
      </c>
      <c r="E922" s="84">
        <v>2</v>
      </c>
      <c r="F922" s="85">
        <f>TRUNC(G936,2)</f>
        <v>2179.55</v>
      </c>
      <c r="G922" s="86">
        <f>TRUNC(F922*1.2882,2)</f>
        <v>2807.69</v>
      </c>
      <c r="H922" s="86">
        <f>TRUNC(F922*E922,2)</f>
        <v>4359.1</v>
      </c>
      <c r="I922" s="87">
        <f>TRUNC(E922*G922,2)</f>
        <v>5615.38</v>
      </c>
      <c r="J922" s="87"/>
      <c r="K922" s="84"/>
    </row>
    <row r="923" spans="1:11" s="34" customFormat="1" ht="15">
      <c r="A923" s="30"/>
      <c r="B923" s="43" t="s">
        <v>716</v>
      </c>
      <c r="C923" s="45" t="s">
        <v>717</v>
      </c>
      <c r="D923" s="46" t="s">
        <v>10</v>
      </c>
      <c r="E923" s="44">
        <v>1098</v>
      </c>
      <c r="F923" s="31">
        <f>TRUNC(1.05,2)</f>
        <v>1.05</v>
      </c>
      <c r="G923" s="32">
        <f aca="true" t="shared" si="47" ref="G923:G935">TRUNC(E923*F923,2)</f>
        <v>1152.9</v>
      </c>
      <c r="H923" s="32"/>
      <c r="I923" s="33"/>
      <c r="J923" s="33"/>
      <c r="K923" s="44"/>
    </row>
    <row r="924" spans="1:11" s="34" customFormat="1" ht="30">
      <c r="A924" s="30"/>
      <c r="B924" s="43" t="s">
        <v>63</v>
      </c>
      <c r="C924" s="45" t="s">
        <v>64</v>
      </c>
      <c r="D924" s="46" t="s">
        <v>3</v>
      </c>
      <c r="E924" s="44">
        <v>0.25</v>
      </c>
      <c r="F924" s="31">
        <f>TRUNC(15.94,2)</f>
        <v>15.94</v>
      </c>
      <c r="G924" s="32">
        <f t="shared" si="47"/>
        <v>3.98</v>
      </c>
      <c r="H924" s="32"/>
      <c r="I924" s="33"/>
      <c r="J924" s="33"/>
      <c r="K924" s="44"/>
    </row>
    <row r="925" spans="1:11" s="34" customFormat="1" ht="15">
      <c r="A925" s="30"/>
      <c r="B925" s="43" t="s">
        <v>718</v>
      </c>
      <c r="C925" s="45" t="s">
        <v>719</v>
      </c>
      <c r="D925" s="46" t="s">
        <v>2</v>
      </c>
      <c r="E925" s="44">
        <v>1.6</v>
      </c>
      <c r="F925" s="31">
        <f>TRUNC(9.23,2)</f>
        <v>9.23</v>
      </c>
      <c r="G925" s="32">
        <f t="shared" si="47"/>
        <v>14.76</v>
      </c>
      <c r="H925" s="32"/>
      <c r="I925" s="33"/>
      <c r="J925" s="33"/>
      <c r="K925" s="44"/>
    </row>
    <row r="926" spans="1:11" s="34" customFormat="1" ht="15">
      <c r="A926" s="30"/>
      <c r="B926" s="43" t="s">
        <v>720</v>
      </c>
      <c r="C926" s="45" t="s">
        <v>721</v>
      </c>
      <c r="D926" s="46" t="s">
        <v>3</v>
      </c>
      <c r="E926" s="44">
        <v>15</v>
      </c>
      <c r="F926" s="31">
        <f>TRUNC(9.8,2)</f>
        <v>9.8</v>
      </c>
      <c r="G926" s="32">
        <f t="shared" si="47"/>
        <v>147</v>
      </c>
      <c r="H926" s="32"/>
      <c r="I926" s="33"/>
      <c r="J926" s="33"/>
      <c r="K926" s="44"/>
    </row>
    <row r="927" spans="1:11" s="34" customFormat="1" ht="30">
      <c r="A927" s="30"/>
      <c r="B927" s="43" t="s">
        <v>26</v>
      </c>
      <c r="C927" s="45" t="s">
        <v>27</v>
      </c>
      <c r="D927" s="46" t="s">
        <v>4</v>
      </c>
      <c r="E927" s="44">
        <v>11.948</v>
      </c>
      <c r="F927" s="31">
        <f>TRUNC(14.34,2)</f>
        <v>14.34</v>
      </c>
      <c r="G927" s="32">
        <f t="shared" si="47"/>
        <v>171.33</v>
      </c>
      <c r="H927" s="32"/>
      <c r="I927" s="33"/>
      <c r="J927" s="33"/>
      <c r="K927" s="44"/>
    </row>
    <row r="928" spans="1:11" s="34" customFormat="1" ht="15">
      <c r="A928" s="30"/>
      <c r="B928" s="43" t="s">
        <v>239</v>
      </c>
      <c r="C928" s="45" t="s">
        <v>240</v>
      </c>
      <c r="D928" s="46" t="s">
        <v>4</v>
      </c>
      <c r="E928" s="44">
        <v>11.948</v>
      </c>
      <c r="F928" s="31">
        <f>TRUNC(19.81,2)</f>
        <v>19.81</v>
      </c>
      <c r="G928" s="32">
        <f t="shared" si="47"/>
        <v>236.68</v>
      </c>
      <c r="H928" s="32"/>
      <c r="I928" s="33"/>
      <c r="J928" s="33"/>
      <c r="K928" s="44"/>
    </row>
    <row r="929" spans="1:11" s="34" customFormat="1" ht="15">
      <c r="A929" s="30"/>
      <c r="B929" s="43" t="s">
        <v>722</v>
      </c>
      <c r="C929" s="45" t="s">
        <v>723</v>
      </c>
      <c r="D929" s="46" t="s">
        <v>0</v>
      </c>
      <c r="E929" s="44">
        <v>4.32</v>
      </c>
      <c r="F929" s="31">
        <f>TRUNC(25.5058,2)</f>
        <v>25.5</v>
      </c>
      <c r="G929" s="32">
        <f t="shared" si="47"/>
        <v>110.16</v>
      </c>
      <c r="H929" s="32"/>
      <c r="I929" s="33"/>
      <c r="J929" s="33"/>
      <c r="K929" s="44"/>
    </row>
    <row r="930" spans="1:11" s="34" customFormat="1" ht="15">
      <c r="A930" s="30"/>
      <c r="B930" s="43" t="s">
        <v>724</v>
      </c>
      <c r="C930" s="45" t="s">
        <v>725</v>
      </c>
      <c r="D930" s="46" t="s">
        <v>1</v>
      </c>
      <c r="E930" s="44">
        <v>0.02</v>
      </c>
      <c r="F930" s="31">
        <f>TRUNC(2074.2953,2)</f>
        <v>2074.29</v>
      </c>
      <c r="G930" s="32">
        <f t="shared" si="47"/>
        <v>41.48</v>
      </c>
      <c r="H930" s="32"/>
      <c r="I930" s="33"/>
      <c r="J930" s="33"/>
      <c r="K930" s="44"/>
    </row>
    <row r="931" spans="1:11" s="34" customFormat="1" ht="15">
      <c r="A931" s="30"/>
      <c r="B931" s="43" t="s">
        <v>219</v>
      </c>
      <c r="C931" s="45" t="s">
        <v>220</v>
      </c>
      <c r="D931" s="46" t="s">
        <v>1</v>
      </c>
      <c r="E931" s="44">
        <v>0.57</v>
      </c>
      <c r="F931" s="31">
        <f>TRUNC(65.3829,2)</f>
        <v>65.38</v>
      </c>
      <c r="G931" s="32">
        <f t="shared" si="47"/>
        <v>37.26</v>
      </c>
      <c r="H931" s="32"/>
      <c r="I931" s="33"/>
      <c r="J931" s="33"/>
      <c r="K931" s="44"/>
    </row>
    <row r="932" spans="1:11" s="34" customFormat="1" ht="15">
      <c r="A932" s="30"/>
      <c r="B932" s="43" t="s">
        <v>217</v>
      </c>
      <c r="C932" s="45" t="s">
        <v>218</v>
      </c>
      <c r="D932" s="46" t="s">
        <v>1</v>
      </c>
      <c r="E932" s="44">
        <v>0.57</v>
      </c>
      <c r="F932" s="31">
        <f>TRUNC(72.3465,2)</f>
        <v>72.34</v>
      </c>
      <c r="G932" s="32">
        <f t="shared" si="47"/>
        <v>41.23</v>
      </c>
      <c r="H932" s="32"/>
      <c r="I932" s="33"/>
      <c r="J932" s="33"/>
      <c r="K932" s="44"/>
    </row>
    <row r="933" spans="1:11" s="34" customFormat="1" ht="15">
      <c r="A933" s="30"/>
      <c r="B933" s="43" t="s">
        <v>215</v>
      </c>
      <c r="C933" s="45" t="s">
        <v>216</v>
      </c>
      <c r="D933" s="46" t="s">
        <v>1</v>
      </c>
      <c r="E933" s="44">
        <v>0.1814</v>
      </c>
      <c r="F933" s="31">
        <f>TRUNC(277.3833,2)</f>
        <v>277.38</v>
      </c>
      <c r="G933" s="32">
        <f t="shared" si="47"/>
        <v>50.31</v>
      </c>
      <c r="H933" s="32"/>
      <c r="I933" s="33"/>
      <c r="J933" s="33"/>
      <c r="K933" s="44"/>
    </row>
    <row r="934" spans="1:11" s="34" customFormat="1" ht="15">
      <c r="A934" s="30"/>
      <c r="B934" s="43" t="s">
        <v>213</v>
      </c>
      <c r="C934" s="45" t="s">
        <v>214</v>
      </c>
      <c r="D934" s="46" t="s">
        <v>1</v>
      </c>
      <c r="E934" s="44">
        <v>0.0756</v>
      </c>
      <c r="F934" s="31">
        <f>TRUNC(258.9348,2)</f>
        <v>258.93</v>
      </c>
      <c r="G934" s="32">
        <f t="shared" si="47"/>
        <v>19.57</v>
      </c>
      <c r="H934" s="32"/>
      <c r="I934" s="33"/>
      <c r="J934" s="33"/>
      <c r="K934" s="44"/>
    </row>
    <row r="935" spans="1:11" s="34" customFormat="1" ht="15">
      <c r="A935" s="30"/>
      <c r="B935" s="43" t="s">
        <v>376</v>
      </c>
      <c r="C935" s="45" t="s">
        <v>377</v>
      </c>
      <c r="D935" s="46" t="s">
        <v>1</v>
      </c>
      <c r="E935" s="44">
        <v>0.48</v>
      </c>
      <c r="F935" s="31">
        <f>TRUNC(318.5302,2)</f>
        <v>318.53</v>
      </c>
      <c r="G935" s="32">
        <f t="shared" si="47"/>
        <v>152.89</v>
      </c>
      <c r="H935" s="32"/>
      <c r="I935" s="33"/>
      <c r="J935" s="33"/>
      <c r="K935" s="44"/>
    </row>
    <row r="936" spans="1:11" s="34" customFormat="1" ht="15">
      <c r="A936" s="30"/>
      <c r="B936" s="43"/>
      <c r="C936" s="45"/>
      <c r="D936" s="46"/>
      <c r="E936" s="44" t="s">
        <v>5</v>
      </c>
      <c r="F936" s="31"/>
      <c r="G936" s="32">
        <f>TRUNC(SUM(G923:G935),2)</f>
        <v>2179.55</v>
      </c>
      <c r="H936" s="32"/>
      <c r="I936" s="33"/>
      <c r="J936" s="33"/>
      <c r="K936" s="44"/>
    </row>
    <row r="937" spans="1:11" s="88" customFormat="1" ht="60">
      <c r="A937" s="80" t="s">
        <v>1635</v>
      </c>
      <c r="B937" s="81" t="s">
        <v>1584</v>
      </c>
      <c r="C937" s="82" t="s">
        <v>1585</v>
      </c>
      <c r="D937" s="83" t="s">
        <v>0</v>
      </c>
      <c r="E937" s="84">
        <v>7.84</v>
      </c>
      <c r="F937" s="85">
        <f>TRUNC(G943,2)</f>
        <v>116.97</v>
      </c>
      <c r="G937" s="86">
        <f>TRUNC(F937*1.2882,2)</f>
        <v>150.68</v>
      </c>
      <c r="H937" s="86">
        <f>TRUNC(F937*E937,2)</f>
        <v>917.04</v>
      </c>
      <c r="I937" s="87">
        <f>TRUNC(E937*G937,2)</f>
        <v>1181.33</v>
      </c>
      <c r="J937" s="87"/>
      <c r="K937" s="84"/>
    </row>
    <row r="938" spans="1:11" s="34" customFormat="1" ht="15">
      <c r="A938" s="30"/>
      <c r="B938" s="43" t="s">
        <v>1579</v>
      </c>
      <c r="C938" s="45" t="s">
        <v>1580</v>
      </c>
      <c r="D938" s="46" t="s">
        <v>10</v>
      </c>
      <c r="E938" s="44">
        <v>13</v>
      </c>
      <c r="F938" s="31">
        <f>TRUNC(3.25,2)</f>
        <v>3.25</v>
      </c>
      <c r="G938" s="32">
        <f>TRUNC(E938*F938,2)</f>
        <v>42.25</v>
      </c>
      <c r="H938" s="32"/>
      <c r="I938" s="33"/>
      <c r="J938" s="33"/>
      <c r="K938" s="44"/>
    </row>
    <row r="939" spans="1:11" s="34" customFormat="1" ht="30">
      <c r="A939" s="30"/>
      <c r="B939" s="43" t="s">
        <v>26</v>
      </c>
      <c r="C939" s="45" t="s">
        <v>27</v>
      </c>
      <c r="D939" s="46" t="s">
        <v>4</v>
      </c>
      <c r="E939" s="44">
        <v>1.03</v>
      </c>
      <c r="F939" s="31">
        <f>TRUNC(14.34,2)</f>
        <v>14.34</v>
      </c>
      <c r="G939" s="32">
        <f>TRUNC(E939*F939,2)</f>
        <v>14.77</v>
      </c>
      <c r="H939" s="32"/>
      <c r="I939" s="33"/>
      <c r="J939" s="33"/>
      <c r="K939" s="44"/>
    </row>
    <row r="940" spans="1:11" s="34" customFormat="1" ht="15">
      <c r="A940" s="30"/>
      <c r="B940" s="43" t="s">
        <v>239</v>
      </c>
      <c r="C940" s="45" t="s">
        <v>240</v>
      </c>
      <c r="D940" s="46" t="s">
        <v>4</v>
      </c>
      <c r="E940" s="44">
        <v>1.03</v>
      </c>
      <c r="F940" s="31">
        <f>TRUNC(19.81,2)</f>
        <v>19.81</v>
      </c>
      <c r="G940" s="32">
        <f>TRUNC(E940*F940,2)</f>
        <v>20.4</v>
      </c>
      <c r="H940" s="32"/>
      <c r="I940" s="33"/>
      <c r="J940" s="33"/>
      <c r="K940" s="44"/>
    </row>
    <row r="941" spans="1:11" s="34" customFormat="1" ht="15">
      <c r="A941" s="30"/>
      <c r="B941" s="43" t="s">
        <v>1581</v>
      </c>
      <c r="C941" s="45" t="s">
        <v>1582</v>
      </c>
      <c r="D941" s="46" t="s">
        <v>1</v>
      </c>
      <c r="E941" s="44">
        <v>0.11</v>
      </c>
      <c r="F941" s="31">
        <f>TRUNC(297.6517,2)</f>
        <v>297.65</v>
      </c>
      <c r="G941" s="32">
        <f>TRUNC(E941*F941,2)</f>
        <v>32.74</v>
      </c>
      <c r="H941" s="32"/>
      <c r="I941" s="33"/>
      <c r="J941" s="33"/>
      <c r="K941" s="44"/>
    </row>
    <row r="942" spans="1:11" s="34" customFormat="1" ht="15">
      <c r="A942" s="30"/>
      <c r="B942" s="43" t="s">
        <v>602</v>
      </c>
      <c r="C942" s="45" t="s">
        <v>603</v>
      </c>
      <c r="D942" s="46" t="s">
        <v>1</v>
      </c>
      <c r="E942" s="44">
        <v>0.02</v>
      </c>
      <c r="F942" s="31">
        <f>TRUNC(340.5402,2)</f>
        <v>340.54</v>
      </c>
      <c r="G942" s="32">
        <f>TRUNC(E942*F942,2)</f>
        <v>6.81</v>
      </c>
      <c r="H942" s="32"/>
      <c r="I942" s="33"/>
      <c r="J942" s="33"/>
      <c r="K942" s="44"/>
    </row>
    <row r="943" spans="1:11" s="34" customFormat="1" ht="15">
      <c r="A943" s="30"/>
      <c r="B943" s="43"/>
      <c r="C943" s="45"/>
      <c r="D943" s="46"/>
      <c r="E943" s="44" t="s">
        <v>5</v>
      </c>
      <c r="F943" s="31"/>
      <c r="G943" s="32">
        <f>TRUNC(SUM(G938:G942),2)</f>
        <v>116.97</v>
      </c>
      <c r="H943" s="32"/>
      <c r="I943" s="33"/>
      <c r="J943" s="33"/>
      <c r="K943" s="44"/>
    </row>
    <row r="944" spans="1:11" s="88" customFormat="1" ht="74.25">
      <c r="A944" s="80" t="s">
        <v>1636</v>
      </c>
      <c r="B944" s="81" t="s">
        <v>1578</v>
      </c>
      <c r="C944" s="82" t="s">
        <v>1583</v>
      </c>
      <c r="D944" s="83" t="s">
        <v>0</v>
      </c>
      <c r="E944" s="84">
        <v>5.76</v>
      </c>
      <c r="F944" s="85">
        <f>TRUNC(G950,2)</f>
        <v>124</v>
      </c>
      <c r="G944" s="86">
        <f>TRUNC(F944*1.2882,2)</f>
        <v>159.73</v>
      </c>
      <c r="H944" s="86">
        <f>TRUNC(F944*E944,2)</f>
        <v>714.24</v>
      </c>
      <c r="I944" s="87">
        <f>TRUNC(E944*G944,2)</f>
        <v>920.04</v>
      </c>
      <c r="J944" s="87"/>
      <c r="K944" s="84"/>
    </row>
    <row r="945" spans="1:11" s="34" customFormat="1" ht="15">
      <c r="A945" s="30"/>
      <c r="B945" s="43" t="s">
        <v>1579</v>
      </c>
      <c r="C945" s="45" t="s">
        <v>1580</v>
      </c>
      <c r="D945" s="46" t="s">
        <v>10</v>
      </c>
      <c r="E945" s="44">
        <v>13</v>
      </c>
      <c r="F945" s="31">
        <f>TRUNC(3.25,2)</f>
        <v>3.25</v>
      </c>
      <c r="G945" s="32">
        <f>TRUNC(E945*F945,2)</f>
        <v>42.25</v>
      </c>
      <c r="H945" s="32"/>
      <c r="I945" s="33"/>
      <c r="J945" s="33"/>
      <c r="K945" s="44"/>
    </row>
    <row r="946" spans="1:11" s="34" customFormat="1" ht="30">
      <c r="A946" s="30"/>
      <c r="B946" s="43" t="s">
        <v>26</v>
      </c>
      <c r="C946" s="45" t="s">
        <v>27</v>
      </c>
      <c r="D946" s="46" t="s">
        <v>4</v>
      </c>
      <c r="E946" s="44">
        <v>1.236</v>
      </c>
      <c r="F946" s="31">
        <f>TRUNC(14.34,2)</f>
        <v>14.34</v>
      </c>
      <c r="G946" s="32">
        <f>TRUNC(E946*F946,2)</f>
        <v>17.72</v>
      </c>
      <c r="H946" s="32"/>
      <c r="I946" s="33"/>
      <c r="J946" s="33"/>
      <c r="K946" s="44"/>
    </row>
    <row r="947" spans="1:11" s="34" customFormat="1" ht="15">
      <c r="A947" s="30"/>
      <c r="B947" s="43" t="s">
        <v>239</v>
      </c>
      <c r="C947" s="45" t="s">
        <v>240</v>
      </c>
      <c r="D947" s="46" t="s">
        <v>4</v>
      </c>
      <c r="E947" s="44">
        <v>1.236</v>
      </c>
      <c r="F947" s="31">
        <f>TRUNC(19.81,2)</f>
        <v>19.81</v>
      </c>
      <c r="G947" s="32">
        <f>TRUNC(E947*F947,2)</f>
        <v>24.48</v>
      </c>
      <c r="H947" s="32"/>
      <c r="I947" s="33"/>
      <c r="J947" s="33"/>
      <c r="K947" s="44"/>
    </row>
    <row r="948" spans="1:11" s="34" customFormat="1" ht="15">
      <c r="A948" s="30"/>
      <c r="B948" s="43" t="s">
        <v>1581</v>
      </c>
      <c r="C948" s="45" t="s">
        <v>1582</v>
      </c>
      <c r="D948" s="46" t="s">
        <v>1</v>
      </c>
      <c r="E948" s="44">
        <v>0.11</v>
      </c>
      <c r="F948" s="31">
        <f>TRUNC(297.6517,2)</f>
        <v>297.65</v>
      </c>
      <c r="G948" s="32">
        <f>TRUNC(E948*F948,2)</f>
        <v>32.74</v>
      </c>
      <c r="H948" s="32"/>
      <c r="I948" s="33"/>
      <c r="J948" s="33"/>
      <c r="K948" s="44"/>
    </row>
    <row r="949" spans="1:11" s="34" customFormat="1" ht="15">
      <c r="A949" s="30"/>
      <c r="B949" s="43" t="s">
        <v>602</v>
      </c>
      <c r="C949" s="45" t="s">
        <v>603</v>
      </c>
      <c r="D949" s="46" t="s">
        <v>1</v>
      </c>
      <c r="E949" s="44">
        <v>0.02</v>
      </c>
      <c r="F949" s="31">
        <f>TRUNC(340.5402,2)</f>
        <v>340.54</v>
      </c>
      <c r="G949" s="32">
        <f>TRUNC(E949*F949,2)</f>
        <v>6.81</v>
      </c>
      <c r="H949" s="32"/>
      <c r="I949" s="33"/>
      <c r="J949" s="33"/>
      <c r="K949" s="44"/>
    </row>
    <row r="950" spans="1:11" s="34" customFormat="1" ht="15">
      <c r="A950" s="30"/>
      <c r="B950" s="43"/>
      <c r="C950" s="45"/>
      <c r="D950" s="46"/>
      <c r="E950" s="44" t="s">
        <v>5</v>
      </c>
      <c r="F950" s="31"/>
      <c r="G950" s="32">
        <f>TRUNC(SUM(G945:G949),2)</f>
        <v>124</v>
      </c>
      <c r="H950" s="32"/>
      <c r="I950" s="33"/>
      <c r="J950" s="33"/>
      <c r="K950" s="44"/>
    </row>
    <row r="951" spans="1:11" s="88" customFormat="1" ht="74.25">
      <c r="A951" s="80" t="s">
        <v>1637</v>
      </c>
      <c r="B951" s="81" t="s">
        <v>1578</v>
      </c>
      <c r="C951" s="82" t="s">
        <v>1586</v>
      </c>
      <c r="D951" s="83" t="s">
        <v>0</v>
      </c>
      <c r="E951" s="84">
        <v>5.29</v>
      </c>
      <c r="F951" s="85">
        <f>TRUNC(G957,2)</f>
        <v>124</v>
      </c>
      <c r="G951" s="86">
        <f>TRUNC(F951*1.2882,2)</f>
        <v>159.73</v>
      </c>
      <c r="H951" s="86">
        <f>TRUNC(F951*E951,2)</f>
        <v>655.96</v>
      </c>
      <c r="I951" s="87">
        <f>TRUNC(E951*G951,2)</f>
        <v>844.97</v>
      </c>
      <c r="J951" s="87"/>
      <c r="K951" s="84"/>
    </row>
    <row r="952" spans="1:11" s="34" customFormat="1" ht="15">
      <c r="A952" s="30"/>
      <c r="B952" s="43" t="s">
        <v>1579</v>
      </c>
      <c r="C952" s="45" t="s">
        <v>1580</v>
      </c>
      <c r="D952" s="46" t="s">
        <v>10</v>
      </c>
      <c r="E952" s="44">
        <v>13</v>
      </c>
      <c r="F952" s="31">
        <f>TRUNC(3.25,2)</f>
        <v>3.25</v>
      </c>
      <c r="G952" s="32">
        <f>TRUNC(E952*F952,2)</f>
        <v>42.25</v>
      </c>
      <c r="H952" s="32"/>
      <c r="I952" s="33"/>
      <c r="J952" s="33"/>
      <c r="K952" s="44"/>
    </row>
    <row r="953" spans="1:11" s="34" customFormat="1" ht="30">
      <c r="A953" s="30"/>
      <c r="B953" s="43" t="s">
        <v>26</v>
      </c>
      <c r="C953" s="45" t="s">
        <v>27</v>
      </c>
      <c r="D953" s="46" t="s">
        <v>4</v>
      </c>
      <c r="E953" s="44">
        <v>1.236</v>
      </c>
      <c r="F953" s="31">
        <f>TRUNC(14.34,2)</f>
        <v>14.34</v>
      </c>
      <c r="G953" s="32">
        <f>TRUNC(E953*F953,2)</f>
        <v>17.72</v>
      </c>
      <c r="H953" s="32"/>
      <c r="I953" s="33"/>
      <c r="J953" s="33"/>
      <c r="K953" s="44"/>
    </row>
    <row r="954" spans="1:11" s="34" customFormat="1" ht="15">
      <c r="A954" s="30"/>
      <c r="B954" s="43" t="s">
        <v>239</v>
      </c>
      <c r="C954" s="45" t="s">
        <v>240</v>
      </c>
      <c r="D954" s="46" t="s">
        <v>4</v>
      </c>
      <c r="E954" s="44">
        <v>1.236</v>
      </c>
      <c r="F954" s="31">
        <f>TRUNC(19.81,2)</f>
        <v>19.81</v>
      </c>
      <c r="G954" s="32">
        <f>TRUNC(E954*F954,2)</f>
        <v>24.48</v>
      </c>
      <c r="H954" s="32"/>
      <c r="I954" s="33"/>
      <c r="J954" s="33"/>
      <c r="K954" s="44"/>
    </row>
    <row r="955" spans="1:11" s="34" customFormat="1" ht="15">
      <c r="A955" s="30"/>
      <c r="B955" s="43" t="s">
        <v>1581</v>
      </c>
      <c r="C955" s="45" t="s">
        <v>1582</v>
      </c>
      <c r="D955" s="46" t="s">
        <v>1</v>
      </c>
      <c r="E955" s="44">
        <v>0.11</v>
      </c>
      <c r="F955" s="31">
        <f>TRUNC(297.6517,2)</f>
        <v>297.65</v>
      </c>
      <c r="G955" s="32">
        <f>TRUNC(E955*F955,2)</f>
        <v>32.74</v>
      </c>
      <c r="H955" s="32"/>
      <c r="I955" s="33"/>
      <c r="J955" s="33"/>
      <c r="K955" s="44"/>
    </row>
    <row r="956" spans="1:11" s="34" customFormat="1" ht="15">
      <c r="A956" s="30"/>
      <c r="B956" s="43" t="s">
        <v>602</v>
      </c>
      <c r="C956" s="45" t="s">
        <v>603</v>
      </c>
      <c r="D956" s="46" t="s">
        <v>1</v>
      </c>
      <c r="E956" s="44">
        <v>0.02</v>
      </c>
      <c r="F956" s="31">
        <f>TRUNC(340.5402,2)</f>
        <v>340.54</v>
      </c>
      <c r="G956" s="32">
        <f>TRUNC(E956*F956,2)</f>
        <v>6.81</v>
      </c>
      <c r="H956" s="32"/>
      <c r="I956" s="33"/>
      <c r="J956" s="33"/>
      <c r="K956" s="44"/>
    </row>
    <row r="957" spans="1:11" s="34" customFormat="1" ht="15">
      <c r="A957" s="30"/>
      <c r="B957" s="43"/>
      <c r="C957" s="45"/>
      <c r="D957" s="46"/>
      <c r="E957" s="44" t="s">
        <v>5</v>
      </c>
      <c r="F957" s="31"/>
      <c r="G957" s="32">
        <f>TRUNC(SUM(G952:G956),2)</f>
        <v>124</v>
      </c>
      <c r="H957" s="32"/>
      <c r="I957" s="33"/>
      <c r="J957" s="33"/>
      <c r="K957" s="44"/>
    </row>
    <row r="958" spans="1:11" s="88" customFormat="1" ht="74.25">
      <c r="A958" s="80" t="s">
        <v>1638</v>
      </c>
      <c r="B958" s="81" t="s">
        <v>1578</v>
      </c>
      <c r="C958" s="82" t="s">
        <v>1587</v>
      </c>
      <c r="D958" s="83" t="s">
        <v>0</v>
      </c>
      <c r="E958" s="84">
        <v>5.29</v>
      </c>
      <c r="F958" s="85">
        <f>TRUNC(G964,2)</f>
        <v>124</v>
      </c>
      <c r="G958" s="86">
        <f>TRUNC(F958*1.2882,2)</f>
        <v>159.73</v>
      </c>
      <c r="H958" s="86">
        <f>TRUNC(F958*E958,2)</f>
        <v>655.96</v>
      </c>
      <c r="I958" s="87">
        <f>TRUNC(E958*G958,2)</f>
        <v>844.97</v>
      </c>
      <c r="J958" s="87"/>
      <c r="K958" s="84"/>
    </row>
    <row r="959" spans="1:11" s="34" customFormat="1" ht="15">
      <c r="A959" s="30"/>
      <c r="B959" s="43" t="s">
        <v>1579</v>
      </c>
      <c r="C959" s="45" t="s">
        <v>1580</v>
      </c>
      <c r="D959" s="46" t="s">
        <v>10</v>
      </c>
      <c r="E959" s="44">
        <v>13</v>
      </c>
      <c r="F959" s="31">
        <f>TRUNC(3.25,2)</f>
        <v>3.25</v>
      </c>
      <c r="G959" s="32">
        <f>TRUNC(E959*F959,2)</f>
        <v>42.25</v>
      </c>
      <c r="H959" s="32"/>
      <c r="I959" s="33"/>
      <c r="J959" s="33"/>
      <c r="K959" s="44"/>
    </row>
    <row r="960" spans="1:11" s="34" customFormat="1" ht="30">
      <c r="A960" s="30"/>
      <c r="B960" s="43" t="s">
        <v>26</v>
      </c>
      <c r="C960" s="45" t="s">
        <v>27</v>
      </c>
      <c r="D960" s="46" t="s">
        <v>4</v>
      </c>
      <c r="E960" s="44">
        <v>1.236</v>
      </c>
      <c r="F960" s="31">
        <f>TRUNC(14.34,2)</f>
        <v>14.34</v>
      </c>
      <c r="G960" s="32">
        <f>TRUNC(E960*F960,2)</f>
        <v>17.72</v>
      </c>
      <c r="H960" s="32"/>
      <c r="I960" s="33"/>
      <c r="J960" s="33"/>
      <c r="K960" s="44"/>
    </row>
    <row r="961" spans="1:11" s="34" customFormat="1" ht="15">
      <c r="A961" s="30"/>
      <c r="B961" s="43" t="s">
        <v>239</v>
      </c>
      <c r="C961" s="45" t="s">
        <v>240</v>
      </c>
      <c r="D961" s="46" t="s">
        <v>4</v>
      </c>
      <c r="E961" s="44">
        <v>1.236</v>
      </c>
      <c r="F961" s="31">
        <f>TRUNC(19.81,2)</f>
        <v>19.81</v>
      </c>
      <c r="G961" s="32">
        <f>TRUNC(E961*F961,2)</f>
        <v>24.48</v>
      </c>
      <c r="H961" s="32"/>
      <c r="I961" s="33"/>
      <c r="J961" s="33"/>
      <c r="K961" s="44"/>
    </row>
    <row r="962" spans="1:11" s="34" customFormat="1" ht="15">
      <c r="A962" s="30"/>
      <c r="B962" s="43" t="s">
        <v>1581</v>
      </c>
      <c r="C962" s="45" t="s">
        <v>1582</v>
      </c>
      <c r="D962" s="46" t="s">
        <v>1</v>
      </c>
      <c r="E962" s="44">
        <v>0.11</v>
      </c>
      <c r="F962" s="31">
        <f>TRUNC(297.6517,2)</f>
        <v>297.65</v>
      </c>
      <c r="G962" s="32">
        <f>TRUNC(E962*F962,2)</f>
        <v>32.74</v>
      </c>
      <c r="H962" s="32"/>
      <c r="I962" s="33"/>
      <c r="J962" s="33"/>
      <c r="K962" s="44"/>
    </row>
    <row r="963" spans="1:11" s="34" customFormat="1" ht="15">
      <c r="A963" s="30"/>
      <c r="B963" s="43" t="s">
        <v>602</v>
      </c>
      <c r="C963" s="45" t="s">
        <v>603</v>
      </c>
      <c r="D963" s="46" t="s">
        <v>1</v>
      </c>
      <c r="E963" s="44">
        <v>0.02</v>
      </c>
      <c r="F963" s="31">
        <f>TRUNC(340.5402,2)</f>
        <v>340.54</v>
      </c>
      <c r="G963" s="32">
        <f>TRUNC(E963*F963,2)</f>
        <v>6.81</v>
      </c>
      <c r="H963" s="32"/>
      <c r="I963" s="33"/>
      <c r="J963" s="33"/>
      <c r="K963" s="44"/>
    </row>
    <row r="964" spans="1:11" s="34" customFormat="1" ht="15">
      <c r="A964" s="30"/>
      <c r="B964" s="43"/>
      <c r="C964" s="45"/>
      <c r="D964" s="46"/>
      <c r="E964" s="44" t="s">
        <v>5</v>
      </c>
      <c r="F964" s="31"/>
      <c r="G964" s="32">
        <f>TRUNC(SUM(G959:G963),2)</f>
        <v>124</v>
      </c>
      <c r="H964" s="32"/>
      <c r="I964" s="33"/>
      <c r="J964" s="33"/>
      <c r="K964" s="44"/>
    </row>
    <row r="965" spans="1:11" s="88" customFormat="1" ht="45">
      <c r="A965" s="80" t="s">
        <v>1639</v>
      </c>
      <c r="B965" s="81" t="s">
        <v>669</v>
      </c>
      <c r="C965" s="82" t="s">
        <v>670</v>
      </c>
      <c r="D965" s="83" t="s">
        <v>0</v>
      </c>
      <c r="E965" s="84">
        <f>E958+E951+E944+E937</f>
        <v>24.18</v>
      </c>
      <c r="F965" s="85">
        <f>TRUNC(163.142248,2)</f>
        <v>163.14</v>
      </c>
      <c r="G965" s="86">
        <f>TRUNC(F965*1.2882,2)</f>
        <v>210.15</v>
      </c>
      <c r="H965" s="86">
        <f>TRUNC(F965*E965,2)</f>
        <v>3944.72</v>
      </c>
      <c r="I965" s="87">
        <f>TRUNC(E965*G965,2)</f>
        <v>5081.42</v>
      </c>
      <c r="J965" s="87"/>
      <c r="K965" s="84"/>
    </row>
    <row r="966" spans="1:11" s="34" customFormat="1" ht="30">
      <c r="A966" s="30"/>
      <c r="B966" s="43" t="s">
        <v>26</v>
      </c>
      <c r="C966" s="45" t="s">
        <v>27</v>
      </c>
      <c r="D966" s="46" t="s">
        <v>4</v>
      </c>
      <c r="E966" s="44">
        <v>1.03</v>
      </c>
      <c r="F966" s="31">
        <f>TRUNC(14.34,2)</f>
        <v>14.34</v>
      </c>
      <c r="G966" s="32">
        <f aca="true" t="shared" si="48" ref="G966:G972">TRUNC(E966*F966,2)</f>
        <v>14.77</v>
      </c>
      <c r="H966" s="32"/>
      <c r="I966" s="33"/>
      <c r="J966" s="33"/>
      <c r="K966" s="44"/>
    </row>
    <row r="967" spans="1:11" s="34" customFormat="1" ht="15">
      <c r="A967" s="30"/>
      <c r="B967" s="43" t="s">
        <v>671</v>
      </c>
      <c r="C967" s="45" t="s">
        <v>672</v>
      </c>
      <c r="D967" s="46" t="s">
        <v>3</v>
      </c>
      <c r="E967" s="44">
        <v>3.6</v>
      </c>
      <c r="F967" s="31">
        <f>TRUNC(3.6932,2)</f>
        <v>3.69</v>
      </c>
      <c r="G967" s="32">
        <f t="shared" si="48"/>
        <v>13.28</v>
      </c>
      <c r="H967" s="32"/>
      <c r="I967" s="33"/>
      <c r="J967" s="33"/>
      <c r="K967" s="44"/>
    </row>
    <row r="968" spans="1:11" s="34" customFormat="1" ht="15">
      <c r="A968" s="30"/>
      <c r="B968" s="43" t="s">
        <v>673</v>
      </c>
      <c r="C968" s="45" t="s">
        <v>674</v>
      </c>
      <c r="D968" s="46" t="s">
        <v>3</v>
      </c>
      <c r="E968" s="44">
        <v>3.6</v>
      </c>
      <c r="F968" s="31">
        <f>TRUNC(8.6734,2)</f>
        <v>8.67</v>
      </c>
      <c r="G968" s="32">
        <f t="shared" si="48"/>
        <v>31.21</v>
      </c>
      <c r="H968" s="32"/>
      <c r="I968" s="33"/>
      <c r="J968" s="33"/>
      <c r="K968" s="44"/>
    </row>
    <row r="969" spans="1:11" s="34" customFormat="1" ht="15">
      <c r="A969" s="30"/>
      <c r="B969" s="43" t="s">
        <v>600</v>
      </c>
      <c r="C969" s="45" t="s">
        <v>601</v>
      </c>
      <c r="D969" s="46" t="s">
        <v>0</v>
      </c>
      <c r="E969" s="44">
        <v>1.24</v>
      </c>
      <c r="F969" s="31">
        <f>TRUNC(63.1912,2)</f>
        <v>63.19</v>
      </c>
      <c r="G969" s="32">
        <f t="shared" si="48"/>
        <v>78.35</v>
      </c>
      <c r="H969" s="32"/>
      <c r="I969" s="33"/>
      <c r="J969" s="33"/>
      <c r="K969" s="44"/>
    </row>
    <row r="970" spans="1:11" s="34" customFormat="1" ht="15">
      <c r="A970" s="30"/>
      <c r="B970" s="43" t="s">
        <v>675</v>
      </c>
      <c r="C970" s="45" t="s">
        <v>676</v>
      </c>
      <c r="D970" s="46" t="s">
        <v>1</v>
      </c>
      <c r="E970" s="44">
        <v>0.06</v>
      </c>
      <c r="F970" s="31">
        <f>TRUNC(75.1902,2)</f>
        <v>75.19</v>
      </c>
      <c r="G970" s="32">
        <f t="shared" si="48"/>
        <v>4.51</v>
      </c>
      <c r="H970" s="32"/>
      <c r="I970" s="33"/>
      <c r="J970" s="33"/>
      <c r="K970" s="44"/>
    </row>
    <row r="971" spans="1:11" s="34" customFormat="1" ht="15">
      <c r="A971" s="30"/>
      <c r="B971" s="43" t="s">
        <v>217</v>
      </c>
      <c r="C971" s="45" t="s">
        <v>218</v>
      </c>
      <c r="D971" s="46" t="s">
        <v>1</v>
      </c>
      <c r="E971" s="44">
        <v>0.06</v>
      </c>
      <c r="F971" s="31">
        <f>TRUNC(72.3465,2)</f>
        <v>72.34</v>
      </c>
      <c r="G971" s="32">
        <f t="shared" si="48"/>
        <v>4.34</v>
      </c>
      <c r="H971" s="32"/>
      <c r="I971" s="33"/>
      <c r="J971" s="33"/>
      <c r="K971" s="44"/>
    </row>
    <row r="972" spans="1:11" s="34" customFormat="1" ht="15">
      <c r="A972" s="30"/>
      <c r="B972" s="43" t="s">
        <v>215</v>
      </c>
      <c r="C972" s="45" t="s">
        <v>216</v>
      </c>
      <c r="D972" s="46" t="s">
        <v>1</v>
      </c>
      <c r="E972" s="44">
        <v>0.06</v>
      </c>
      <c r="F972" s="31">
        <f>TRUNC(277.3833,2)</f>
        <v>277.38</v>
      </c>
      <c r="G972" s="32">
        <f t="shared" si="48"/>
        <v>16.64</v>
      </c>
      <c r="H972" s="32"/>
      <c r="I972" s="33"/>
      <c r="J972" s="33"/>
      <c r="K972" s="44"/>
    </row>
    <row r="973" spans="1:11" s="34" customFormat="1" ht="15">
      <c r="A973" s="30"/>
      <c r="B973" s="43"/>
      <c r="C973" s="45"/>
      <c r="D973" s="46"/>
      <c r="E973" s="44" t="s">
        <v>5</v>
      </c>
      <c r="F973" s="31"/>
      <c r="G973" s="32">
        <f>TRUNC(SUM(G966:G972),2)</f>
        <v>163.1</v>
      </c>
      <c r="H973" s="32"/>
      <c r="I973" s="33"/>
      <c r="J973" s="33"/>
      <c r="K973" s="44"/>
    </row>
    <row r="974" spans="1:11" s="88" customFormat="1" ht="45">
      <c r="A974" s="80" t="s">
        <v>1640</v>
      </c>
      <c r="B974" s="81" t="s">
        <v>1108</v>
      </c>
      <c r="C974" s="82" t="s">
        <v>1105</v>
      </c>
      <c r="D974" s="83" t="s">
        <v>10</v>
      </c>
      <c r="E974" s="84">
        <v>2</v>
      </c>
      <c r="F974" s="85">
        <f>TRUNC(G979,2)</f>
        <v>450.81</v>
      </c>
      <c r="G974" s="86">
        <f>TRUNC(F974*1.2882,2)</f>
        <v>580.73</v>
      </c>
      <c r="H974" s="86">
        <f>TRUNC(F974*E974,2)</f>
        <v>901.62</v>
      </c>
      <c r="I974" s="87">
        <f>TRUNC(E974*G974,2)</f>
        <v>1161.46</v>
      </c>
      <c r="J974" s="87"/>
      <c r="K974" s="84"/>
    </row>
    <row r="975" spans="1:11" s="34" customFormat="1" ht="30">
      <c r="A975" s="30"/>
      <c r="B975" s="43" t="s">
        <v>165</v>
      </c>
      <c r="C975" s="45" t="s">
        <v>166</v>
      </c>
      <c r="D975" s="46" t="s">
        <v>10</v>
      </c>
      <c r="E975" s="44">
        <v>1</v>
      </c>
      <c r="F975" s="31">
        <f>TRUNC(6.7,2)</f>
        <v>6.7</v>
      </c>
      <c r="G975" s="32">
        <f>TRUNC(E975*F975,2)</f>
        <v>6.7</v>
      </c>
      <c r="H975" s="32"/>
      <c r="I975" s="33"/>
      <c r="J975" s="33"/>
      <c r="K975" s="44"/>
    </row>
    <row r="976" spans="1:11" s="34" customFormat="1" ht="30">
      <c r="A976" s="30"/>
      <c r="B976" s="43" t="s">
        <v>1106</v>
      </c>
      <c r="C976" s="45" t="s">
        <v>1107</v>
      </c>
      <c r="D976" s="46" t="s">
        <v>10</v>
      </c>
      <c r="E976" s="44"/>
      <c r="F976" s="31">
        <v>442.16</v>
      </c>
      <c r="G976" s="32"/>
      <c r="H976" s="32"/>
      <c r="I976" s="33"/>
      <c r="J976" s="33"/>
      <c r="K976" s="44"/>
    </row>
    <row r="977" spans="1:11" s="34" customFormat="1" ht="30">
      <c r="A977" s="30"/>
      <c r="B977" s="43" t="s">
        <v>1106</v>
      </c>
      <c r="C977" s="45" t="s">
        <v>1107</v>
      </c>
      <c r="D977" s="46" t="s">
        <v>10</v>
      </c>
      <c r="E977" s="44">
        <v>1</v>
      </c>
      <c r="F977" s="31">
        <f>TRUNC(442.16,2)</f>
        <v>442.16</v>
      </c>
      <c r="G977" s="32">
        <f>TRUNC(E977*F977,2)</f>
        <v>442.16</v>
      </c>
      <c r="H977" s="32"/>
      <c r="I977" s="33"/>
      <c r="J977" s="33"/>
      <c r="K977" s="44"/>
    </row>
    <row r="978" spans="1:11" s="34" customFormat="1" ht="15">
      <c r="A978" s="30"/>
      <c r="B978" s="43" t="s">
        <v>207</v>
      </c>
      <c r="C978" s="45" t="s">
        <v>208</v>
      </c>
      <c r="D978" s="46" t="s">
        <v>10</v>
      </c>
      <c r="E978" s="44">
        <v>1</v>
      </c>
      <c r="F978" s="31">
        <f>TRUNC(1.95,2)</f>
        <v>1.95</v>
      </c>
      <c r="G978" s="32">
        <f>TRUNC(E978*F978,2)</f>
        <v>1.95</v>
      </c>
      <c r="H978" s="32"/>
      <c r="I978" s="33"/>
      <c r="J978" s="33"/>
      <c r="K978" s="44"/>
    </row>
    <row r="979" spans="1:11" s="34" customFormat="1" ht="15">
      <c r="A979" s="30"/>
      <c r="B979" s="43"/>
      <c r="C979" s="45"/>
      <c r="D979" s="46"/>
      <c r="E979" s="44" t="s">
        <v>5</v>
      </c>
      <c r="F979" s="31"/>
      <c r="G979" s="32">
        <f>TRUNC(SUM(G975:G978),2)</f>
        <v>450.81</v>
      </c>
      <c r="H979" s="32"/>
      <c r="I979" s="33"/>
      <c r="J979" s="33"/>
      <c r="K979" s="44"/>
    </row>
    <row r="980" spans="1:11" s="88" customFormat="1" ht="60">
      <c r="A980" s="80" t="s">
        <v>1641</v>
      </c>
      <c r="B980" s="81" t="s">
        <v>1103</v>
      </c>
      <c r="C980" s="82" t="s">
        <v>1104</v>
      </c>
      <c r="D980" s="83" t="s">
        <v>10</v>
      </c>
      <c r="E980" s="84">
        <v>9</v>
      </c>
      <c r="F980" s="85">
        <f>TRUNC(G986,2)</f>
        <v>297.1</v>
      </c>
      <c r="G980" s="86">
        <f>TRUNC(F980*1.2882,2)</f>
        <v>382.72</v>
      </c>
      <c r="H980" s="86">
        <f>TRUNC(F980*E980,2)</f>
        <v>2673.9</v>
      </c>
      <c r="I980" s="87">
        <f>TRUNC(E980*G980,2)</f>
        <v>3444.48</v>
      </c>
      <c r="J980" s="87"/>
      <c r="K980" s="84"/>
    </row>
    <row r="981" spans="1:11" s="34" customFormat="1" ht="30">
      <c r="A981" s="30"/>
      <c r="B981" s="43" t="s">
        <v>165</v>
      </c>
      <c r="C981" s="45" t="s">
        <v>166</v>
      </c>
      <c r="D981" s="46" t="s">
        <v>10</v>
      </c>
      <c r="E981" s="44">
        <v>1</v>
      </c>
      <c r="F981" s="31">
        <f>TRUNC(6.7,2)</f>
        <v>6.7</v>
      </c>
      <c r="G981" s="32">
        <f>TRUNC(E981*F981,2)</f>
        <v>6.7</v>
      </c>
      <c r="H981" s="32"/>
      <c r="I981" s="33"/>
      <c r="J981" s="33"/>
      <c r="K981" s="44"/>
    </row>
    <row r="982" spans="1:11" s="34" customFormat="1" ht="15">
      <c r="A982" s="30"/>
      <c r="B982" s="43" t="s">
        <v>207</v>
      </c>
      <c r="C982" s="45" t="s">
        <v>208</v>
      </c>
      <c r="D982" s="46" t="s">
        <v>10</v>
      </c>
      <c r="E982" s="44">
        <v>1</v>
      </c>
      <c r="F982" s="31">
        <f>TRUNC(1.95,2)</f>
        <v>1.95</v>
      </c>
      <c r="G982" s="32">
        <f>TRUNC(E982*F982,2)</f>
        <v>1.95</v>
      </c>
      <c r="H982" s="32"/>
      <c r="I982" s="33"/>
      <c r="J982" s="33"/>
      <c r="K982" s="44"/>
    </row>
    <row r="983" spans="1:11" s="34" customFormat="1" ht="15">
      <c r="A983" s="30"/>
      <c r="B983" s="43" t="s">
        <v>1101</v>
      </c>
      <c r="C983" s="45" t="s">
        <v>1102</v>
      </c>
      <c r="D983" s="46" t="s">
        <v>10</v>
      </c>
      <c r="E983" s="44">
        <v>1</v>
      </c>
      <c r="F983" s="31">
        <v>47.38</v>
      </c>
      <c r="G983" s="32">
        <f>TRUNC(E983*F983,2)</f>
        <v>47.38</v>
      </c>
      <c r="H983" s="32"/>
      <c r="I983" s="33"/>
      <c r="J983" s="33"/>
      <c r="K983" s="44"/>
    </row>
    <row r="984" spans="1:11" s="34" customFormat="1" ht="15">
      <c r="A984" s="30"/>
      <c r="B984" s="43" t="s">
        <v>1099</v>
      </c>
      <c r="C984" s="45" t="s">
        <v>1100</v>
      </c>
      <c r="D984" s="46" t="s">
        <v>10</v>
      </c>
      <c r="E984" s="44">
        <v>1</v>
      </c>
      <c r="F984" s="31">
        <v>237.39</v>
      </c>
      <c r="G984" s="32">
        <f>TRUNC(E984*F984,2)</f>
        <v>237.39</v>
      </c>
      <c r="H984" s="32"/>
      <c r="I984" s="33"/>
      <c r="J984" s="33"/>
      <c r="K984" s="44"/>
    </row>
    <row r="985" spans="1:11" s="34" customFormat="1" ht="15">
      <c r="A985" s="30"/>
      <c r="B985" s="43" t="s">
        <v>203</v>
      </c>
      <c r="C985" s="45" t="s">
        <v>204</v>
      </c>
      <c r="D985" s="46" t="s">
        <v>10</v>
      </c>
      <c r="E985" s="44">
        <v>1</v>
      </c>
      <c r="F985" s="31">
        <f>TRUNC(3.68,2)</f>
        <v>3.68</v>
      </c>
      <c r="G985" s="32">
        <f>TRUNC(E985*F985,2)</f>
        <v>3.68</v>
      </c>
      <c r="H985" s="32"/>
      <c r="I985" s="33"/>
      <c r="J985" s="33"/>
      <c r="K985" s="44"/>
    </row>
    <row r="986" spans="1:11" s="34" customFormat="1" ht="15">
      <c r="A986" s="30"/>
      <c r="B986" s="43"/>
      <c r="C986" s="45"/>
      <c r="D986" s="46"/>
      <c r="E986" s="44" t="s">
        <v>5</v>
      </c>
      <c r="F986" s="31"/>
      <c r="G986" s="32">
        <f>TRUNC(SUM(G981:G985),2)</f>
        <v>297.1</v>
      </c>
      <c r="H986" s="32"/>
      <c r="I986" s="33"/>
      <c r="J986" s="33"/>
      <c r="K986" s="44"/>
    </row>
    <row r="987" spans="1:11" s="88" customFormat="1" ht="60">
      <c r="A987" s="80" t="s">
        <v>1642</v>
      </c>
      <c r="B987" s="81" t="s">
        <v>726</v>
      </c>
      <c r="C987" s="82" t="s">
        <v>727</v>
      </c>
      <c r="D987" s="83" t="s">
        <v>10</v>
      </c>
      <c r="E987" s="84">
        <v>3</v>
      </c>
      <c r="F987" s="85">
        <f>TRUNC(G993,2)</f>
        <v>274.17</v>
      </c>
      <c r="G987" s="86">
        <f>TRUNC(F987*1.2882,2)</f>
        <v>353.18</v>
      </c>
      <c r="H987" s="86">
        <f>TRUNC(F987*E987,2)</f>
        <v>822.51</v>
      </c>
      <c r="I987" s="87">
        <f>TRUNC(E987*G987,2)</f>
        <v>1059.54</v>
      </c>
      <c r="J987" s="87"/>
      <c r="K987" s="84"/>
    </row>
    <row r="988" spans="1:11" s="34" customFormat="1" ht="30">
      <c r="A988" s="30"/>
      <c r="B988" s="43" t="s">
        <v>165</v>
      </c>
      <c r="C988" s="45" t="s">
        <v>166</v>
      </c>
      <c r="D988" s="46" t="s">
        <v>10</v>
      </c>
      <c r="E988" s="44">
        <v>1</v>
      </c>
      <c r="F988" s="31">
        <f>TRUNC(6.7,2)</f>
        <v>6.7</v>
      </c>
      <c r="G988" s="32">
        <f>TRUNC(E988*F988,2)</f>
        <v>6.7</v>
      </c>
      <c r="H988" s="32"/>
      <c r="I988" s="33"/>
      <c r="J988" s="33"/>
      <c r="K988" s="44"/>
    </row>
    <row r="989" spans="1:11" s="34" customFormat="1" ht="15">
      <c r="A989" s="30"/>
      <c r="B989" s="43" t="s">
        <v>207</v>
      </c>
      <c r="C989" s="45" t="s">
        <v>208</v>
      </c>
      <c r="D989" s="46" t="s">
        <v>10</v>
      </c>
      <c r="E989" s="44">
        <v>1</v>
      </c>
      <c r="F989" s="31">
        <f>TRUNC(1.95,2)</f>
        <v>1.95</v>
      </c>
      <c r="G989" s="32">
        <f>TRUNC(E989*F989,2)</f>
        <v>1.95</v>
      </c>
      <c r="H989" s="32"/>
      <c r="I989" s="33"/>
      <c r="J989" s="33"/>
      <c r="K989" s="44"/>
    </row>
    <row r="990" spans="1:11" s="34" customFormat="1" ht="15">
      <c r="A990" s="30"/>
      <c r="B990" s="43" t="s">
        <v>197</v>
      </c>
      <c r="C990" s="45" t="s">
        <v>198</v>
      </c>
      <c r="D990" s="46" t="s">
        <v>10</v>
      </c>
      <c r="E990" s="44">
        <v>1</v>
      </c>
      <c r="F990" s="31">
        <f>TRUNC(13.34,2)</f>
        <v>13.34</v>
      </c>
      <c r="G990" s="32">
        <f>TRUNC(E990*F990,2)</f>
        <v>13.34</v>
      </c>
      <c r="H990" s="32"/>
      <c r="I990" s="33"/>
      <c r="J990" s="33"/>
      <c r="K990" s="44"/>
    </row>
    <row r="991" spans="1:11" s="34" customFormat="1" ht="30">
      <c r="A991" s="30"/>
      <c r="B991" s="43" t="s">
        <v>728</v>
      </c>
      <c r="C991" s="45" t="s">
        <v>729</v>
      </c>
      <c r="D991" s="46" t="s">
        <v>10</v>
      </c>
      <c r="E991" s="44">
        <v>1</v>
      </c>
      <c r="F991" s="31">
        <f>TRUNC(248.5,2)</f>
        <v>248.5</v>
      </c>
      <c r="G991" s="32">
        <f>TRUNC(E991*F991,2)</f>
        <v>248.5</v>
      </c>
      <c r="H991" s="32"/>
      <c r="I991" s="33"/>
      <c r="J991" s="33"/>
      <c r="K991" s="44"/>
    </row>
    <row r="992" spans="1:11" s="34" customFormat="1" ht="15">
      <c r="A992" s="30"/>
      <c r="B992" s="43" t="s">
        <v>203</v>
      </c>
      <c r="C992" s="45" t="s">
        <v>204</v>
      </c>
      <c r="D992" s="46" t="s">
        <v>10</v>
      </c>
      <c r="E992" s="44">
        <v>1</v>
      </c>
      <c r="F992" s="31">
        <f>TRUNC(3.68,2)</f>
        <v>3.68</v>
      </c>
      <c r="G992" s="32">
        <f>TRUNC(E992*F992,2)</f>
        <v>3.68</v>
      </c>
      <c r="H992" s="32"/>
      <c r="I992" s="33"/>
      <c r="J992" s="33"/>
      <c r="K992" s="44"/>
    </row>
    <row r="993" spans="1:11" s="34" customFormat="1" ht="15">
      <c r="A993" s="30"/>
      <c r="B993" s="43"/>
      <c r="C993" s="45"/>
      <c r="D993" s="46"/>
      <c r="E993" s="44" t="s">
        <v>5</v>
      </c>
      <c r="F993" s="31"/>
      <c r="G993" s="32">
        <f>TRUNC(SUM(G988:G992),2)</f>
        <v>274.17</v>
      </c>
      <c r="H993" s="32"/>
      <c r="I993" s="33"/>
      <c r="J993" s="33"/>
      <c r="K993" s="44"/>
    </row>
    <row r="994" spans="1:11" s="88" customFormat="1" ht="30">
      <c r="A994" s="80" t="s">
        <v>1643</v>
      </c>
      <c r="B994" s="81" t="s">
        <v>464</v>
      </c>
      <c r="C994" s="82" t="s">
        <v>465</v>
      </c>
      <c r="D994" s="83" t="s">
        <v>10</v>
      </c>
      <c r="E994" s="84">
        <v>11</v>
      </c>
      <c r="F994" s="85">
        <f>TRUNC(G999,2)</f>
        <v>274.83</v>
      </c>
      <c r="G994" s="86">
        <f>TRUNC(F994*1.2882,2)</f>
        <v>354.03</v>
      </c>
      <c r="H994" s="86">
        <f>TRUNC(F994*E994,2)</f>
        <v>3023.13</v>
      </c>
      <c r="I994" s="87">
        <f>TRUNC(E994*G994,2)</f>
        <v>3894.33</v>
      </c>
      <c r="J994" s="87"/>
      <c r="K994" s="84"/>
    </row>
    <row r="995" spans="1:11" s="34" customFormat="1" ht="30">
      <c r="A995" s="30"/>
      <c r="B995" s="43" t="s">
        <v>466</v>
      </c>
      <c r="C995" s="45" t="s">
        <v>467</v>
      </c>
      <c r="D995" s="46" t="s">
        <v>10</v>
      </c>
      <c r="E995" s="44">
        <v>1</v>
      </c>
      <c r="F995" s="31">
        <f>TRUNC(237.8,2)</f>
        <v>237.8</v>
      </c>
      <c r="G995" s="32">
        <f>TRUNC(E995*F995,2)</f>
        <v>237.8</v>
      </c>
      <c r="H995" s="32"/>
      <c r="I995" s="33"/>
      <c r="J995" s="33"/>
      <c r="K995" s="44"/>
    </row>
    <row r="996" spans="1:11" s="34" customFormat="1" ht="15">
      <c r="A996" s="30"/>
      <c r="B996" s="43" t="s">
        <v>414</v>
      </c>
      <c r="C996" s="45" t="s">
        <v>415</v>
      </c>
      <c r="D996" s="46" t="s">
        <v>10</v>
      </c>
      <c r="E996" s="44">
        <v>0.019</v>
      </c>
      <c r="F996" s="31">
        <f>TRUNC(14.38,2)</f>
        <v>14.38</v>
      </c>
      <c r="G996" s="32">
        <f>TRUNC(E996*F996,2)</f>
        <v>0.27</v>
      </c>
      <c r="H996" s="32"/>
      <c r="I996" s="33"/>
      <c r="J996" s="33"/>
      <c r="K996" s="44"/>
    </row>
    <row r="997" spans="1:11" s="34" customFormat="1" ht="15">
      <c r="A997" s="30"/>
      <c r="B997" s="43" t="s">
        <v>416</v>
      </c>
      <c r="C997" s="45" t="s">
        <v>417</v>
      </c>
      <c r="D997" s="46" t="s">
        <v>4</v>
      </c>
      <c r="E997" s="44">
        <v>0.789</v>
      </c>
      <c r="F997" s="31">
        <f>TRUNC(26.15,2)</f>
        <v>26.15</v>
      </c>
      <c r="G997" s="32">
        <f>TRUNC(E997*F997,2)</f>
        <v>20.63</v>
      </c>
      <c r="H997" s="32"/>
      <c r="I997" s="33"/>
      <c r="J997" s="33"/>
      <c r="K997" s="44"/>
    </row>
    <row r="998" spans="1:11" s="34" customFormat="1" ht="30">
      <c r="A998" s="30"/>
      <c r="B998" s="43" t="s">
        <v>418</v>
      </c>
      <c r="C998" s="45" t="s">
        <v>419</v>
      </c>
      <c r="D998" s="46" t="s">
        <v>4</v>
      </c>
      <c r="E998" s="44">
        <v>0.789</v>
      </c>
      <c r="F998" s="31">
        <f>TRUNC(20.45,2)</f>
        <v>20.45</v>
      </c>
      <c r="G998" s="32">
        <f>TRUNC(E998*F998,2)</f>
        <v>16.13</v>
      </c>
      <c r="H998" s="32"/>
      <c r="I998" s="33"/>
      <c r="J998" s="33"/>
      <c r="K998" s="44"/>
    </row>
    <row r="999" spans="1:11" s="34" customFormat="1" ht="15">
      <c r="A999" s="30"/>
      <c r="B999" s="43"/>
      <c r="C999" s="45"/>
      <c r="D999" s="46"/>
      <c r="E999" s="44" t="s">
        <v>5</v>
      </c>
      <c r="F999" s="31"/>
      <c r="G999" s="32">
        <f>TRUNC(SUM(G995:G998),2)</f>
        <v>274.83</v>
      </c>
      <c r="H999" s="32"/>
      <c r="I999" s="33"/>
      <c r="J999" s="33"/>
      <c r="K999" s="44"/>
    </row>
    <row r="1000" spans="1:11" s="88" customFormat="1" ht="30">
      <c r="A1000" s="80" t="s">
        <v>1644</v>
      </c>
      <c r="B1000" s="81" t="s">
        <v>1550</v>
      </c>
      <c r="C1000" s="82" t="s">
        <v>1551</v>
      </c>
      <c r="D1000" s="83" t="s">
        <v>10</v>
      </c>
      <c r="E1000" s="84">
        <v>14</v>
      </c>
      <c r="F1000" s="85">
        <f>TRUNC(G1003,2)</f>
        <v>33.54</v>
      </c>
      <c r="G1000" s="86">
        <f>TRUNC(F1000*1.2882,2)</f>
        <v>43.2</v>
      </c>
      <c r="H1000" s="86">
        <f>TRUNC(F1000*E1000,2)</f>
        <v>469.56</v>
      </c>
      <c r="I1000" s="87">
        <f>TRUNC(E1000*G1000,2)</f>
        <v>604.8</v>
      </c>
      <c r="J1000" s="87"/>
      <c r="K1000" s="84"/>
    </row>
    <row r="1001" spans="1:11" s="34" customFormat="1" ht="15">
      <c r="A1001" s="30"/>
      <c r="B1001" s="43" t="s">
        <v>1552</v>
      </c>
      <c r="C1001" s="45" t="s">
        <v>1553</v>
      </c>
      <c r="D1001" s="46" t="s">
        <v>10</v>
      </c>
      <c r="E1001" s="44">
        <v>1</v>
      </c>
      <c r="F1001" s="31">
        <f>TRUNC(22.56,2)</f>
        <v>22.56</v>
      </c>
      <c r="G1001" s="32">
        <f>TRUNC(E1001*F1001,2)</f>
        <v>22.56</v>
      </c>
      <c r="H1001" s="32"/>
      <c r="I1001" s="33"/>
      <c r="J1001" s="33"/>
      <c r="K1001" s="44"/>
    </row>
    <row r="1002" spans="1:11" s="34" customFormat="1" ht="15">
      <c r="A1002" s="30"/>
      <c r="B1002" s="43" t="s">
        <v>596</v>
      </c>
      <c r="C1002" s="45" t="s">
        <v>597</v>
      </c>
      <c r="D1002" s="46" t="s">
        <v>4</v>
      </c>
      <c r="E1002" s="44">
        <v>0.515</v>
      </c>
      <c r="F1002" s="31">
        <f>TRUNC(21.33,2)</f>
        <v>21.33</v>
      </c>
      <c r="G1002" s="32">
        <f>TRUNC(E1002*F1002,2)</f>
        <v>10.98</v>
      </c>
      <c r="H1002" s="32"/>
      <c r="I1002" s="33"/>
      <c r="J1002" s="33"/>
      <c r="K1002" s="44"/>
    </row>
    <row r="1003" spans="1:11" s="34" customFormat="1" ht="15">
      <c r="A1003" s="30"/>
      <c r="B1003" s="43"/>
      <c r="C1003" s="45"/>
      <c r="D1003" s="46"/>
      <c r="E1003" s="44" t="s">
        <v>5</v>
      </c>
      <c r="F1003" s="31"/>
      <c r="G1003" s="32">
        <f>TRUNC(SUM(G1001:G1002),2)</f>
        <v>33.54</v>
      </c>
      <c r="H1003" s="32"/>
      <c r="I1003" s="33"/>
      <c r="J1003" s="33"/>
      <c r="K1003" s="44"/>
    </row>
    <row r="1004" spans="1:11" s="88" customFormat="1" ht="45">
      <c r="A1004" s="80" t="s">
        <v>1645</v>
      </c>
      <c r="B1004" s="81" t="s">
        <v>2225</v>
      </c>
      <c r="C1004" s="82" t="s">
        <v>1110</v>
      </c>
      <c r="D1004" s="83" t="s">
        <v>10</v>
      </c>
      <c r="E1004" s="84">
        <v>3</v>
      </c>
      <c r="F1004" s="85">
        <f>TRUNC(G1006,2)</f>
        <v>45.22</v>
      </c>
      <c r="G1004" s="86">
        <f>TRUNC(F1004*1.2882,2)</f>
        <v>58.25</v>
      </c>
      <c r="H1004" s="86">
        <f>TRUNC(F1004*E1004,2)</f>
        <v>135.66</v>
      </c>
      <c r="I1004" s="87">
        <f>TRUNC(E1004*G1004,2)</f>
        <v>174.75</v>
      </c>
      <c r="J1004" s="87"/>
      <c r="K1004" s="84"/>
    </row>
    <row r="1005" spans="1:11" s="34" customFormat="1" ht="15">
      <c r="A1005" s="30"/>
      <c r="B1005" s="43" t="s">
        <v>1111</v>
      </c>
      <c r="C1005" s="45" t="s">
        <v>1112</v>
      </c>
      <c r="D1005" s="46" t="s">
        <v>10</v>
      </c>
      <c r="E1005" s="44">
        <v>1</v>
      </c>
      <c r="F1005" s="31">
        <f>TRUNC(45.22,2)</f>
        <v>45.22</v>
      </c>
      <c r="G1005" s="32">
        <f>TRUNC(E1005*F1005,2)</f>
        <v>45.22</v>
      </c>
      <c r="H1005" s="32"/>
      <c r="I1005" s="33"/>
      <c r="J1005" s="33"/>
      <c r="K1005" s="44"/>
    </row>
    <row r="1006" spans="1:11" s="34" customFormat="1" ht="15">
      <c r="A1006" s="30"/>
      <c r="B1006" s="43"/>
      <c r="C1006" s="45"/>
      <c r="D1006" s="46"/>
      <c r="E1006" s="44" t="s">
        <v>5</v>
      </c>
      <c r="F1006" s="31"/>
      <c r="G1006" s="32">
        <f>TRUNC(SUM(G1005:G1005),2)</f>
        <v>45.22</v>
      </c>
      <c r="H1006" s="32"/>
      <c r="I1006" s="33"/>
      <c r="J1006" s="33"/>
      <c r="K1006" s="44"/>
    </row>
    <row r="1007" spans="1:11" s="88" customFormat="1" ht="30">
      <c r="A1007" s="80" t="s">
        <v>1646</v>
      </c>
      <c r="B1007" s="81" t="s">
        <v>1113</v>
      </c>
      <c r="C1007" s="82" t="s">
        <v>1114</v>
      </c>
      <c r="D1007" s="83" t="s">
        <v>10</v>
      </c>
      <c r="E1007" s="84">
        <v>4</v>
      </c>
      <c r="F1007" s="85">
        <f>TRUNC(G1013,2)</f>
        <v>153.61</v>
      </c>
      <c r="G1007" s="86">
        <f>TRUNC(F1007*1.2882,2)</f>
        <v>197.88</v>
      </c>
      <c r="H1007" s="86">
        <f>TRUNC(F1007*E1007,2)</f>
        <v>614.44</v>
      </c>
      <c r="I1007" s="87">
        <f>TRUNC(E1007*G1007,2)</f>
        <v>791.52</v>
      </c>
      <c r="J1007" s="87"/>
      <c r="K1007" s="84"/>
    </row>
    <row r="1008" spans="1:11" s="34" customFormat="1" ht="15">
      <c r="A1008" s="30"/>
      <c r="B1008" s="43" t="s">
        <v>733</v>
      </c>
      <c r="C1008" s="45" t="s">
        <v>734</v>
      </c>
      <c r="D1008" s="46" t="s">
        <v>3</v>
      </c>
      <c r="E1008" s="44">
        <v>0.0304</v>
      </c>
      <c r="F1008" s="31">
        <f>TRUNC(72.96,2)</f>
        <v>72.96</v>
      </c>
      <c r="G1008" s="32">
        <f>TRUNC(E1008*F1008,2)</f>
        <v>2.21</v>
      </c>
      <c r="H1008" s="32"/>
      <c r="I1008" s="33"/>
      <c r="J1008" s="33"/>
      <c r="K1008" s="44"/>
    </row>
    <row r="1009" spans="1:11" s="34" customFormat="1" ht="30">
      <c r="A1009" s="30"/>
      <c r="B1009" s="43" t="s">
        <v>1115</v>
      </c>
      <c r="C1009" s="45" t="s">
        <v>1116</v>
      </c>
      <c r="D1009" s="46" t="s">
        <v>10</v>
      </c>
      <c r="E1009" s="44">
        <v>1</v>
      </c>
      <c r="F1009" s="31">
        <f>TRUNC(99.56,2)</f>
        <v>99.56</v>
      </c>
      <c r="G1009" s="32">
        <f>TRUNC(E1009*F1009,2)</f>
        <v>99.56</v>
      </c>
      <c r="H1009" s="32"/>
      <c r="I1009" s="33"/>
      <c r="J1009" s="33"/>
      <c r="K1009" s="44"/>
    </row>
    <row r="1010" spans="1:11" s="34" customFormat="1" ht="30">
      <c r="A1010" s="30"/>
      <c r="B1010" s="43" t="s">
        <v>735</v>
      </c>
      <c r="C1010" s="45" t="s">
        <v>736</v>
      </c>
      <c r="D1010" s="46" t="s">
        <v>10</v>
      </c>
      <c r="E1010" s="44">
        <v>2</v>
      </c>
      <c r="F1010" s="31">
        <f>TRUNC(18.87,2)</f>
        <v>18.87</v>
      </c>
      <c r="G1010" s="32">
        <f>TRUNC(E1010*F1010,2)</f>
        <v>37.74</v>
      </c>
      <c r="H1010" s="32"/>
      <c r="I1010" s="33"/>
      <c r="J1010" s="33"/>
      <c r="K1010" s="44"/>
    </row>
    <row r="1011" spans="1:11" s="34" customFormat="1" ht="15">
      <c r="A1011" s="30"/>
      <c r="B1011" s="43" t="s">
        <v>283</v>
      </c>
      <c r="C1011" s="45" t="s">
        <v>32</v>
      </c>
      <c r="D1011" s="46" t="s">
        <v>4</v>
      </c>
      <c r="E1011" s="44">
        <v>0.1886</v>
      </c>
      <c r="F1011" s="31">
        <f>TRUNC(21.13,2)</f>
        <v>21.13</v>
      </c>
      <c r="G1011" s="32">
        <f>TRUNC(E1011*F1011,2)</f>
        <v>3.98</v>
      </c>
      <c r="H1011" s="32"/>
      <c r="I1011" s="33"/>
      <c r="J1011" s="33"/>
      <c r="K1011" s="44"/>
    </row>
    <row r="1012" spans="1:11" s="34" customFormat="1" ht="15">
      <c r="A1012" s="30"/>
      <c r="B1012" s="43" t="s">
        <v>416</v>
      </c>
      <c r="C1012" s="45" t="s">
        <v>417</v>
      </c>
      <c r="D1012" s="46" t="s">
        <v>4</v>
      </c>
      <c r="E1012" s="44">
        <v>0.387</v>
      </c>
      <c r="F1012" s="31">
        <f>TRUNC(26.15,2)</f>
        <v>26.15</v>
      </c>
      <c r="G1012" s="32">
        <f>TRUNC(E1012*F1012,2)</f>
        <v>10.12</v>
      </c>
      <c r="H1012" s="32"/>
      <c r="I1012" s="33"/>
      <c r="J1012" s="33"/>
      <c r="K1012" s="44"/>
    </row>
    <row r="1013" spans="1:11" s="34" customFormat="1" ht="15">
      <c r="A1013" s="30"/>
      <c r="B1013" s="43"/>
      <c r="C1013" s="45"/>
      <c r="D1013" s="46"/>
      <c r="E1013" s="44" t="s">
        <v>5</v>
      </c>
      <c r="F1013" s="31"/>
      <c r="G1013" s="32">
        <f>TRUNC(SUM(G1008:G1012),2)</f>
        <v>153.61</v>
      </c>
      <c r="H1013" s="32"/>
      <c r="I1013" s="33"/>
      <c r="J1013" s="33"/>
      <c r="K1013" s="44"/>
    </row>
    <row r="1014" spans="1:11" s="88" customFormat="1" ht="45">
      <c r="A1014" s="80" t="s">
        <v>1647</v>
      </c>
      <c r="B1014" s="81" t="s">
        <v>1129</v>
      </c>
      <c r="C1014" s="82" t="s">
        <v>1130</v>
      </c>
      <c r="D1014" s="83" t="s">
        <v>10</v>
      </c>
      <c r="E1014" s="84">
        <v>17</v>
      </c>
      <c r="F1014" s="85">
        <f>TRUNC(G1018,2)</f>
        <v>187.19</v>
      </c>
      <c r="G1014" s="86">
        <f>TRUNC(F1014*1.2882,2)</f>
        <v>241.13</v>
      </c>
      <c r="H1014" s="86">
        <f>TRUNC(F1014*E1014,2)</f>
        <v>3182.23</v>
      </c>
      <c r="I1014" s="87">
        <f>TRUNC(E1014*G1014,2)</f>
        <v>4099.21</v>
      </c>
      <c r="J1014" s="87"/>
      <c r="K1014" s="84"/>
    </row>
    <row r="1015" spans="1:11" s="34" customFormat="1" ht="30">
      <c r="A1015" s="30"/>
      <c r="B1015" s="43" t="s">
        <v>1131</v>
      </c>
      <c r="C1015" s="45" t="s">
        <v>1132</v>
      </c>
      <c r="D1015" s="46" t="s">
        <v>10</v>
      </c>
      <c r="E1015" s="44">
        <v>1</v>
      </c>
      <c r="F1015" s="31">
        <f>TRUNC(148.05,2)</f>
        <v>148.05</v>
      </c>
      <c r="G1015" s="32">
        <f>TRUNC(E1015*F1015,2)</f>
        <v>148.05</v>
      </c>
      <c r="H1015" s="32"/>
      <c r="I1015" s="33"/>
      <c r="J1015" s="33"/>
      <c r="K1015" s="44"/>
    </row>
    <row r="1016" spans="1:11" s="34" customFormat="1" ht="30">
      <c r="A1016" s="30"/>
      <c r="B1016" s="43" t="s">
        <v>753</v>
      </c>
      <c r="C1016" s="45" t="s">
        <v>754</v>
      </c>
      <c r="D1016" s="46" t="s">
        <v>10</v>
      </c>
      <c r="E1016" s="44">
        <v>1</v>
      </c>
      <c r="F1016" s="31">
        <f>TRUNC(14.33,2)</f>
        <v>14.33</v>
      </c>
      <c r="G1016" s="32">
        <f>TRUNC(E1016*F1016,2)</f>
        <v>14.33</v>
      </c>
      <c r="H1016" s="32"/>
      <c r="I1016" s="33"/>
      <c r="J1016" s="33"/>
      <c r="K1016" s="44"/>
    </row>
    <row r="1017" spans="1:11" s="34" customFormat="1" ht="30">
      <c r="A1017" s="30"/>
      <c r="B1017" s="43" t="s">
        <v>730</v>
      </c>
      <c r="C1017" s="45" t="s">
        <v>755</v>
      </c>
      <c r="D1017" s="46" t="s">
        <v>10</v>
      </c>
      <c r="E1017" s="44">
        <v>1</v>
      </c>
      <c r="F1017" s="31">
        <f>TRUNC(24.81,2)</f>
        <v>24.81</v>
      </c>
      <c r="G1017" s="32">
        <f>TRUNC(E1017*F1017,2)</f>
        <v>24.81</v>
      </c>
      <c r="H1017" s="32"/>
      <c r="I1017" s="33"/>
      <c r="J1017" s="33"/>
      <c r="K1017" s="44"/>
    </row>
    <row r="1018" spans="1:11" s="34" customFormat="1" ht="15">
      <c r="A1018" s="30"/>
      <c r="B1018" s="43"/>
      <c r="C1018" s="45"/>
      <c r="D1018" s="46"/>
      <c r="E1018" s="44" t="s">
        <v>5</v>
      </c>
      <c r="F1018" s="31"/>
      <c r="G1018" s="32">
        <f>TRUNC(SUM(G1015:G1017),2)</f>
        <v>187.19</v>
      </c>
      <c r="H1018" s="32"/>
      <c r="I1018" s="33"/>
      <c r="J1018" s="33"/>
      <c r="K1018" s="44"/>
    </row>
    <row r="1019" spans="1:11" s="88" customFormat="1" ht="47.25" customHeight="1">
      <c r="A1019" s="80" t="s">
        <v>1648</v>
      </c>
      <c r="B1019" s="81" t="s">
        <v>737</v>
      </c>
      <c r="C1019" s="82" t="s">
        <v>738</v>
      </c>
      <c r="D1019" s="83" t="s">
        <v>10</v>
      </c>
      <c r="E1019" s="84">
        <v>21</v>
      </c>
      <c r="F1019" s="85">
        <f>TRUNC(G1024,2)</f>
        <v>45.13</v>
      </c>
      <c r="G1019" s="86">
        <f>TRUNC(F1019*1.2882,2)</f>
        <v>58.13</v>
      </c>
      <c r="H1019" s="86">
        <f>TRUNC(F1019*E1019,2)</f>
        <v>947.73</v>
      </c>
      <c r="I1019" s="87">
        <f>TRUNC(E1019*G1019,2)</f>
        <v>1220.73</v>
      </c>
      <c r="J1019" s="87"/>
      <c r="K1019" s="84"/>
    </row>
    <row r="1020" spans="1:11" s="34" customFormat="1" ht="30">
      <c r="A1020" s="30"/>
      <c r="B1020" s="43" t="s">
        <v>739</v>
      </c>
      <c r="C1020" s="45" t="s">
        <v>740</v>
      </c>
      <c r="D1020" s="46" t="s">
        <v>10</v>
      </c>
      <c r="E1020" s="44">
        <v>1</v>
      </c>
      <c r="F1020" s="31">
        <f>TRUNC(41.9,2)</f>
        <v>41.9</v>
      </c>
      <c r="G1020" s="32">
        <f>TRUNC(E1020*F1020,2)</f>
        <v>41.9</v>
      </c>
      <c r="H1020" s="32"/>
      <c r="I1020" s="33"/>
      <c r="J1020" s="33"/>
      <c r="K1020" s="44"/>
    </row>
    <row r="1021" spans="1:11" s="34" customFormat="1" ht="15">
      <c r="A1021" s="30"/>
      <c r="B1021" s="43" t="s">
        <v>731</v>
      </c>
      <c r="C1021" s="45" t="s">
        <v>732</v>
      </c>
      <c r="D1021" s="46" t="s">
        <v>10</v>
      </c>
      <c r="E1021" s="44">
        <v>0.021</v>
      </c>
      <c r="F1021" s="31">
        <f>TRUNC(3.9,2)</f>
        <v>3.9</v>
      </c>
      <c r="G1021" s="32">
        <f>TRUNC(E1021*F1021,2)</f>
        <v>0.08</v>
      </c>
      <c r="H1021" s="32"/>
      <c r="I1021" s="33"/>
      <c r="J1021" s="33"/>
      <c r="K1021" s="44"/>
    </row>
    <row r="1022" spans="1:11" s="34" customFormat="1" ht="15">
      <c r="A1022" s="30"/>
      <c r="B1022" s="43" t="s">
        <v>283</v>
      </c>
      <c r="C1022" s="45" t="s">
        <v>32</v>
      </c>
      <c r="D1022" s="46" t="s">
        <v>4</v>
      </c>
      <c r="E1022" s="44">
        <v>0.0303</v>
      </c>
      <c r="F1022" s="31">
        <f>TRUNC(21.13,2)</f>
        <v>21.13</v>
      </c>
      <c r="G1022" s="32">
        <f>TRUNC(E1022*F1022,2)</f>
        <v>0.64</v>
      </c>
      <c r="H1022" s="32"/>
      <c r="I1022" s="33"/>
      <c r="J1022" s="33"/>
      <c r="K1022" s="44"/>
    </row>
    <row r="1023" spans="1:11" s="34" customFormat="1" ht="15">
      <c r="A1023" s="30"/>
      <c r="B1023" s="43" t="s">
        <v>416</v>
      </c>
      <c r="C1023" s="45" t="s">
        <v>417</v>
      </c>
      <c r="D1023" s="46" t="s">
        <v>4</v>
      </c>
      <c r="E1023" s="44">
        <v>0.096</v>
      </c>
      <c r="F1023" s="31">
        <f>TRUNC(26.15,2)</f>
        <v>26.15</v>
      </c>
      <c r="G1023" s="32">
        <f>TRUNC(E1023*F1023,2)</f>
        <v>2.51</v>
      </c>
      <c r="H1023" s="32"/>
      <c r="I1023" s="33"/>
      <c r="J1023" s="33"/>
      <c r="K1023" s="44"/>
    </row>
    <row r="1024" spans="1:11" s="34" customFormat="1" ht="15">
      <c r="A1024" s="30"/>
      <c r="B1024" s="43"/>
      <c r="C1024" s="45"/>
      <c r="D1024" s="46"/>
      <c r="E1024" s="44" t="s">
        <v>5</v>
      </c>
      <c r="F1024" s="31"/>
      <c r="G1024" s="32">
        <f>TRUNC(SUM(G1020:G1023),2)</f>
        <v>45.13</v>
      </c>
      <c r="H1024" s="32"/>
      <c r="I1024" s="33"/>
      <c r="J1024" s="33"/>
      <c r="K1024" s="44"/>
    </row>
    <row r="1025" spans="1:11" s="88" customFormat="1" ht="47.25" customHeight="1">
      <c r="A1025" s="80" t="s">
        <v>1649</v>
      </c>
      <c r="B1025" s="81" t="s">
        <v>741</v>
      </c>
      <c r="C1025" s="82" t="s">
        <v>742</v>
      </c>
      <c r="D1025" s="83" t="s">
        <v>10</v>
      </c>
      <c r="E1025" s="84">
        <v>5</v>
      </c>
      <c r="F1025" s="85">
        <f>TRUNC(G1029,2)</f>
        <v>45.76</v>
      </c>
      <c r="G1025" s="86">
        <f>TRUNC(F1025*1.2882,2)</f>
        <v>58.94</v>
      </c>
      <c r="H1025" s="86">
        <f>TRUNC(F1025*E1025,2)</f>
        <v>228.8</v>
      </c>
      <c r="I1025" s="87">
        <f>TRUNC(E1025*G1025,2)</f>
        <v>294.7</v>
      </c>
      <c r="J1025" s="87"/>
      <c r="K1025" s="84"/>
    </row>
    <row r="1026" spans="1:11" s="34" customFormat="1" ht="15">
      <c r="A1026" s="30"/>
      <c r="B1026" s="43" t="s">
        <v>743</v>
      </c>
      <c r="C1026" s="45" t="s">
        <v>744</v>
      </c>
      <c r="D1026" s="46" t="s">
        <v>10</v>
      </c>
      <c r="E1026" s="44">
        <v>1</v>
      </c>
      <c r="F1026" s="31">
        <f>TRUNC(35.4,2)</f>
        <v>35.4</v>
      </c>
      <c r="G1026" s="32">
        <f>TRUNC(E1026*F1026,2)</f>
        <v>35.4</v>
      </c>
      <c r="H1026" s="32"/>
      <c r="I1026" s="33"/>
      <c r="J1026" s="33"/>
      <c r="K1026" s="44"/>
    </row>
    <row r="1027" spans="1:11" s="34" customFormat="1" ht="15">
      <c r="A1027" s="30"/>
      <c r="B1027" s="43" t="s">
        <v>283</v>
      </c>
      <c r="C1027" s="45" t="s">
        <v>32</v>
      </c>
      <c r="D1027" s="46" t="s">
        <v>4</v>
      </c>
      <c r="E1027" s="44">
        <v>0.0996</v>
      </c>
      <c r="F1027" s="31">
        <f>TRUNC(21.13,2)</f>
        <v>21.13</v>
      </c>
      <c r="G1027" s="32">
        <f>TRUNC(E1027*F1027,2)</f>
        <v>2.1</v>
      </c>
      <c r="H1027" s="32"/>
      <c r="I1027" s="33"/>
      <c r="J1027" s="33"/>
      <c r="K1027" s="44"/>
    </row>
    <row r="1028" spans="1:11" s="34" customFormat="1" ht="15">
      <c r="A1028" s="30"/>
      <c r="B1028" s="43" t="s">
        <v>416</v>
      </c>
      <c r="C1028" s="45" t="s">
        <v>417</v>
      </c>
      <c r="D1028" s="46" t="s">
        <v>4</v>
      </c>
      <c r="E1028" s="44">
        <v>0.3162</v>
      </c>
      <c r="F1028" s="31">
        <f>TRUNC(26.15,2)</f>
        <v>26.15</v>
      </c>
      <c r="G1028" s="32">
        <f>TRUNC(E1028*F1028,2)</f>
        <v>8.26</v>
      </c>
      <c r="H1028" s="32"/>
      <c r="I1028" s="33"/>
      <c r="J1028" s="33"/>
      <c r="K1028" s="44"/>
    </row>
    <row r="1029" spans="1:11" s="34" customFormat="1" ht="15">
      <c r="A1029" s="30"/>
      <c r="B1029" s="43"/>
      <c r="C1029" s="45"/>
      <c r="D1029" s="46"/>
      <c r="E1029" s="44" t="s">
        <v>5</v>
      </c>
      <c r="F1029" s="31"/>
      <c r="G1029" s="32">
        <f>TRUNC(SUM(G1026:G1028),2)</f>
        <v>45.76</v>
      </c>
      <c r="H1029" s="32"/>
      <c r="I1029" s="33"/>
      <c r="J1029" s="33"/>
      <c r="K1029" s="44"/>
    </row>
    <row r="1030" spans="1:11" s="88" customFormat="1" ht="60">
      <c r="A1030" s="80" t="s">
        <v>1650</v>
      </c>
      <c r="B1030" s="81" t="s">
        <v>745</v>
      </c>
      <c r="C1030" s="82" t="s">
        <v>746</v>
      </c>
      <c r="D1030" s="83" t="s">
        <v>10</v>
      </c>
      <c r="E1030" s="84">
        <v>6</v>
      </c>
      <c r="F1030" s="85">
        <f>TRUNC(G1034,2)</f>
        <v>104.6</v>
      </c>
      <c r="G1030" s="86">
        <f>TRUNC(F1030*1.2882,2)</f>
        <v>134.74</v>
      </c>
      <c r="H1030" s="86">
        <f>TRUNC(F1030*E1030,2)</f>
        <v>627.6</v>
      </c>
      <c r="I1030" s="87">
        <f>TRUNC(E1030*G1030,2)</f>
        <v>808.44</v>
      </c>
      <c r="J1030" s="87"/>
      <c r="K1030" s="84"/>
    </row>
    <row r="1031" spans="1:11" s="34" customFormat="1" ht="15">
      <c r="A1031" s="30"/>
      <c r="B1031" s="43" t="s">
        <v>747</v>
      </c>
      <c r="C1031" s="45" t="s">
        <v>748</v>
      </c>
      <c r="D1031" s="46" t="s">
        <v>10</v>
      </c>
      <c r="E1031" s="44">
        <v>1</v>
      </c>
      <c r="F1031" s="31">
        <f>TRUNC(69.43,2)</f>
        <v>69.43</v>
      </c>
      <c r="G1031" s="32">
        <f>TRUNC(E1031*F1031,2)</f>
        <v>69.43</v>
      </c>
      <c r="H1031" s="32"/>
      <c r="I1031" s="33"/>
      <c r="J1031" s="33"/>
      <c r="K1031" s="44"/>
    </row>
    <row r="1032" spans="1:11" s="34" customFormat="1" ht="30">
      <c r="A1032" s="30"/>
      <c r="B1032" s="43" t="s">
        <v>26</v>
      </c>
      <c r="C1032" s="45" t="s">
        <v>27</v>
      </c>
      <c r="D1032" s="46" t="s">
        <v>4</v>
      </c>
      <c r="E1032" s="44">
        <v>1.03</v>
      </c>
      <c r="F1032" s="31">
        <f>TRUNC(14.34,2)</f>
        <v>14.34</v>
      </c>
      <c r="G1032" s="32">
        <f>TRUNC(E1032*F1032,2)</f>
        <v>14.77</v>
      </c>
      <c r="H1032" s="32"/>
      <c r="I1032" s="33"/>
      <c r="J1032" s="33"/>
      <c r="K1032" s="44"/>
    </row>
    <row r="1033" spans="1:11" s="34" customFormat="1" ht="15">
      <c r="A1033" s="30"/>
      <c r="B1033" s="43" t="s">
        <v>239</v>
      </c>
      <c r="C1033" s="45" t="s">
        <v>240</v>
      </c>
      <c r="D1033" s="46" t="s">
        <v>4</v>
      </c>
      <c r="E1033" s="44">
        <v>1.03</v>
      </c>
      <c r="F1033" s="31">
        <f>TRUNC(19.81,2)</f>
        <v>19.81</v>
      </c>
      <c r="G1033" s="32">
        <f>TRUNC(E1033*F1033,2)</f>
        <v>20.4</v>
      </c>
      <c r="H1033" s="32"/>
      <c r="I1033" s="33"/>
      <c r="J1033" s="33"/>
      <c r="K1033" s="44"/>
    </row>
    <row r="1034" spans="1:11" s="34" customFormat="1" ht="15">
      <c r="A1034" s="30"/>
      <c r="B1034" s="43"/>
      <c r="C1034" s="45"/>
      <c r="D1034" s="46"/>
      <c r="E1034" s="44" t="s">
        <v>5</v>
      </c>
      <c r="F1034" s="31"/>
      <c r="G1034" s="32">
        <f>TRUNC(SUM(G1031:G1033),2)</f>
        <v>104.6</v>
      </c>
      <c r="H1034" s="32"/>
      <c r="I1034" s="33"/>
      <c r="J1034" s="33"/>
      <c r="K1034" s="44"/>
    </row>
    <row r="1035" spans="1:11" s="88" customFormat="1" ht="30">
      <c r="A1035" s="80" t="s">
        <v>1651</v>
      </c>
      <c r="B1035" s="81" t="s">
        <v>1133</v>
      </c>
      <c r="C1035" s="82" t="s">
        <v>1134</v>
      </c>
      <c r="D1035" s="83" t="s">
        <v>10</v>
      </c>
      <c r="E1035" s="84">
        <v>20</v>
      </c>
      <c r="F1035" s="85">
        <f>TRUNC(G1039,2)</f>
        <v>49.26</v>
      </c>
      <c r="G1035" s="86">
        <f>TRUNC(F1035*1.2882,2)</f>
        <v>63.45</v>
      </c>
      <c r="H1035" s="86">
        <f>TRUNC(F1035*E1035,2)</f>
        <v>985.2</v>
      </c>
      <c r="I1035" s="87">
        <f>TRUNC(E1035*G1035,2)</f>
        <v>1269</v>
      </c>
      <c r="J1035" s="87"/>
      <c r="K1035" s="84"/>
    </row>
    <row r="1036" spans="1:11" s="34" customFormat="1" ht="30">
      <c r="A1036" s="30"/>
      <c r="B1036" s="43" t="s">
        <v>1135</v>
      </c>
      <c r="C1036" s="45" t="s">
        <v>1136</v>
      </c>
      <c r="D1036" s="46" t="s">
        <v>10</v>
      </c>
      <c r="E1036" s="44">
        <v>1</v>
      </c>
      <c r="F1036" s="31">
        <f>TRUNC(38.9,2)</f>
        <v>38.9</v>
      </c>
      <c r="G1036" s="32">
        <f>TRUNC(E1036*F1036,2)</f>
        <v>38.9</v>
      </c>
      <c r="H1036" s="32"/>
      <c r="I1036" s="33"/>
      <c r="J1036" s="33"/>
      <c r="K1036" s="44"/>
    </row>
    <row r="1037" spans="1:11" s="34" customFormat="1" ht="15">
      <c r="A1037" s="30"/>
      <c r="B1037" s="43" t="s">
        <v>283</v>
      </c>
      <c r="C1037" s="45" t="s">
        <v>32</v>
      </c>
      <c r="D1037" s="46" t="s">
        <v>4</v>
      </c>
      <c r="E1037" s="44">
        <v>0.0996</v>
      </c>
      <c r="F1037" s="31">
        <f>TRUNC(21.13,2)</f>
        <v>21.13</v>
      </c>
      <c r="G1037" s="32">
        <f>TRUNC(E1037*F1037,2)</f>
        <v>2.1</v>
      </c>
      <c r="H1037" s="32"/>
      <c r="I1037" s="33"/>
      <c r="J1037" s="33"/>
      <c r="K1037" s="44"/>
    </row>
    <row r="1038" spans="1:11" s="34" customFormat="1" ht="15">
      <c r="A1038" s="30"/>
      <c r="B1038" s="43" t="s">
        <v>416</v>
      </c>
      <c r="C1038" s="45" t="s">
        <v>417</v>
      </c>
      <c r="D1038" s="46" t="s">
        <v>4</v>
      </c>
      <c r="E1038" s="44">
        <v>0.3162</v>
      </c>
      <c r="F1038" s="31">
        <f>TRUNC(26.15,2)</f>
        <v>26.15</v>
      </c>
      <c r="G1038" s="32">
        <f>TRUNC(E1038*F1038,2)</f>
        <v>8.26</v>
      </c>
      <c r="H1038" s="32"/>
      <c r="I1038" s="33"/>
      <c r="J1038" s="33"/>
      <c r="K1038" s="44"/>
    </row>
    <row r="1039" spans="1:11" s="34" customFormat="1" ht="15">
      <c r="A1039" s="30"/>
      <c r="B1039" s="43"/>
      <c r="C1039" s="45"/>
      <c r="D1039" s="46"/>
      <c r="E1039" s="44" t="s">
        <v>5</v>
      </c>
      <c r="F1039" s="31"/>
      <c r="G1039" s="32">
        <f>TRUNC(SUM(G1036:G1038),2)</f>
        <v>49.26</v>
      </c>
      <c r="H1039" s="32"/>
      <c r="I1039" s="33"/>
      <c r="J1039" s="33"/>
      <c r="K1039" s="44"/>
    </row>
    <row r="1040" spans="1:11" s="88" customFormat="1" ht="45">
      <c r="A1040" s="80" t="s">
        <v>1652</v>
      </c>
      <c r="B1040" s="81" t="s">
        <v>2246</v>
      </c>
      <c r="C1040" s="82" t="s">
        <v>1137</v>
      </c>
      <c r="D1040" s="83" t="s">
        <v>10</v>
      </c>
      <c r="E1040" s="84">
        <v>2</v>
      </c>
      <c r="F1040" s="85">
        <f>TRUNC(G1053+G1057,2)</f>
        <v>205.14</v>
      </c>
      <c r="G1040" s="86">
        <f>TRUNC(F1040*1.2882,2)</f>
        <v>264.26</v>
      </c>
      <c r="H1040" s="86">
        <f>TRUNC(F1040*E1040,2)</f>
        <v>410.28</v>
      </c>
      <c r="I1040" s="87">
        <f>TRUNC(E1040*G1040,2)</f>
        <v>528.52</v>
      </c>
      <c r="J1040" s="87" t="s">
        <v>2245</v>
      </c>
      <c r="K1040" s="84"/>
    </row>
    <row r="1041" spans="1:11" s="34" customFormat="1" ht="15">
      <c r="A1041" s="30"/>
      <c r="B1041" s="43" t="s">
        <v>1138</v>
      </c>
      <c r="C1041" s="45" t="s">
        <v>1139</v>
      </c>
      <c r="D1041" s="46" t="s">
        <v>10</v>
      </c>
      <c r="E1041" s="44">
        <v>1</v>
      </c>
      <c r="F1041" s="31">
        <f>TRUNC(1.3,2)</f>
        <v>1.3</v>
      </c>
      <c r="G1041" s="32">
        <f aca="true" t="shared" si="49" ref="G1041:G1052">TRUNC(E1041*F1041,2)</f>
        <v>1.3</v>
      </c>
      <c r="H1041" s="32"/>
      <c r="I1041" s="33"/>
      <c r="J1041" s="33"/>
      <c r="K1041" s="44"/>
    </row>
    <row r="1042" spans="1:11" s="34" customFormat="1" ht="15">
      <c r="A1042" s="30"/>
      <c r="B1042" s="43" t="s">
        <v>1117</v>
      </c>
      <c r="C1042" s="45" t="s">
        <v>1118</v>
      </c>
      <c r="D1042" s="46" t="s">
        <v>10</v>
      </c>
      <c r="E1042" s="44">
        <v>1</v>
      </c>
      <c r="F1042" s="31">
        <f>TRUNC(4.99,2)</f>
        <v>4.99</v>
      </c>
      <c r="G1042" s="32">
        <f t="shared" si="49"/>
        <v>4.99</v>
      </c>
      <c r="H1042" s="32"/>
      <c r="I1042" s="33"/>
      <c r="J1042" s="33"/>
      <c r="K1042" s="44"/>
    </row>
    <row r="1043" spans="1:11" s="34" customFormat="1" ht="15">
      <c r="A1043" s="30"/>
      <c r="B1043" s="43" t="s">
        <v>1119</v>
      </c>
      <c r="C1043" s="45" t="s">
        <v>1120</v>
      </c>
      <c r="D1043" s="46" t="s">
        <v>10</v>
      </c>
      <c r="E1043" s="44">
        <v>1</v>
      </c>
      <c r="F1043" s="31">
        <f>TRUNC(0.5,2)</f>
        <v>0.5</v>
      </c>
      <c r="G1043" s="32">
        <f t="shared" si="49"/>
        <v>0.5</v>
      </c>
      <c r="H1043" s="32"/>
      <c r="I1043" s="33"/>
      <c r="J1043" s="33"/>
      <c r="K1043" s="44"/>
    </row>
    <row r="1044" spans="1:11" s="34" customFormat="1" ht="15">
      <c r="A1044" s="30"/>
      <c r="B1044" s="43" t="s">
        <v>1121</v>
      </c>
      <c r="C1044" s="45" t="s">
        <v>1122</v>
      </c>
      <c r="D1044" s="46" t="s">
        <v>10</v>
      </c>
      <c r="E1044" s="44">
        <v>1</v>
      </c>
      <c r="F1044" s="31">
        <f>TRUNC(0.71,2)</f>
        <v>0.71</v>
      </c>
      <c r="G1044" s="32">
        <f t="shared" si="49"/>
        <v>0.71</v>
      </c>
      <c r="H1044" s="32"/>
      <c r="I1044" s="33"/>
      <c r="J1044" s="33"/>
      <c r="K1044" s="44"/>
    </row>
    <row r="1045" spans="1:11" s="34" customFormat="1" ht="30">
      <c r="A1045" s="30"/>
      <c r="B1045" s="43" t="s">
        <v>1123</v>
      </c>
      <c r="C1045" s="45" t="s">
        <v>1124</v>
      </c>
      <c r="D1045" s="46" t="s">
        <v>10</v>
      </c>
      <c r="E1045" s="44">
        <v>0.09</v>
      </c>
      <c r="F1045" s="31">
        <f>TRUNC(55.69,2)</f>
        <v>55.69</v>
      </c>
      <c r="G1045" s="32">
        <f t="shared" si="49"/>
        <v>5.01</v>
      </c>
      <c r="H1045" s="32"/>
      <c r="I1045" s="33"/>
      <c r="J1045" s="33"/>
      <c r="K1045" s="44"/>
    </row>
    <row r="1046" spans="1:11" s="34" customFormat="1" ht="30">
      <c r="A1046" s="30"/>
      <c r="B1046" s="43" t="s">
        <v>442</v>
      </c>
      <c r="C1046" s="45" t="s">
        <v>443</v>
      </c>
      <c r="D1046" s="46" t="s">
        <v>10</v>
      </c>
      <c r="E1046" s="44">
        <v>0</v>
      </c>
      <c r="F1046" s="31">
        <f>TRUNC(17.95,2)</f>
        <v>17.95</v>
      </c>
      <c r="G1046" s="32">
        <f t="shared" si="49"/>
        <v>0</v>
      </c>
      <c r="H1046" s="32"/>
      <c r="I1046" s="33"/>
      <c r="J1046" s="33"/>
      <c r="K1046" s="44"/>
    </row>
    <row r="1047" spans="1:11" s="34" customFormat="1" ht="30">
      <c r="A1047" s="30"/>
      <c r="B1047" s="43" t="s">
        <v>1125</v>
      </c>
      <c r="C1047" s="45" t="s">
        <v>1126</v>
      </c>
      <c r="D1047" s="46" t="s">
        <v>10</v>
      </c>
      <c r="E1047" s="44">
        <v>0</v>
      </c>
      <c r="F1047" s="31">
        <f>TRUNC(6.87,2)</f>
        <v>6.87</v>
      </c>
      <c r="G1047" s="32">
        <f t="shared" si="49"/>
        <v>0</v>
      </c>
      <c r="H1047" s="32"/>
      <c r="I1047" s="33"/>
      <c r="J1047" s="33"/>
      <c r="K1047" s="44"/>
    </row>
    <row r="1048" spans="1:11" s="34" customFormat="1" ht="30">
      <c r="A1048" s="30"/>
      <c r="B1048" s="43" t="s">
        <v>109</v>
      </c>
      <c r="C1048" s="45" t="s">
        <v>110</v>
      </c>
      <c r="D1048" s="46" t="s">
        <v>10</v>
      </c>
      <c r="E1048" s="44">
        <v>0</v>
      </c>
      <c r="F1048" s="31">
        <f>TRUNC(28.23,2)</f>
        <v>28.23</v>
      </c>
      <c r="G1048" s="32">
        <f t="shared" si="49"/>
        <v>0</v>
      </c>
      <c r="H1048" s="32"/>
      <c r="I1048" s="33"/>
      <c r="J1048" s="33"/>
      <c r="K1048" s="44"/>
    </row>
    <row r="1049" spans="1:11" s="34" customFormat="1" ht="15">
      <c r="A1049" s="30"/>
      <c r="B1049" s="43" t="s">
        <v>1127</v>
      </c>
      <c r="C1049" s="45" t="s">
        <v>1128</v>
      </c>
      <c r="D1049" s="46" t="s">
        <v>10</v>
      </c>
      <c r="E1049" s="44">
        <v>0.5</v>
      </c>
      <c r="F1049" s="31">
        <f>TRUNC(1.21,2)</f>
        <v>1.21</v>
      </c>
      <c r="G1049" s="32">
        <f t="shared" si="49"/>
        <v>0.6</v>
      </c>
      <c r="H1049" s="32"/>
      <c r="I1049" s="33"/>
      <c r="J1049" s="33"/>
      <c r="K1049" s="44"/>
    </row>
    <row r="1050" spans="1:11" s="34" customFormat="1" ht="15">
      <c r="A1050" s="30"/>
      <c r="B1050" s="43" t="s">
        <v>141</v>
      </c>
      <c r="C1050" s="45" t="s">
        <v>142</v>
      </c>
      <c r="D1050" s="46" t="s">
        <v>10</v>
      </c>
      <c r="E1050" s="44">
        <v>0.67</v>
      </c>
      <c r="F1050" s="31">
        <f>TRUNC(5.35,2)</f>
        <v>5.35</v>
      </c>
      <c r="G1050" s="32">
        <f t="shared" si="49"/>
        <v>3.58</v>
      </c>
      <c r="H1050" s="32"/>
      <c r="I1050" s="33"/>
      <c r="J1050" s="33"/>
      <c r="K1050" s="44"/>
    </row>
    <row r="1051" spans="1:11" s="34" customFormat="1" ht="30">
      <c r="A1051" s="30"/>
      <c r="B1051" s="43" t="s">
        <v>26</v>
      </c>
      <c r="C1051" s="45" t="s">
        <v>27</v>
      </c>
      <c r="D1051" s="46" t="s">
        <v>4</v>
      </c>
      <c r="E1051" s="44">
        <v>3.09</v>
      </c>
      <c r="F1051" s="31">
        <f>TRUNC(14.34,2)</f>
        <v>14.34</v>
      </c>
      <c r="G1051" s="32">
        <f t="shared" si="49"/>
        <v>44.31</v>
      </c>
      <c r="H1051" s="32"/>
      <c r="I1051" s="33"/>
      <c r="J1051" s="33"/>
      <c r="K1051" s="44"/>
    </row>
    <row r="1052" spans="1:11" s="58" customFormat="1" ht="28.5">
      <c r="A1052" s="54"/>
      <c r="B1052" s="52" t="s">
        <v>209</v>
      </c>
      <c r="C1052" s="55" t="s">
        <v>210</v>
      </c>
      <c r="D1052" s="56" t="s">
        <v>4</v>
      </c>
      <c r="E1052" s="57">
        <v>4</v>
      </c>
      <c r="F1052" s="53">
        <f>TRUNC(19.81,2)</f>
        <v>19.81</v>
      </c>
      <c r="G1052" s="50">
        <f t="shared" si="49"/>
        <v>79.24</v>
      </c>
      <c r="H1052" s="50"/>
      <c r="I1052" s="51"/>
      <c r="J1052" s="51"/>
      <c r="K1052" s="57"/>
    </row>
    <row r="1053" spans="1:11" s="34" customFormat="1" ht="15">
      <c r="A1053" s="30"/>
      <c r="B1053" s="43"/>
      <c r="C1053" s="45"/>
      <c r="D1053" s="46"/>
      <c r="E1053" s="44" t="s">
        <v>5</v>
      </c>
      <c r="F1053" s="31"/>
      <c r="G1053" s="32">
        <f>TRUNC(SUM(G1041:G1052),2)</f>
        <v>140.24</v>
      </c>
      <c r="H1053" s="32"/>
      <c r="I1053" s="33"/>
      <c r="J1053" s="33"/>
      <c r="K1053" s="44"/>
    </row>
    <row r="1054" spans="1:11" s="34" customFormat="1" ht="24.75" customHeight="1">
      <c r="A1054" s="30"/>
      <c r="B1054" s="52" t="s">
        <v>827</v>
      </c>
      <c r="C1054" s="55" t="s">
        <v>1141</v>
      </c>
      <c r="D1054" s="46" t="s">
        <v>10</v>
      </c>
      <c r="E1054" s="44">
        <v>1</v>
      </c>
      <c r="F1054" s="31">
        <v>50.99</v>
      </c>
      <c r="G1054" s="32">
        <f>TRUNC(E1054*F1054,2)</f>
        <v>50.99</v>
      </c>
      <c r="H1054" s="32"/>
      <c r="I1054" s="33"/>
      <c r="J1054" s="33"/>
      <c r="K1054" s="44"/>
    </row>
    <row r="1055" spans="1:11" s="34" customFormat="1" ht="24.75" customHeight="1">
      <c r="A1055" s="30"/>
      <c r="B1055" s="52" t="s">
        <v>827</v>
      </c>
      <c r="C1055" s="55" t="s">
        <v>1140</v>
      </c>
      <c r="D1055" s="46" t="s">
        <v>10</v>
      </c>
      <c r="E1055" s="44">
        <v>1</v>
      </c>
      <c r="F1055" s="31">
        <v>102.98</v>
      </c>
      <c r="G1055" s="32">
        <f>TRUNC(E1055*F1055,2)</f>
        <v>102.98</v>
      </c>
      <c r="H1055" s="32"/>
      <c r="I1055" s="33"/>
      <c r="J1055" s="33"/>
      <c r="K1055" s="44"/>
    </row>
    <row r="1056" spans="1:11" s="34" customFormat="1" ht="23.25" customHeight="1">
      <c r="A1056" s="30"/>
      <c r="B1056" s="52" t="s">
        <v>827</v>
      </c>
      <c r="C1056" s="55" t="s">
        <v>1143</v>
      </c>
      <c r="D1056" s="46" t="s">
        <v>10</v>
      </c>
      <c r="E1056" s="44">
        <v>1</v>
      </c>
      <c r="F1056" s="31">
        <v>64.9</v>
      </c>
      <c r="G1056" s="32">
        <f>TRUNC(E1056*F1056,2)</f>
        <v>64.9</v>
      </c>
      <c r="H1056" s="32"/>
      <c r="I1056" s="33"/>
      <c r="J1056" s="33"/>
      <c r="K1056" s="44"/>
    </row>
    <row r="1057" spans="1:11" s="34" customFormat="1" ht="15">
      <c r="A1057" s="30"/>
      <c r="B1057" s="43"/>
      <c r="C1057" s="45"/>
      <c r="D1057" s="46"/>
      <c r="E1057" s="44" t="s">
        <v>5</v>
      </c>
      <c r="F1057" s="59" t="s">
        <v>1142</v>
      </c>
      <c r="G1057" s="32">
        <v>64.9</v>
      </c>
      <c r="H1057" s="32"/>
      <c r="I1057" s="33"/>
      <c r="J1057" s="33"/>
      <c r="K1057" s="44"/>
    </row>
    <row r="1058" spans="1:11" s="88" customFormat="1" ht="30">
      <c r="A1058" s="80" t="s">
        <v>1653</v>
      </c>
      <c r="B1058" s="81" t="s">
        <v>1144</v>
      </c>
      <c r="C1058" s="82" t="s">
        <v>1145</v>
      </c>
      <c r="D1058" s="83" t="s">
        <v>10</v>
      </c>
      <c r="E1058" s="84">
        <v>8</v>
      </c>
      <c r="F1058" s="85">
        <f>TRUNC(G1063+G1067,2)</f>
        <v>97.13</v>
      </c>
      <c r="G1058" s="86">
        <f>TRUNC(F1058*1.2882,2)</f>
        <v>125.12</v>
      </c>
      <c r="H1058" s="86">
        <f>TRUNC(F1058*E1058,2)</f>
        <v>777.04</v>
      </c>
      <c r="I1058" s="87">
        <f>TRUNC(E1058*G1058,2)</f>
        <v>1000.96</v>
      </c>
      <c r="J1058" s="87"/>
      <c r="K1058" s="84"/>
    </row>
    <row r="1059" spans="1:11" s="34" customFormat="1" ht="15">
      <c r="A1059" s="30"/>
      <c r="B1059" s="43" t="s">
        <v>731</v>
      </c>
      <c r="C1059" s="45" t="s">
        <v>732</v>
      </c>
      <c r="D1059" s="46" t="s">
        <v>10</v>
      </c>
      <c r="E1059" s="44">
        <v>0.021</v>
      </c>
      <c r="F1059" s="31">
        <f>TRUNC(3.9,2)</f>
        <v>3.9</v>
      </c>
      <c r="G1059" s="32">
        <f>TRUNC(E1059*F1059,2)</f>
        <v>0.08</v>
      </c>
      <c r="H1059" s="32"/>
      <c r="I1059" s="33"/>
      <c r="J1059" s="33"/>
      <c r="K1059" s="44"/>
    </row>
    <row r="1060" spans="1:11" s="34" customFormat="1" ht="30">
      <c r="A1060" s="30"/>
      <c r="B1060" s="43" t="s">
        <v>1146</v>
      </c>
      <c r="C1060" s="45" t="s">
        <v>1147</v>
      </c>
      <c r="D1060" s="46" t="s">
        <v>10</v>
      </c>
      <c r="E1060" s="44">
        <v>1</v>
      </c>
      <c r="F1060" s="31">
        <f>TRUNC(68.45,2)</f>
        <v>68.45</v>
      </c>
      <c r="G1060" s="32">
        <f>TRUNC(E1060*F1060,2)</f>
        <v>68.45</v>
      </c>
      <c r="H1060" s="32"/>
      <c r="I1060" s="33"/>
      <c r="J1060" s="33"/>
      <c r="K1060" s="44"/>
    </row>
    <row r="1061" spans="1:11" s="34" customFormat="1" ht="15">
      <c r="A1061" s="30"/>
      <c r="B1061" s="43" t="s">
        <v>283</v>
      </c>
      <c r="C1061" s="45" t="s">
        <v>32</v>
      </c>
      <c r="D1061" s="46" t="s">
        <v>4</v>
      </c>
      <c r="E1061" s="44">
        <v>0.1407</v>
      </c>
      <c r="F1061" s="31">
        <f>TRUNC(21.13,2)</f>
        <v>21.13</v>
      </c>
      <c r="G1061" s="32">
        <f>TRUNC(E1061*F1061,2)</f>
        <v>2.97</v>
      </c>
      <c r="H1061" s="32"/>
      <c r="I1061" s="33"/>
      <c r="J1061" s="33"/>
      <c r="K1061" s="44"/>
    </row>
    <row r="1062" spans="1:11" s="34" customFormat="1" ht="15">
      <c r="A1062" s="30"/>
      <c r="B1062" s="43" t="s">
        <v>416</v>
      </c>
      <c r="C1062" s="45" t="s">
        <v>417</v>
      </c>
      <c r="D1062" s="46" t="s">
        <v>4</v>
      </c>
      <c r="E1062" s="44">
        <v>0.4467</v>
      </c>
      <c r="F1062" s="31">
        <f>TRUNC(26.15,2)</f>
        <v>26.15</v>
      </c>
      <c r="G1062" s="32">
        <f>TRUNC(E1062*F1062,2)</f>
        <v>11.68</v>
      </c>
      <c r="H1062" s="32"/>
      <c r="I1062" s="33"/>
      <c r="J1062" s="33"/>
      <c r="K1062" s="44"/>
    </row>
    <row r="1063" spans="1:11" s="34" customFormat="1" ht="15">
      <c r="A1063" s="30"/>
      <c r="B1063" s="43"/>
      <c r="C1063" s="45"/>
      <c r="D1063" s="46"/>
      <c r="E1063" s="44" t="s">
        <v>5</v>
      </c>
      <c r="F1063" s="31"/>
      <c r="G1063" s="32">
        <f>TRUNC(SUM(G1059:G1062),2)</f>
        <v>83.18</v>
      </c>
      <c r="H1063" s="32"/>
      <c r="I1063" s="33"/>
      <c r="J1063" s="33"/>
      <c r="K1063" s="44"/>
    </row>
    <row r="1064" spans="1:11" s="34" customFormat="1" ht="15">
      <c r="A1064" s="30"/>
      <c r="B1064" s="52" t="s">
        <v>827</v>
      </c>
      <c r="C1064" s="55" t="s">
        <v>1148</v>
      </c>
      <c r="D1064" s="46" t="s">
        <v>10</v>
      </c>
      <c r="E1064" s="44">
        <v>1</v>
      </c>
      <c r="F1064" s="31">
        <v>13.95</v>
      </c>
      <c r="G1064" s="32">
        <f>TRUNC(E1064*F1064,2)</f>
        <v>13.95</v>
      </c>
      <c r="H1064" s="32"/>
      <c r="I1064" s="33"/>
      <c r="J1064" s="33"/>
      <c r="K1064" s="44"/>
    </row>
    <row r="1065" spans="1:11" s="34" customFormat="1" ht="30" customHeight="1">
      <c r="A1065" s="30"/>
      <c r="B1065" s="52" t="s">
        <v>827</v>
      </c>
      <c r="C1065" s="55" t="s">
        <v>1149</v>
      </c>
      <c r="D1065" s="46" t="s">
        <v>10</v>
      </c>
      <c r="E1065" s="44">
        <v>1</v>
      </c>
      <c r="F1065" s="31">
        <v>17.87</v>
      </c>
      <c r="G1065" s="32">
        <f>TRUNC(E1065*F1065,2)</f>
        <v>17.87</v>
      </c>
      <c r="H1065" s="32"/>
      <c r="I1065" s="33"/>
      <c r="J1065" s="33"/>
      <c r="K1065" s="44"/>
    </row>
    <row r="1066" spans="1:11" s="34" customFormat="1" ht="31.5" customHeight="1">
      <c r="A1066" s="30"/>
      <c r="B1066" s="52" t="s">
        <v>827</v>
      </c>
      <c r="C1066" s="55" t="s">
        <v>1150</v>
      </c>
      <c r="D1066" s="46" t="s">
        <v>10</v>
      </c>
      <c r="E1066" s="44">
        <v>1</v>
      </c>
      <c r="F1066" s="31">
        <v>12.5</v>
      </c>
      <c r="G1066" s="32">
        <f>TRUNC(E1066*F1066,2)</f>
        <v>12.5</v>
      </c>
      <c r="H1066" s="32"/>
      <c r="I1066" s="33"/>
      <c r="J1066" s="33"/>
      <c r="K1066" s="44"/>
    </row>
    <row r="1067" spans="1:11" s="34" customFormat="1" ht="15">
      <c r="A1067" s="30"/>
      <c r="B1067" s="43"/>
      <c r="C1067" s="45"/>
      <c r="D1067" s="46"/>
      <c r="E1067" s="44" t="s">
        <v>5</v>
      </c>
      <c r="F1067" s="59" t="s">
        <v>1142</v>
      </c>
      <c r="G1067" s="32">
        <f>G1064</f>
        <v>13.95</v>
      </c>
      <c r="H1067" s="32"/>
      <c r="I1067" s="33"/>
      <c r="J1067" s="33"/>
      <c r="K1067" s="44"/>
    </row>
    <row r="1068" spans="1:11" s="88" customFormat="1" ht="60">
      <c r="A1068" s="80" t="s">
        <v>1654</v>
      </c>
      <c r="B1068" s="81" t="s">
        <v>1151</v>
      </c>
      <c r="C1068" s="82" t="s">
        <v>1152</v>
      </c>
      <c r="D1068" s="83" t="s">
        <v>10</v>
      </c>
      <c r="E1068" s="84">
        <v>2</v>
      </c>
      <c r="F1068" s="85">
        <f>TRUNC(G1071+G1075,2)</f>
        <v>129.85</v>
      </c>
      <c r="G1068" s="86">
        <f>TRUNC(F1068*1.2882,2)</f>
        <v>167.27</v>
      </c>
      <c r="H1068" s="86">
        <f>TRUNC(F1068*E1068,2)</f>
        <v>259.7</v>
      </c>
      <c r="I1068" s="87">
        <f>TRUNC(E1068*G1068,2)</f>
        <v>334.54</v>
      </c>
      <c r="J1068" s="87"/>
      <c r="K1068" s="84"/>
    </row>
    <row r="1069" spans="1:11" s="34" customFormat="1" ht="30">
      <c r="A1069" s="30"/>
      <c r="B1069" s="43" t="s">
        <v>26</v>
      </c>
      <c r="C1069" s="45" t="s">
        <v>27</v>
      </c>
      <c r="D1069" s="46" t="s">
        <v>4</v>
      </c>
      <c r="E1069" s="44">
        <v>1</v>
      </c>
      <c r="F1069" s="59">
        <f>TRUNC(14.34,2)</f>
        <v>14.34</v>
      </c>
      <c r="G1069" s="32">
        <f>TRUNC(E1069*F1069,2)</f>
        <v>14.34</v>
      </c>
      <c r="H1069" s="32"/>
      <c r="I1069" s="33"/>
      <c r="J1069" s="33"/>
      <c r="K1069" s="44"/>
    </row>
    <row r="1070" spans="1:11" s="34" customFormat="1" ht="30">
      <c r="A1070" s="30"/>
      <c r="B1070" s="43" t="s">
        <v>209</v>
      </c>
      <c r="C1070" s="45" t="s">
        <v>210</v>
      </c>
      <c r="D1070" s="46" t="s">
        <v>4</v>
      </c>
      <c r="E1070" s="44">
        <v>1</v>
      </c>
      <c r="F1070" s="59">
        <f>TRUNC(19.81,2)</f>
        <v>19.81</v>
      </c>
      <c r="G1070" s="32">
        <f>TRUNC(E1070*F1070,2)</f>
        <v>19.81</v>
      </c>
      <c r="H1070" s="32"/>
      <c r="I1070" s="33"/>
      <c r="J1070" s="33"/>
      <c r="K1070" s="44"/>
    </row>
    <row r="1071" spans="1:11" s="34" customFormat="1" ht="15">
      <c r="A1071" s="30"/>
      <c r="B1071" s="43"/>
      <c r="C1071" s="45"/>
      <c r="D1071" s="46"/>
      <c r="E1071" s="44" t="s">
        <v>5</v>
      </c>
      <c r="F1071" s="59"/>
      <c r="G1071" s="32">
        <f>TRUNC(SUM(G1069:G1070),2)</f>
        <v>34.15</v>
      </c>
      <c r="H1071" s="32"/>
      <c r="I1071" s="33"/>
      <c r="J1071" s="33"/>
      <c r="K1071" s="44"/>
    </row>
    <row r="1072" spans="1:11" s="34" customFormat="1" ht="15">
      <c r="A1072" s="30"/>
      <c r="B1072" s="52" t="s">
        <v>827</v>
      </c>
      <c r="C1072" s="55" t="s">
        <v>1153</v>
      </c>
      <c r="D1072" s="46" t="s">
        <v>10</v>
      </c>
      <c r="E1072" s="44">
        <v>1</v>
      </c>
      <c r="F1072" s="31">
        <v>98.9</v>
      </c>
      <c r="G1072" s="32">
        <f>TRUNC(E1072*F1072,2)</f>
        <v>98.9</v>
      </c>
      <c r="H1072" s="32"/>
      <c r="I1072" s="33"/>
      <c r="J1072" s="33"/>
      <c r="K1072" s="44"/>
    </row>
    <row r="1073" spans="1:11" s="34" customFormat="1" ht="30" customHeight="1">
      <c r="A1073" s="30"/>
      <c r="B1073" s="52" t="s">
        <v>827</v>
      </c>
      <c r="C1073" s="55" t="s">
        <v>1154</v>
      </c>
      <c r="D1073" s="46" t="s">
        <v>10</v>
      </c>
      <c r="E1073" s="44">
        <v>1</v>
      </c>
      <c r="F1073" s="31">
        <v>95.7</v>
      </c>
      <c r="G1073" s="32">
        <f>TRUNC(E1073*F1073,2)</f>
        <v>95.7</v>
      </c>
      <c r="H1073" s="32"/>
      <c r="I1073" s="33"/>
      <c r="J1073" s="33"/>
      <c r="K1073" s="44"/>
    </row>
    <row r="1074" spans="1:11" s="34" customFormat="1" ht="31.5" customHeight="1">
      <c r="A1074" s="30"/>
      <c r="B1074" s="52" t="s">
        <v>827</v>
      </c>
      <c r="C1074" s="55" t="s">
        <v>1155</v>
      </c>
      <c r="D1074" s="46" t="s">
        <v>10</v>
      </c>
      <c r="E1074" s="44">
        <v>1</v>
      </c>
      <c r="F1074" s="31">
        <v>233.91</v>
      </c>
      <c r="G1074" s="32">
        <f>TRUNC(E1074*F1074,2)</f>
        <v>233.91</v>
      </c>
      <c r="H1074" s="32"/>
      <c r="I1074" s="33"/>
      <c r="J1074" s="33"/>
      <c r="K1074" s="44"/>
    </row>
    <row r="1075" spans="1:11" s="34" customFormat="1" ht="15">
      <c r="A1075" s="30"/>
      <c r="B1075" s="43"/>
      <c r="C1075" s="45"/>
      <c r="D1075" s="46"/>
      <c r="E1075" s="44" t="s">
        <v>5</v>
      </c>
      <c r="F1075" s="59" t="s">
        <v>1142</v>
      </c>
      <c r="G1075" s="32">
        <f>G1073</f>
        <v>95.7</v>
      </c>
      <c r="H1075" s="32"/>
      <c r="I1075" s="33"/>
      <c r="J1075" s="33"/>
      <c r="K1075" s="44"/>
    </row>
    <row r="1076" spans="1:11" s="88" customFormat="1" ht="30">
      <c r="A1076" s="80" t="s">
        <v>1655</v>
      </c>
      <c r="B1076" s="81" t="s">
        <v>737</v>
      </c>
      <c r="C1076" s="82" t="s">
        <v>738</v>
      </c>
      <c r="D1076" s="83" t="s">
        <v>10</v>
      </c>
      <c r="E1076" s="84">
        <v>9</v>
      </c>
      <c r="F1076" s="85">
        <f>TRUNC(G1081,2)</f>
        <v>45.13</v>
      </c>
      <c r="G1076" s="86">
        <f>TRUNC(F1076*1.2882,2)</f>
        <v>58.13</v>
      </c>
      <c r="H1076" s="86">
        <f>TRUNC(F1076*E1076,2)</f>
        <v>406.17</v>
      </c>
      <c r="I1076" s="87">
        <f>TRUNC(E1076*G1076,2)</f>
        <v>523.17</v>
      </c>
      <c r="J1076" s="87"/>
      <c r="K1076" s="84"/>
    </row>
    <row r="1077" spans="1:11" s="34" customFormat="1" ht="30">
      <c r="A1077" s="30"/>
      <c r="B1077" s="43" t="s">
        <v>739</v>
      </c>
      <c r="C1077" s="45" t="s">
        <v>740</v>
      </c>
      <c r="D1077" s="46" t="s">
        <v>10</v>
      </c>
      <c r="E1077" s="44">
        <v>1</v>
      </c>
      <c r="F1077" s="59">
        <f>TRUNC(41.9,2)</f>
        <v>41.9</v>
      </c>
      <c r="G1077" s="32">
        <f>TRUNC(E1077*F1077,2)</f>
        <v>41.9</v>
      </c>
      <c r="H1077" s="32"/>
      <c r="I1077" s="33"/>
      <c r="J1077" s="33"/>
      <c r="K1077" s="44"/>
    </row>
    <row r="1078" spans="1:11" s="34" customFormat="1" ht="15">
      <c r="A1078" s="30"/>
      <c r="B1078" s="43" t="s">
        <v>731</v>
      </c>
      <c r="C1078" s="45" t="s">
        <v>732</v>
      </c>
      <c r="D1078" s="46" t="s">
        <v>10</v>
      </c>
      <c r="E1078" s="44">
        <v>0.021</v>
      </c>
      <c r="F1078" s="59">
        <f>TRUNC(3.9,2)</f>
        <v>3.9</v>
      </c>
      <c r="G1078" s="32">
        <f>TRUNC(E1078*F1078,2)</f>
        <v>0.08</v>
      </c>
      <c r="H1078" s="32"/>
      <c r="I1078" s="33"/>
      <c r="J1078" s="33"/>
      <c r="K1078" s="44"/>
    </row>
    <row r="1079" spans="1:11" s="34" customFormat="1" ht="15">
      <c r="A1079" s="30"/>
      <c r="B1079" s="43" t="s">
        <v>283</v>
      </c>
      <c r="C1079" s="45" t="s">
        <v>32</v>
      </c>
      <c r="D1079" s="46" t="s">
        <v>4</v>
      </c>
      <c r="E1079" s="44">
        <v>0.0303</v>
      </c>
      <c r="F1079" s="59">
        <f>TRUNC(21.13,2)</f>
        <v>21.13</v>
      </c>
      <c r="G1079" s="32">
        <f>TRUNC(E1079*F1079,2)</f>
        <v>0.64</v>
      </c>
      <c r="H1079" s="32"/>
      <c r="I1079" s="33"/>
      <c r="J1079" s="33"/>
      <c r="K1079" s="44"/>
    </row>
    <row r="1080" spans="1:11" s="34" customFormat="1" ht="15">
      <c r="A1080" s="30"/>
      <c r="B1080" s="43" t="s">
        <v>416</v>
      </c>
      <c r="C1080" s="45" t="s">
        <v>417</v>
      </c>
      <c r="D1080" s="46" t="s">
        <v>4</v>
      </c>
      <c r="E1080" s="44">
        <v>0.096</v>
      </c>
      <c r="F1080" s="59">
        <f>TRUNC(26.15,2)</f>
        <v>26.15</v>
      </c>
      <c r="G1080" s="32">
        <f>TRUNC(E1080*F1080,2)</f>
        <v>2.51</v>
      </c>
      <c r="H1080" s="32"/>
      <c r="I1080" s="33"/>
      <c r="J1080" s="33"/>
      <c r="K1080" s="44"/>
    </row>
    <row r="1081" spans="1:11" s="34" customFormat="1" ht="15">
      <c r="A1081" s="30"/>
      <c r="B1081" s="43"/>
      <c r="C1081" s="45"/>
      <c r="D1081" s="46"/>
      <c r="E1081" s="44" t="s">
        <v>5</v>
      </c>
      <c r="F1081" s="59"/>
      <c r="G1081" s="32">
        <f>TRUNC(SUM(G1077:G1080),2)</f>
        <v>45.13</v>
      </c>
      <c r="H1081" s="32"/>
      <c r="I1081" s="33"/>
      <c r="J1081" s="33"/>
      <c r="K1081" s="44"/>
    </row>
    <row r="1082" spans="1:11" s="88" customFormat="1" ht="45">
      <c r="A1082" s="80" t="s">
        <v>1656</v>
      </c>
      <c r="B1082" s="81" t="s">
        <v>749</v>
      </c>
      <c r="C1082" s="82" t="s">
        <v>750</v>
      </c>
      <c r="D1082" s="83" t="s">
        <v>10</v>
      </c>
      <c r="E1082" s="84">
        <v>2</v>
      </c>
      <c r="F1082" s="85">
        <f>TRUNC(G1087,2)</f>
        <v>828.06</v>
      </c>
      <c r="G1082" s="86">
        <f>TRUNC(F1082*1.2882,2)</f>
        <v>1066.7</v>
      </c>
      <c r="H1082" s="86">
        <f>TRUNC(F1082*E1082,2)</f>
        <v>1656.12</v>
      </c>
      <c r="I1082" s="87">
        <f>TRUNC(E1082*G1082,2)</f>
        <v>2133.4</v>
      </c>
      <c r="J1082" s="87"/>
      <c r="K1082" s="84"/>
    </row>
    <row r="1083" spans="1:11" s="34" customFormat="1" ht="30">
      <c r="A1083" s="30"/>
      <c r="B1083" s="43" t="s">
        <v>751</v>
      </c>
      <c r="C1083" s="45" t="s">
        <v>752</v>
      </c>
      <c r="D1083" s="46" t="s">
        <v>10</v>
      </c>
      <c r="E1083" s="44">
        <v>1</v>
      </c>
      <c r="F1083" s="59">
        <f>TRUNC(35.68,2)</f>
        <v>35.68</v>
      </c>
      <c r="G1083" s="32">
        <f>TRUNC(E1083*F1083,2)</f>
        <v>35.68</v>
      </c>
      <c r="H1083" s="32"/>
      <c r="I1083" s="33"/>
      <c r="J1083" s="33"/>
      <c r="K1083" s="44"/>
    </row>
    <row r="1084" spans="1:11" s="34" customFormat="1" ht="30">
      <c r="A1084" s="30"/>
      <c r="B1084" s="43" t="s">
        <v>753</v>
      </c>
      <c r="C1084" s="45" t="s">
        <v>754</v>
      </c>
      <c r="D1084" s="46" t="s">
        <v>10</v>
      </c>
      <c r="E1084" s="44">
        <v>1</v>
      </c>
      <c r="F1084" s="59">
        <f>TRUNC(14.33,2)</f>
        <v>14.33</v>
      </c>
      <c r="G1084" s="32">
        <f>TRUNC(E1084*F1084,2)</f>
        <v>14.33</v>
      </c>
      <c r="H1084" s="32"/>
      <c r="I1084" s="33"/>
      <c r="J1084" s="33"/>
      <c r="K1084" s="44"/>
    </row>
    <row r="1085" spans="1:11" s="34" customFormat="1" ht="30">
      <c r="A1085" s="30"/>
      <c r="B1085" s="43" t="s">
        <v>730</v>
      </c>
      <c r="C1085" s="45" t="s">
        <v>755</v>
      </c>
      <c r="D1085" s="46" t="s">
        <v>10</v>
      </c>
      <c r="E1085" s="44">
        <v>1</v>
      </c>
      <c r="F1085" s="59">
        <f>TRUNC(24.81,2)</f>
        <v>24.81</v>
      </c>
      <c r="G1085" s="32">
        <f>TRUNC(E1085*F1085,2)</f>
        <v>24.81</v>
      </c>
      <c r="H1085" s="32"/>
      <c r="I1085" s="33"/>
      <c r="J1085" s="33"/>
      <c r="K1085" s="44"/>
    </row>
    <row r="1086" spans="1:11" s="34" customFormat="1" ht="30">
      <c r="A1086" s="30"/>
      <c r="B1086" s="43" t="s">
        <v>756</v>
      </c>
      <c r="C1086" s="45" t="s">
        <v>757</v>
      </c>
      <c r="D1086" s="46" t="s">
        <v>10</v>
      </c>
      <c r="E1086" s="44">
        <v>1</v>
      </c>
      <c r="F1086" s="59">
        <f>TRUNC(753.24,2)</f>
        <v>753.24</v>
      </c>
      <c r="G1086" s="32">
        <f>TRUNC(E1086*F1086,2)</f>
        <v>753.24</v>
      </c>
      <c r="H1086" s="32"/>
      <c r="I1086" s="33"/>
      <c r="J1086" s="33"/>
      <c r="K1086" s="44"/>
    </row>
    <row r="1087" spans="1:11" s="34" customFormat="1" ht="15">
      <c r="A1087" s="30"/>
      <c r="B1087" s="43"/>
      <c r="C1087" s="45"/>
      <c r="D1087" s="46"/>
      <c r="E1087" s="44" t="s">
        <v>5</v>
      </c>
      <c r="F1087" s="59"/>
      <c r="G1087" s="32">
        <f>TRUNC(SUM(G1083:G1086),2)</f>
        <v>828.06</v>
      </c>
      <c r="H1087" s="32"/>
      <c r="I1087" s="33"/>
      <c r="J1087" s="33"/>
      <c r="K1087" s="44"/>
    </row>
    <row r="1088" spans="1:11" s="88" customFormat="1" ht="30">
      <c r="A1088" s="80" t="s">
        <v>1657</v>
      </c>
      <c r="B1088" s="81" t="s">
        <v>758</v>
      </c>
      <c r="C1088" s="82" t="s">
        <v>759</v>
      </c>
      <c r="D1088" s="83" t="s">
        <v>10</v>
      </c>
      <c r="E1088" s="84">
        <v>3</v>
      </c>
      <c r="F1088" s="85">
        <f>TRUNC(G1093,2)</f>
        <v>84.54</v>
      </c>
      <c r="G1088" s="86">
        <f>TRUNC(F1088*1.2882,2)</f>
        <v>108.9</v>
      </c>
      <c r="H1088" s="86">
        <f>TRUNC(F1088*E1088,2)</f>
        <v>253.62</v>
      </c>
      <c r="I1088" s="87">
        <f>TRUNC(E1088*G1088,2)</f>
        <v>326.7</v>
      </c>
      <c r="J1088" s="87"/>
      <c r="K1088" s="84"/>
    </row>
    <row r="1089" spans="1:11" s="34" customFormat="1" ht="30">
      <c r="A1089" s="30"/>
      <c r="B1089" s="43" t="s">
        <v>760</v>
      </c>
      <c r="C1089" s="45" t="s">
        <v>761</v>
      </c>
      <c r="D1089" s="46" t="s">
        <v>10</v>
      </c>
      <c r="E1089" s="44">
        <v>1</v>
      </c>
      <c r="F1089" s="59">
        <f>TRUNC(80.65,2)</f>
        <v>80.65</v>
      </c>
      <c r="G1089" s="32">
        <f>TRUNC(E1089*F1089,2)</f>
        <v>80.65</v>
      </c>
      <c r="H1089" s="32"/>
      <c r="I1089" s="33"/>
      <c r="J1089" s="33"/>
      <c r="K1089" s="44"/>
    </row>
    <row r="1090" spans="1:11" s="34" customFormat="1" ht="15">
      <c r="A1090" s="30"/>
      <c r="B1090" s="43" t="s">
        <v>731</v>
      </c>
      <c r="C1090" s="45" t="s">
        <v>732</v>
      </c>
      <c r="D1090" s="46" t="s">
        <v>10</v>
      </c>
      <c r="E1090" s="44">
        <v>0.021</v>
      </c>
      <c r="F1090" s="59">
        <f>TRUNC(3.9,2)</f>
        <v>3.9</v>
      </c>
      <c r="G1090" s="32">
        <f>TRUNC(E1090*F1090,2)</f>
        <v>0.08</v>
      </c>
      <c r="H1090" s="32"/>
      <c r="I1090" s="33"/>
      <c r="J1090" s="33"/>
      <c r="K1090" s="44"/>
    </row>
    <row r="1091" spans="1:11" s="34" customFormat="1" ht="15">
      <c r="A1091" s="30"/>
      <c r="B1091" s="43" t="s">
        <v>283</v>
      </c>
      <c r="C1091" s="45" t="s">
        <v>32</v>
      </c>
      <c r="D1091" s="46" t="s">
        <v>4</v>
      </c>
      <c r="E1091" s="44">
        <v>0.0367</v>
      </c>
      <c r="F1091" s="59">
        <f>TRUNC(21.13,2)</f>
        <v>21.13</v>
      </c>
      <c r="G1091" s="32">
        <f>TRUNC(E1091*F1091,2)</f>
        <v>0.77</v>
      </c>
      <c r="H1091" s="32"/>
      <c r="I1091" s="33"/>
      <c r="J1091" s="33"/>
      <c r="K1091" s="44"/>
    </row>
    <row r="1092" spans="1:11" s="34" customFormat="1" ht="15">
      <c r="A1092" s="30"/>
      <c r="B1092" s="43" t="s">
        <v>416</v>
      </c>
      <c r="C1092" s="45" t="s">
        <v>417</v>
      </c>
      <c r="D1092" s="46" t="s">
        <v>4</v>
      </c>
      <c r="E1092" s="44">
        <v>0.1164</v>
      </c>
      <c r="F1092" s="59">
        <f>TRUNC(26.15,2)</f>
        <v>26.15</v>
      </c>
      <c r="G1092" s="32">
        <f>TRUNC(E1092*F1092,2)</f>
        <v>3.04</v>
      </c>
      <c r="H1092" s="32"/>
      <c r="I1092" s="33"/>
      <c r="J1092" s="33"/>
      <c r="K1092" s="44"/>
    </row>
    <row r="1093" spans="1:11" s="34" customFormat="1" ht="15">
      <c r="A1093" s="30"/>
      <c r="B1093" s="43"/>
      <c r="C1093" s="45"/>
      <c r="D1093" s="46"/>
      <c r="E1093" s="44" t="s">
        <v>5</v>
      </c>
      <c r="F1093" s="59"/>
      <c r="G1093" s="32">
        <f>TRUNC(SUM(G1089:G1092),2)</f>
        <v>84.54</v>
      </c>
      <c r="H1093" s="32"/>
      <c r="I1093" s="33"/>
      <c r="J1093" s="33"/>
      <c r="K1093" s="44"/>
    </row>
    <row r="1094" spans="1:11" s="88" customFormat="1" ht="15">
      <c r="A1094" s="80" t="s">
        <v>1658</v>
      </c>
      <c r="B1094" s="81" t="s">
        <v>762</v>
      </c>
      <c r="C1094" s="82" t="s">
        <v>763</v>
      </c>
      <c r="D1094" s="83" t="s">
        <v>10</v>
      </c>
      <c r="E1094" s="84">
        <v>11</v>
      </c>
      <c r="F1094" s="85">
        <f>TRUNC(G1099,2)</f>
        <v>34.74</v>
      </c>
      <c r="G1094" s="86">
        <f>TRUNC(F1094*1.2882,2)</f>
        <v>44.75</v>
      </c>
      <c r="H1094" s="86">
        <f>TRUNC(F1094*E1094,2)</f>
        <v>382.14</v>
      </c>
      <c r="I1094" s="87">
        <f>TRUNC(E1094*G1094,2)</f>
        <v>492.25</v>
      </c>
      <c r="J1094" s="87"/>
      <c r="K1094" s="84"/>
    </row>
    <row r="1095" spans="1:11" s="34" customFormat="1" ht="15">
      <c r="A1095" s="30"/>
      <c r="B1095" s="43" t="s">
        <v>764</v>
      </c>
      <c r="C1095" s="45" t="s">
        <v>765</v>
      </c>
      <c r="D1095" s="46" t="s">
        <v>10</v>
      </c>
      <c r="E1095" s="44">
        <v>1</v>
      </c>
      <c r="F1095" s="31">
        <f>TRUNC(29.61,2)</f>
        <v>29.61</v>
      </c>
      <c r="G1095" s="32">
        <f>TRUNC(E1095*F1095,2)</f>
        <v>29.61</v>
      </c>
      <c r="H1095" s="32"/>
      <c r="I1095" s="33"/>
      <c r="J1095" s="33"/>
      <c r="K1095" s="44"/>
    </row>
    <row r="1096" spans="1:11" s="34" customFormat="1" ht="15">
      <c r="A1096" s="30"/>
      <c r="B1096" s="43" t="s">
        <v>731</v>
      </c>
      <c r="C1096" s="45" t="s">
        <v>732</v>
      </c>
      <c r="D1096" s="46" t="s">
        <v>10</v>
      </c>
      <c r="E1096" s="44">
        <v>0.0365</v>
      </c>
      <c r="F1096" s="31">
        <f>TRUNC(3.9,2)</f>
        <v>3.9</v>
      </c>
      <c r="G1096" s="32">
        <f>TRUNC(E1096*F1096,2)</f>
        <v>0.14</v>
      </c>
      <c r="H1096" s="32"/>
      <c r="I1096" s="33"/>
      <c r="J1096" s="33"/>
      <c r="K1096" s="44"/>
    </row>
    <row r="1097" spans="1:11" s="34" customFormat="1" ht="15">
      <c r="A1097" s="30"/>
      <c r="B1097" s="43" t="s">
        <v>283</v>
      </c>
      <c r="C1097" s="45" t="s">
        <v>32</v>
      </c>
      <c r="D1097" s="46" t="s">
        <v>4</v>
      </c>
      <c r="E1097" s="44">
        <v>0.0481</v>
      </c>
      <c r="F1097" s="31">
        <f>TRUNC(21.13,2)</f>
        <v>21.13</v>
      </c>
      <c r="G1097" s="32">
        <f>TRUNC(E1097*F1097,2)</f>
        <v>1.01</v>
      </c>
      <c r="H1097" s="32"/>
      <c r="I1097" s="33"/>
      <c r="J1097" s="33"/>
      <c r="K1097" s="44"/>
    </row>
    <row r="1098" spans="1:11" s="34" customFormat="1" ht="15">
      <c r="A1098" s="30"/>
      <c r="B1098" s="43" t="s">
        <v>416</v>
      </c>
      <c r="C1098" s="45" t="s">
        <v>417</v>
      </c>
      <c r="D1098" s="46" t="s">
        <v>4</v>
      </c>
      <c r="E1098" s="44">
        <v>0.1525</v>
      </c>
      <c r="F1098" s="31">
        <f>TRUNC(26.15,2)</f>
        <v>26.15</v>
      </c>
      <c r="G1098" s="32">
        <f>TRUNC(E1098*F1098,2)</f>
        <v>3.98</v>
      </c>
      <c r="H1098" s="32"/>
      <c r="I1098" s="33"/>
      <c r="J1098" s="33"/>
      <c r="K1098" s="44"/>
    </row>
    <row r="1099" spans="1:11" s="34" customFormat="1" ht="15">
      <c r="A1099" s="30"/>
      <c r="B1099" s="43"/>
      <c r="C1099" s="45"/>
      <c r="D1099" s="46"/>
      <c r="E1099" s="44" t="s">
        <v>5</v>
      </c>
      <c r="F1099" s="31"/>
      <c r="G1099" s="32">
        <f>TRUNC(SUM(G1095:G1098),2)</f>
        <v>34.74</v>
      </c>
      <c r="H1099" s="32"/>
      <c r="I1099" s="33"/>
      <c r="J1099" s="33"/>
      <c r="K1099" s="44"/>
    </row>
    <row r="1100" spans="1:11" s="88" customFormat="1" ht="60">
      <c r="A1100" s="80" t="s">
        <v>1659</v>
      </c>
      <c r="B1100" s="81" t="s">
        <v>2260</v>
      </c>
      <c r="C1100" s="82" t="s">
        <v>766</v>
      </c>
      <c r="D1100" s="83" t="s">
        <v>10</v>
      </c>
      <c r="E1100" s="84">
        <v>2</v>
      </c>
      <c r="F1100" s="85">
        <f>TRUNC(G1106,2)</f>
        <v>652.54</v>
      </c>
      <c r="G1100" s="86">
        <f>TRUNC(F1100*1.2882,2)</f>
        <v>840.6</v>
      </c>
      <c r="H1100" s="86">
        <f>TRUNC(F1100*E1100,2)</f>
        <v>1305.08</v>
      </c>
      <c r="I1100" s="87">
        <f>TRUNC(E1100*G1100,2)</f>
        <v>1681.2</v>
      </c>
      <c r="J1100" s="87"/>
      <c r="K1100" s="84"/>
    </row>
    <row r="1101" spans="1:11" s="34" customFormat="1" ht="30">
      <c r="A1101" s="30"/>
      <c r="B1101" s="43" t="s">
        <v>767</v>
      </c>
      <c r="C1101" s="45" t="s">
        <v>768</v>
      </c>
      <c r="D1101" s="46" t="s">
        <v>10</v>
      </c>
      <c r="E1101" s="44">
        <v>1</v>
      </c>
      <c r="F1101" s="31">
        <f>TRUNC(35.95,2)</f>
        <v>35.95</v>
      </c>
      <c r="G1101" s="32">
        <f>TRUNC(E1101*F1101,2)</f>
        <v>35.95</v>
      </c>
      <c r="H1101" s="32"/>
      <c r="I1101" s="33"/>
      <c r="J1101" s="33"/>
      <c r="K1101" s="44"/>
    </row>
    <row r="1102" spans="1:11" s="34" customFormat="1" ht="30">
      <c r="A1102" s="30"/>
      <c r="B1102" s="43" t="s">
        <v>769</v>
      </c>
      <c r="C1102" s="45" t="s">
        <v>770</v>
      </c>
      <c r="D1102" s="46" t="s">
        <v>10</v>
      </c>
      <c r="E1102" s="44">
        <v>1</v>
      </c>
      <c r="F1102" s="31">
        <f>TRUNC(500.88,2)</f>
        <v>500.88</v>
      </c>
      <c r="G1102" s="32">
        <f>TRUNC(E1102*F1102,2)</f>
        <v>500.88</v>
      </c>
      <c r="H1102" s="32"/>
      <c r="I1102" s="33"/>
      <c r="J1102" s="33"/>
      <c r="K1102" s="44"/>
    </row>
    <row r="1103" spans="1:11" s="34" customFormat="1" ht="15">
      <c r="A1103" s="30"/>
      <c r="B1103" s="43" t="s">
        <v>771</v>
      </c>
      <c r="C1103" s="45" t="s">
        <v>772</v>
      </c>
      <c r="D1103" s="46" t="s">
        <v>10</v>
      </c>
      <c r="E1103" s="44">
        <v>1</v>
      </c>
      <c r="F1103" s="31">
        <f>TRUNC(91.1,2)</f>
        <v>91.1</v>
      </c>
      <c r="G1103" s="32">
        <f>TRUNC(E1103*F1103,2)</f>
        <v>91.1</v>
      </c>
      <c r="H1103" s="32"/>
      <c r="I1103" s="33"/>
      <c r="J1103" s="33"/>
      <c r="K1103" s="44"/>
    </row>
    <row r="1104" spans="1:11" s="34" customFormat="1" ht="30">
      <c r="A1104" s="30"/>
      <c r="B1104" s="43" t="s">
        <v>26</v>
      </c>
      <c r="C1104" s="45" t="s">
        <v>27</v>
      </c>
      <c r="D1104" s="46" t="s">
        <v>4</v>
      </c>
      <c r="E1104" s="44">
        <v>0.721</v>
      </c>
      <c r="F1104" s="31">
        <f>TRUNC(14.34,2)</f>
        <v>14.34</v>
      </c>
      <c r="G1104" s="32">
        <f>TRUNC(E1104*F1104,2)</f>
        <v>10.33</v>
      </c>
      <c r="H1104" s="32"/>
      <c r="I1104" s="33"/>
      <c r="J1104" s="33"/>
      <c r="K1104" s="44"/>
    </row>
    <row r="1105" spans="1:11" s="34" customFormat="1" ht="15">
      <c r="A1105" s="30"/>
      <c r="B1105" s="43" t="s">
        <v>239</v>
      </c>
      <c r="C1105" s="45" t="s">
        <v>240</v>
      </c>
      <c r="D1105" s="46" t="s">
        <v>4</v>
      </c>
      <c r="E1105" s="44">
        <v>0.721</v>
      </c>
      <c r="F1105" s="31">
        <f>TRUNC(19.81,2)</f>
        <v>19.81</v>
      </c>
      <c r="G1105" s="32">
        <f>TRUNC(E1105*F1105,2)</f>
        <v>14.28</v>
      </c>
      <c r="H1105" s="32"/>
      <c r="I1105" s="33"/>
      <c r="J1105" s="33"/>
      <c r="K1105" s="44"/>
    </row>
    <row r="1106" spans="1:11" s="34" customFormat="1" ht="15">
      <c r="A1106" s="30"/>
      <c r="B1106" s="43"/>
      <c r="C1106" s="45"/>
      <c r="D1106" s="46"/>
      <c r="E1106" s="44" t="s">
        <v>5</v>
      </c>
      <c r="F1106" s="31"/>
      <c r="G1106" s="32">
        <f>TRUNC(SUM(G1101:G1105),2)</f>
        <v>652.54</v>
      </c>
      <c r="H1106" s="32"/>
      <c r="I1106" s="33"/>
      <c r="J1106" s="33"/>
      <c r="K1106" s="44"/>
    </row>
    <row r="1107" spans="1:11" s="88" customFormat="1" ht="30">
      <c r="A1107" s="80" t="s">
        <v>1660</v>
      </c>
      <c r="B1107" s="81" t="s">
        <v>773</v>
      </c>
      <c r="C1107" s="82" t="s">
        <v>774</v>
      </c>
      <c r="D1107" s="83" t="s">
        <v>10</v>
      </c>
      <c r="E1107" s="84">
        <v>11</v>
      </c>
      <c r="F1107" s="85">
        <f>TRUNC(G1112,2)</f>
        <v>191.95</v>
      </c>
      <c r="G1107" s="86">
        <f>TRUNC(F1107*1.2882,2)</f>
        <v>247.26</v>
      </c>
      <c r="H1107" s="86">
        <f>TRUNC(F1107*E1107,2)</f>
        <v>2111.45</v>
      </c>
      <c r="I1107" s="87">
        <f>TRUNC(E1107*G1107,2)</f>
        <v>2719.86</v>
      </c>
      <c r="J1107" s="87"/>
      <c r="K1107" s="84"/>
    </row>
    <row r="1108" spans="1:11" s="34" customFormat="1" ht="15">
      <c r="A1108" s="30"/>
      <c r="B1108" s="43" t="s">
        <v>775</v>
      </c>
      <c r="C1108" s="45" t="s">
        <v>776</v>
      </c>
      <c r="D1108" s="46" t="s">
        <v>3</v>
      </c>
      <c r="E1108" s="44">
        <v>0.2974</v>
      </c>
      <c r="F1108" s="31">
        <f>TRUNC(36.01,2)</f>
        <v>36.01</v>
      </c>
      <c r="G1108" s="32">
        <f>TRUNC(E1108*F1108,2)</f>
        <v>10.7</v>
      </c>
      <c r="H1108" s="32"/>
      <c r="I1108" s="33"/>
      <c r="J1108" s="33"/>
      <c r="K1108" s="44"/>
    </row>
    <row r="1109" spans="1:11" s="34" customFormat="1" ht="15">
      <c r="A1109" s="30"/>
      <c r="B1109" s="43" t="s">
        <v>777</v>
      </c>
      <c r="C1109" s="45" t="s">
        <v>778</v>
      </c>
      <c r="D1109" s="46" t="s">
        <v>10</v>
      </c>
      <c r="E1109" s="44">
        <v>1</v>
      </c>
      <c r="F1109" s="31">
        <f>TRUNC(166.8,2)</f>
        <v>166.8</v>
      </c>
      <c r="G1109" s="32">
        <f>TRUNC(E1109*F1109,2)</f>
        <v>166.8</v>
      </c>
      <c r="H1109" s="32"/>
      <c r="I1109" s="33"/>
      <c r="J1109" s="33"/>
      <c r="K1109" s="44"/>
    </row>
    <row r="1110" spans="1:11" s="34" customFormat="1" ht="15">
      <c r="A1110" s="30"/>
      <c r="B1110" s="43" t="s">
        <v>283</v>
      </c>
      <c r="C1110" s="45" t="s">
        <v>32</v>
      </c>
      <c r="D1110" s="46" t="s">
        <v>4</v>
      </c>
      <c r="E1110" s="44">
        <v>0.1504</v>
      </c>
      <c r="F1110" s="31">
        <f>TRUNC(21.13,2)</f>
        <v>21.13</v>
      </c>
      <c r="G1110" s="32">
        <f>TRUNC(E1110*F1110,2)</f>
        <v>3.17</v>
      </c>
      <c r="H1110" s="32"/>
      <c r="I1110" s="33"/>
      <c r="J1110" s="33"/>
      <c r="K1110" s="44"/>
    </row>
    <row r="1111" spans="1:11" s="34" customFormat="1" ht="15">
      <c r="A1111" s="30"/>
      <c r="B1111" s="43" t="s">
        <v>779</v>
      </c>
      <c r="C1111" s="45" t="s">
        <v>780</v>
      </c>
      <c r="D1111" s="46" t="s">
        <v>4</v>
      </c>
      <c r="E1111" s="44">
        <v>0.4774</v>
      </c>
      <c r="F1111" s="31">
        <f>TRUNC(23.64,2)</f>
        <v>23.64</v>
      </c>
      <c r="G1111" s="32">
        <f>TRUNC(E1111*F1111,2)</f>
        <v>11.28</v>
      </c>
      <c r="H1111" s="32"/>
      <c r="I1111" s="33"/>
      <c r="J1111" s="33"/>
      <c r="K1111" s="44"/>
    </row>
    <row r="1112" spans="1:11" s="34" customFormat="1" ht="15">
      <c r="A1112" s="30"/>
      <c r="B1112" s="43"/>
      <c r="C1112" s="45"/>
      <c r="D1112" s="46"/>
      <c r="E1112" s="44" t="s">
        <v>5</v>
      </c>
      <c r="F1112" s="31"/>
      <c r="G1112" s="32">
        <f>TRUNC(SUM(G1108:G1111),2)</f>
        <v>191.95</v>
      </c>
      <c r="H1112" s="32"/>
      <c r="I1112" s="33"/>
      <c r="J1112" s="33"/>
      <c r="K1112" s="44"/>
    </row>
    <row r="1113" spans="1:11" s="88" customFormat="1" ht="60">
      <c r="A1113" s="80" t="s">
        <v>1661</v>
      </c>
      <c r="B1113" s="81" t="s">
        <v>782</v>
      </c>
      <c r="C1113" s="82" t="s">
        <v>783</v>
      </c>
      <c r="D1113" s="83" t="s">
        <v>2</v>
      </c>
      <c r="E1113" s="84">
        <v>54.68</v>
      </c>
      <c r="F1113" s="85">
        <f>TRUNC(G1119,2)</f>
        <v>255.77</v>
      </c>
      <c r="G1113" s="86">
        <f>TRUNC(F1113*1.2882,2)</f>
        <v>329.48</v>
      </c>
      <c r="H1113" s="86">
        <f>TRUNC(F1113*E1113,2)</f>
        <v>13985.5</v>
      </c>
      <c r="I1113" s="87">
        <f>TRUNC(E1113*G1113,2)</f>
        <v>18015.96</v>
      </c>
      <c r="J1113" s="87"/>
      <c r="K1113" s="84"/>
    </row>
    <row r="1114" spans="1:11" s="34" customFormat="1" ht="30">
      <c r="A1114" s="30"/>
      <c r="B1114" s="43" t="s">
        <v>784</v>
      </c>
      <c r="C1114" s="45" t="s">
        <v>785</v>
      </c>
      <c r="D1114" s="46" t="s">
        <v>2</v>
      </c>
      <c r="E1114" s="44">
        <v>1</v>
      </c>
      <c r="F1114" s="31">
        <f>TRUNC(160.68,2)</f>
        <v>160.68</v>
      </c>
      <c r="G1114" s="32">
        <f>TRUNC(E1114*F1114,2)</f>
        <v>160.68</v>
      </c>
      <c r="H1114" s="32"/>
      <c r="I1114" s="33"/>
      <c r="J1114" s="33"/>
      <c r="K1114" s="44"/>
    </row>
    <row r="1115" spans="1:11" s="34" customFormat="1" ht="30">
      <c r="A1115" s="30"/>
      <c r="B1115" s="43" t="s">
        <v>26</v>
      </c>
      <c r="C1115" s="45" t="s">
        <v>27</v>
      </c>
      <c r="D1115" s="46" t="s">
        <v>4</v>
      </c>
      <c r="E1115" s="44">
        <v>0.4326</v>
      </c>
      <c r="F1115" s="31">
        <f>TRUNC(14.34,2)</f>
        <v>14.34</v>
      </c>
      <c r="G1115" s="32">
        <f>TRUNC(E1115*F1115,2)</f>
        <v>6.2</v>
      </c>
      <c r="H1115" s="32"/>
      <c r="I1115" s="33"/>
      <c r="J1115" s="33"/>
      <c r="K1115" s="44"/>
    </row>
    <row r="1116" spans="1:11" s="34" customFormat="1" ht="15">
      <c r="A1116" s="30"/>
      <c r="B1116" s="43" t="s">
        <v>239</v>
      </c>
      <c r="C1116" s="45" t="s">
        <v>240</v>
      </c>
      <c r="D1116" s="46" t="s">
        <v>4</v>
      </c>
      <c r="E1116" s="44">
        <v>0.4326</v>
      </c>
      <c r="F1116" s="31">
        <f>TRUNC(19.81,2)</f>
        <v>19.81</v>
      </c>
      <c r="G1116" s="32">
        <f>TRUNC(E1116*F1116,2)</f>
        <v>8.56</v>
      </c>
      <c r="H1116" s="32"/>
      <c r="I1116" s="33"/>
      <c r="J1116" s="33"/>
      <c r="K1116" s="44"/>
    </row>
    <row r="1117" spans="1:11" s="34" customFormat="1" ht="15">
      <c r="A1117" s="30"/>
      <c r="B1117" s="43" t="s">
        <v>786</v>
      </c>
      <c r="C1117" s="45" t="s">
        <v>787</v>
      </c>
      <c r="D1117" s="46" t="s">
        <v>0</v>
      </c>
      <c r="E1117" s="44">
        <v>0.72</v>
      </c>
      <c r="F1117" s="31">
        <f>TRUNC(53.9743,2)</f>
        <v>53.97</v>
      </c>
      <c r="G1117" s="32">
        <f>TRUNC(E1117*F1117,2)</f>
        <v>38.85</v>
      </c>
      <c r="H1117" s="32"/>
      <c r="I1117" s="33"/>
      <c r="J1117" s="33"/>
      <c r="K1117" s="44"/>
    </row>
    <row r="1118" spans="1:11" s="34" customFormat="1" ht="15">
      <c r="A1118" s="30"/>
      <c r="B1118" s="43" t="s">
        <v>724</v>
      </c>
      <c r="C1118" s="45" t="s">
        <v>725</v>
      </c>
      <c r="D1118" s="46" t="s">
        <v>1</v>
      </c>
      <c r="E1118" s="44">
        <v>0.02</v>
      </c>
      <c r="F1118" s="31">
        <f>TRUNC(2074.2953,2)</f>
        <v>2074.29</v>
      </c>
      <c r="G1118" s="32">
        <f>TRUNC(E1118*F1118,2)</f>
        <v>41.48</v>
      </c>
      <c r="H1118" s="32"/>
      <c r="I1118" s="33"/>
      <c r="J1118" s="33"/>
      <c r="K1118" s="44"/>
    </row>
    <row r="1119" spans="1:11" s="34" customFormat="1" ht="15">
      <c r="A1119" s="30"/>
      <c r="B1119" s="43"/>
      <c r="C1119" s="45"/>
      <c r="D1119" s="46"/>
      <c r="E1119" s="44" t="s">
        <v>5</v>
      </c>
      <c r="F1119" s="31"/>
      <c r="G1119" s="32">
        <f>TRUNC(SUM(G1114:G1118),2)</f>
        <v>255.77</v>
      </c>
      <c r="H1119" s="32"/>
      <c r="I1119" s="33"/>
      <c r="J1119" s="33"/>
      <c r="K1119" s="44"/>
    </row>
    <row r="1120" spans="1:11" s="88" customFormat="1" ht="45">
      <c r="A1120" s="80" t="s">
        <v>1662</v>
      </c>
      <c r="B1120" s="81" t="s">
        <v>788</v>
      </c>
      <c r="C1120" s="82" t="s">
        <v>789</v>
      </c>
      <c r="D1120" s="83" t="s">
        <v>2</v>
      </c>
      <c r="E1120" s="84">
        <v>37</v>
      </c>
      <c r="F1120" s="85">
        <f>TRUNC(93.20725,2)</f>
        <v>93.2</v>
      </c>
      <c r="G1120" s="86">
        <f>TRUNC(F1120*1.2882,2)</f>
        <v>120.06</v>
      </c>
      <c r="H1120" s="86">
        <f>TRUNC(F1120*E1120,2)</f>
        <v>3448.4</v>
      </c>
      <c r="I1120" s="87">
        <f>TRUNC(E1120*G1120,2)</f>
        <v>4442.22</v>
      </c>
      <c r="J1120" s="87"/>
      <c r="K1120" s="84"/>
    </row>
    <row r="1121" spans="1:11" s="34" customFormat="1" ht="15">
      <c r="A1121" s="30"/>
      <c r="B1121" s="43" t="s">
        <v>790</v>
      </c>
      <c r="C1121" s="45" t="s">
        <v>791</v>
      </c>
      <c r="D1121" s="46" t="s">
        <v>0</v>
      </c>
      <c r="E1121" s="44">
        <v>0.3</v>
      </c>
      <c r="F1121" s="31">
        <f>TRUNC(198,2)</f>
        <v>198</v>
      </c>
      <c r="G1121" s="32">
        <f>TRUNC(E1121*F1121,2)</f>
        <v>59.4</v>
      </c>
      <c r="H1121" s="32"/>
      <c r="I1121" s="33"/>
      <c r="J1121" s="33"/>
      <c r="K1121" s="44"/>
    </row>
    <row r="1122" spans="1:11" s="34" customFormat="1" ht="30">
      <c r="A1122" s="30"/>
      <c r="B1122" s="43" t="s">
        <v>111</v>
      </c>
      <c r="C1122" s="45" t="s">
        <v>112</v>
      </c>
      <c r="D1122" s="46" t="s">
        <v>3</v>
      </c>
      <c r="E1122" s="44">
        <v>2</v>
      </c>
      <c r="F1122" s="31">
        <f>TRUNC(8.11,2)</f>
        <v>8.11</v>
      </c>
      <c r="G1122" s="32">
        <f>TRUNC(E1122*F1122,2)</f>
        <v>16.22</v>
      </c>
      <c r="H1122" s="32"/>
      <c r="I1122" s="33"/>
      <c r="J1122" s="33"/>
      <c r="K1122" s="44"/>
    </row>
    <row r="1123" spans="1:11" s="34" customFormat="1" ht="30">
      <c r="A1123" s="30"/>
      <c r="B1123" s="43" t="s">
        <v>26</v>
      </c>
      <c r="C1123" s="45" t="s">
        <v>27</v>
      </c>
      <c r="D1123" s="46" t="s">
        <v>4</v>
      </c>
      <c r="E1123" s="44">
        <v>0.515</v>
      </c>
      <c r="F1123" s="31">
        <f>TRUNC(14.34,2)</f>
        <v>14.34</v>
      </c>
      <c r="G1123" s="32">
        <f>TRUNC(E1123*F1123,2)</f>
        <v>7.38</v>
      </c>
      <c r="H1123" s="32"/>
      <c r="I1123" s="33"/>
      <c r="J1123" s="33"/>
      <c r="K1123" s="44"/>
    </row>
    <row r="1124" spans="1:11" s="34" customFormat="1" ht="15">
      <c r="A1124" s="30"/>
      <c r="B1124" s="43" t="s">
        <v>239</v>
      </c>
      <c r="C1124" s="45" t="s">
        <v>240</v>
      </c>
      <c r="D1124" s="46" t="s">
        <v>4</v>
      </c>
      <c r="E1124" s="44">
        <v>0.515</v>
      </c>
      <c r="F1124" s="31">
        <f>TRUNC(19.81,2)</f>
        <v>19.81</v>
      </c>
      <c r="G1124" s="32">
        <f>TRUNC(E1124*F1124,2)</f>
        <v>10.2</v>
      </c>
      <c r="H1124" s="32"/>
      <c r="I1124" s="33"/>
      <c r="J1124" s="33"/>
      <c r="K1124" s="44"/>
    </row>
    <row r="1125" spans="1:11" s="34" customFormat="1" ht="15">
      <c r="A1125" s="30"/>
      <c r="B1125" s="43"/>
      <c r="C1125" s="45"/>
      <c r="D1125" s="46"/>
      <c r="E1125" s="44" t="s">
        <v>5</v>
      </c>
      <c r="F1125" s="31"/>
      <c r="G1125" s="32">
        <f>TRUNC(SUM(G1121:G1124),2)</f>
        <v>93.2</v>
      </c>
      <c r="H1125" s="32"/>
      <c r="I1125" s="33"/>
      <c r="J1125" s="33"/>
      <c r="K1125" s="44"/>
    </row>
    <row r="1126" spans="1:11" s="88" customFormat="1" ht="60">
      <c r="A1126" s="80" t="s">
        <v>1663</v>
      </c>
      <c r="B1126" s="81" t="s">
        <v>782</v>
      </c>
      <c r="C1126" s="82" t="s">
        <v>783</v>
      </c>
      <c r="D1126" s="83" t="s">
        <v>2</v>
      </c>
      <c r="E1126" s="84">
        <v>4.5</v>
      </c>
      <c r="F1126" s="85">
        <f>TRUNC(G1132,2)</f>
        <v>255.77</v>
      </c>
      <c r="G1126" s="86">
        <f>TRUNC(F1126*1.2882,2)</f>
        <v>329.48</v>
      </c>
      <c r="H1126" s="86">
        <f>TRUNC(F1126*E1126,2)</f>
        <v>1150.96</v>
      </c>
      <c r="I1126" s="87">
        <f>TRUNC(E1126*G1126,2)</f>
        <v>1482.66</v>
      </c>
      <c r="J1126" s="87"/>
      <c r="K1126" s="84"/>
    </row>
    <row r="1127" spans="1:11" s="34" customFormat="1" ht="30">
      <c r="A1127" s="30"/>
      <c r="B1127" s="43" t="s">
        <v>784</v>
      </c>
      <c r="C1127" s="45" t="s">
        <v>785</v>
      </c>
      <c r="D1127" s="46" t="s">
        <v>2</v>
      </c>
      <c r="E1127" s="44">
        <v>1</v>
      </c>
      <c r="F1127" s="31">
        <f>TRUNC(160.68,2)</f>
        <v>160.68</v>
      </c>
      <c r="G1127" s="32">
        <f>TRUNC(E1127*F1127,2)</f>
        <v>160.68</v>
      </c>
      <c r="H1127" s="32"/>
      <c r="I1127" s="33"/>
      <c r="J1127" s="33"/>
      <c r="K1127" s="44"/>
    </row>
    <row r="1128" spans="1:11" s="34" customFormat="1" ht="30">
      <c r="A1128" s="30"/>
      <c r="B1128" s="43" t="s">
        <v>26</v>
      </c>
      <c r="C1128" s="45" t="s">
        <v>27</v>
      </c>
      <c r="D1128" s="46" t="s">
        <v>4</v>
      </c>
      <c r="E1128" s="44">
        <v>0.4326</v>
      </c>
      <c r="F1128" s="31">
        <f>TRUNC(14.34,2)</f>
        <v>14.34</v>
      </c>
      <c r="G1128" s="32">
        <f>TRUNC(E1128*F1128,2)</f>
        <v>6.2</v>
      </c>
      <c r="H1128" s="32"/>
      <c r="I1128" s="33"/>
      <c r="J1128" s="33"/>
      <c r="K1128" s="44"/>
    </row>
    <row r="1129" spans="1:11" s="34" customFormat="1" ht="15">
      <c r="A1129" s="30"/>
      <c r="B1129" s="43" t="s">
        <v>239</v>
      </c>
      <c r="C1129" s="45" t="s">
        <v>240</v>
      </c>
      <c r="D1129" s="46" t="s">
        <v>4</v>
      </c>
      <c r="E1129" s="44">
        <v>0.4326</v>
      </c>
      <c r="F1129" s="31">
        <f>TRUNC(19.81,2)</f>
        <v>19.81</v>
      </c>
      <c r="G1129" s="32">
        <f>TRUNC(E1129*F1129,2)</f>
        <v>8.56</v>
      </c>
      <c r="H1129" s="32"/>
      <c r="I1129" s="33"/>
      <c r="J1129" s="33"/>
      <c r="K1129" s="44"/>
    </row>
    <row r="1130" spans="1:11" s="34" customFormat="1" ht="15">
      <c r="A1130" s="30"/>
      <c r="B1130" s="43" t="s">
        <v>786</v>
      </c>
      <c r="C1130" s="45" t="s">
        <v>787</v>
      </c>
      <c r="D1130" s="46" t="s">
        <v>0</v>
      </c>
      <c r="E1130" s="44">
        <v>0.72</v>
      </c>
      <c r="F1130" s="31">
        <f>TRUNC(53.9743,2)</f>
        <v>53.97</v>
      </c>
      <c r="G1130" s="32">
        <f>TRUNC(E1130*F1130,2)</f>
        <v>38.85</v>
      </c>
      <c r="H1130" s="32"/>
      <c r="I1130" s="33"/>
      <c r="J1130" s="33"/>
      <c r="K1130" s="44"/>
    </row>
    <row r="1131" spans="1:11" s="34" customFormat="1" ht="15">
      <c r="A1131" s="30"/>
      <c r="B1131" s="43" t="s">
        <v>724</v>
      </c>
      <c r="C1131" s="45" t="s">
        <v>725</v>
      </c>
      <c r="D1131" s="46" t="s">
        <v>1</v>
      </c>
      <c r="E1131" s="44">
        <v>0.02</v>
      </c>
      <c r="F1131" s="31">
        <f>TRUNC(2074.2953,2)</f>
        <v>2074.29</v>
      </c>
      <c r="G1131" s="32">
        <f>TRUNC(E1131*F1131,2)</f>
        <v>41.48</v>
      </c>
      <c r="H1131" s="32"/>
      <c r="I1131" s="33"/>
      <c r="J1131" s="33"/>
      <c r="K1131" s="44"/>
    </row>
    <row r="1132" spans="1:11" s="34" customFormat="1" ht="15">
      <c r="A1132" s="30"/>
      <c r="B1132" s="43"/>
      <c r="C1132" s="45"/>
      <c r="D1132" s="46"/>
      <c r="E1132" s="44" t="s">
        <v>5</v>
      </c>
      <c r="F1132" s="31"/>
      <c r="G1132" s="32">
        <f>TRUNC(SUM(G1127:G1131),2)</f>
        <v>255.77</v>
      </c>
      <c r="H1132" s="32"/>
      <c r="I1132" s="33"/>
      <c r="J1132" s="33"/>
      <c r="K1132" s="44"/>
    </row>
    <row r="1133" spans="1:11" s="88" customFormat="1" ht="30">
      <c r="A1133" s="80" t="s">
        <v>2479</v>
      </c>
      <c r="B1133" s="81" t="s">
        <v>704</v>
      </c>
      <c r="C1133" s="82" t="s">
        <v>705</v>
      </c>
      <c r="D1133" s="83" t="s">
        <v>10</v>
      </c>
      <c r="E1133" s="84">
        <v>1</v>
      </c>
      <c r="F1133" s="85">
        <f>TRUNC(G1140,2)</f>
        <v>11.06</v>
      </c>
      <c r="G1133" s="86">
        <f>TRUNC(F1133*1.2882,2)</f>
        <v>14.24</v>
      </c>
      <c r="H1133" s="86">
        <f>TRUNC(F1133*E1133,2)</f>
        <v>11.06</v>
      </c>
      <c r="I1133" s="87">
        <f>TRUNC(E1133*G1133,2)</f>
        <v>14.24</v>
      </c>
      <c r="J1133" s="87"/>
      <c r="K1133" s="84"/>
    </row>
    <row r="1134" spans="1:11" s="34" customFormat="1" ht="15">
      <c r="A1134" s="30"/>
      <c r="B1134" s="43" t="s">
        <v>641</v>
      </c>
      <c r="C1134" s="45" t="s">
        <v>642</v>
      </c>
      <c r="D1134" s="46" t="s">
        <v>10</v>
      </c>
      <c r="E1134" s="44">
        <v>0.012</v>
      </c>
      <c r="F1134" s="31">
        <f>TRUNC(1.72,2)</f>
        <v>1.72</v>
      </c>
      <c r="G1134" s="32">
        <f aca="true" t="shared" si="50" ref="G1134:G1139">TRUNC(E1134*F1134,2)</f>
        <v>0.02</v>
      </c>
      <c r="H1134" s="32"/>
      <c r="I1134" s="33"/>
      <c r="J1134" s="33"/>
      <c r="K1134" s="44"/>
    </row>
    <row r="1135" spans="1:11" s="34" customFormat="1" ht="15">
      <c r="A1135" s="30"/>
      <c r="B1135" s="43" t="s">
        <v>643</v>
      </c>
      <c r="C1135" s="45" t="s">
        <v>644</v>
      </c>
      <c r="D1135" s="46" t="s">
        <v>10</v>
      </c>
      <c r="E1135" s="44">
        <v>0.0075</v>
      </c>
      <c r="F1135" s="31">
        <f>TRUNC(60.64,2)</f>
        <v>60.64</v>
      </c>
      <c r="G1135" s="32">
        <f t="shared" si="50"/>
        <v>0.45</v>
      </c>
      <c r="H1135" s="32"/>
      <c r="I1135" s="33"/>
      <c r="J1135" s="33"/>
      <c r="K1135" s="44"/>
    </row>
    <row r="1136" spans="1:11" s="34" customFormat="1" ht="15">
      <c r="A1136" s="30"/>
      <c r="B1136" s="43" t="s">
        <v>706</v>
      </c>
      <c r="C1136" s="45" t="s">
        <v>707</v>
      </c>
      <c r="D1136" s="46" t="s">
        <v>10</v>
      </c>
      <c r="E1136" s="44">
        <v>1</v>
      </c>
      <c r="F1136" s="31">
        <f>TRUNC(8.63,2)</f>
        <v>8.63</v>
      </c>
      <c r="G1136" s="32">
        <f t="shared" si="50"/>
        <v>8.63</v>
      </c>
      <c r="H1136" s="32"/>
      <c r="I1136" s="33"/>
      <c r="J1136" s="33"/>
      <c r="K1136" s="44"/>
    </row>
    <row r="1137" spans="1:11" s="34" customFormat="1" ht="15">
      <c r="A1137" s="30"/>
      <c r="B1137" s="43" t="s">
        <v>645</v>
      </c>
      <c r="C1137" s="45" t="s">
        <v>646</v>
      </c>
      <c r="D1137" s="46" t="s">
        <v>10</v>
      </c>
      <c r="E1137" s="44">
        <v>0.0049</v>
      </c>
      <c r="F1137" s="31">
        <f>TRUNC(69.83,2)</f>
        <v>69.83</v>
      </c>
      <c r="G1137" s="32">
        <f t="shared" si="50"/>
        <v>0.34</v>
      </c>
      <c r="H1137" s="32"/>
      <c r="I1137" s="33"/>
      <c r="J1137" s="33"/>
      <c r="K1137" s="44"/>
    </row>
    <row r="1138" spans="1:11" s="34" customFormat="1" ht="15">
      <c r="A1138" s="30"/>
      <c r="B1138" s="43" t="s">
        <v>416</v>
      </c>
      <c r="C1138" s="45" t="s">
        <v>417</v>
      </c>
      <c r="D1138" s="46" t="s">
        <v>4</v>
      </c>
      <c r="E1138" s="44">
        <v>0.035</v>
      </c>
      <c r="F1138" s="31">
        <f>TRUNC(26.15,2)</f>
        <v>26.15</v>
      </c>
      <c r="G1138" s="32">
        <f t="shared" si="50"/>
        <v>0.91</v>
      </c>
      <c r="H1138" s="32"/>
      <c r="I1138" s="33"/>
      <c r="J1138" s="33"/>
      <c r="K1138" s="44"/>
    </row>
    <row r="1139" spans="1:11" s="34" customFormat="1" ht="30">
      <c r="A1139" s="30"/>
      <c r="B1139" s="43" t="s">
        <v>418</v>
      </c>
      <c r="C1139" s="45" t="s">
        <v>419</v>
      </c>
      <c r="D1139" s="46" t="s">
        <v>4</v>
      </c>
      <c r="E1139" s="44">
        <v>0.035</v>
      </c>
      <c r="F1139" s="31">
        <f>TRUNC(20.45,2)</f>
        <v>20.45</v>
      </c>
      <c r="G1139" s="32">
        <f t="shared" si="50"/>
        <v>0.71</v>
      </c>
      <c r="H1139" s="32"/>
      <c r="I1139" s="33"/>
      <c r="J1139" s="33"/>
      <c r="K1139" s="44"/>
    </row>
    <row r="1140" spans="1:11" s="34" customFormat="1" ht="15">
      <c r="A1140" s="30"/>
      <c r="B1140" s="43"/>
      <c r="C1140" s="45"/>
      <c r="D1140" s="46"/>
      <c r="E1140" s="44" t="s">
        <v>5</v>
      </c>
      <c r="F1140" s="31"/>
      <c r="G1140" s="32">
        <f>TRUNC(SUM(G1134:G1139),2)</f>
        <v>11.06</v>
      </c>
      <c r="H1140" s="32"/>
      <c r="I1140" s="33"/>
      <c r="J1140" s="33"/>
      <c r="K1140" s="44"/>
    </row>
    <row r="1141" spans="1:11" s="88" customFormat="1" ht="30">
      <c r="A1141" s="80" t="s">
        <v>2480</v>
      </c>
      <c r="B1141" s="81" t="s">
        <v>2483</v>
      </c>
      <c r="C1141" s="82" t="s">
        <v>2465</v>
      </c>
      <c r="D1141" s="83" t="s">
        <v>2</v>
      </c>
      <c r="E1141" s="84">
        <v>1.6</v>
      </c>
      <c r="F1141" s="85">
        <f>TRUNC(G1146,2)</f>
        <v>14.67</v>
      </c>
      <c r="G1141" s="86">
        <f>TRUNC(F1141*1.2882,2)</f>
        <v>18.89</v>
      </c>
      <c r="H1141" s="86">
        <f>TRUNC(F1141*E1141,2)</f>
        <v>23.47</v>
      </c>
      <c r="I1141" s="87">
        <f>TRUNC(E1141*G1141,2)</f>
        <v>30.22</v>
      </c>
      <c r="J1141" s="87"/>
      <c r="K1141" s="84"/>
    </row>
    <row r="1142" spans="1:11" s="34" customFormat="1" ht="15">
      <c r="A1142" s="30"/>
      <c r="B1142" s="43" t="s">
        <v>641</v>
      </c>
      <c r="C1142" s="45" t="s">
        <v>642</v>
      </c>
      <c r="D1142" s="46" t="s">
        <v>10</v>
      </c>
      <c r="E1142" s="44">
        <v>0.008</v>
      </c>
      <c r="F1142" s="31">
        <f>TRUNC(1.72,2)</f>
        <v>1.72</v>
      </c>
      <c r="G1142" s="32">
        <f>TRUNC(E1142*F1142,2)</f>
        <v>0.01</v>
      </c>
      <c r="H1142" s="32"/>
      <c r="I1142" s="33"/>
      <c r="J1142" s="33"/>
      <c r="K1142" s="44"/>
    </row>
    <row r="1143" spans="1:11" s="34" customFormat="1" ht="15">
      <c r="A1143" s="30"/>
      <c r="B1143" s="43" t="s">
        <v>2484</v>
      </c>
      <c r="C1143" s="45" t="s">
        <v>2467</v>
      </c>
      <c r="D1143" s="46" t="s">
        <v>2</v>
      </c>
      <c r="E1143" s="44">
        <v>1.061</v>
      </c>
      <c r="F1143" s="31">
        <f>TRUNC(12.78,2)</f>
        <v>12.78</v>
      </c>
      <c r="G1143" s="32">
        <f>TRUNC(E1143*F1143,2)</f>
        <v>13.55</v>
      </c>
      <c r="H1143" s="32"/>
      <c r="I1143" s="33"/>
      <c r="J1143" s="33"/>
      <c r="K1143" s="44"/>
    </row>
    <row r="1144" spans="1:11" s="34" customFormat="1" ht="15">
      <c r="A1144" s="30"/>
      <c r="B1144" s="43" t="s">
        <v>416</v>
      </c>
      <c r="C1144" s="45" t="s">
        <v>417</v>
      </c>
      <c r="D1144" s="46" t="s">
        <v>4</v>
      </c>
      <c r="E1144" s="44">
        <v>0.024</v>
      </c>
      <c r="F1144" s="31">
        <f>TRUNC(26.15,2)</f>
        <v>26.15</v>
      </c>
      <c r="G1144" s="32">
        <f>TRUNC(E1144*F1144,2)</f>
        <v>0.62</v>
      </c>
      <c r="H1144" s="32"/>
      <c r="I1144" s="33"/>
      <c r="J1144" s="33"/>
      <c r="K1144" s="44"/>
    </row>
    <row r="1145" spans="1:11" s="34" customFormat="1" ht="30">
      <c r="A1145" s="30"/>
      <c r="B1145" s="43" t="s">
        <v>418</v>
      </c>
      <c r="C1145" s="45" t="s">
        <v>419</v>
      </c>
      <c r="D1145" s="46" t="s">
        <v>4</v>
      </c>
      <c r="E1145" s="44">
        <v>0.024</v>
      </c>
      <c r="F1145" s="31">
        <f>TRUNC(20.45,2)</f>
        <v>20.45</v>
      </c>
      <c r="G1145" s="32">
        <f>TRUNC(E1145*F1145,2)</f>
        <v>0.49</v>
      </c>
      <c r="H1145" s="32"/>
      <c r="I1145" s="33"/>
      <c r="J1145" s="33"/>
      <c r="K1145" s="44"/>
    </row>
    <row r="1146" spans="1:11" s="34" customFormat="1" ht="15">
      <c r="A1146" s="30"/>
      <c r="B1146" s="43"/>
      <c r="C1146" s="45"/>
      <c r="D1146" s="46"/>
      <c r="E1146" s="44" t="s">
        <v>5</v>
      </c>
      <c r="F1146" s="31"/>
      <c r="G1146" s="32">
        <f>TRUNC(SUM(G1142:G1145),2)</f>
        <v>14.67</v>
      </c>
      <c r="H1146" s="32"/>
      <c r="I1146" s="33"/>
      <c r="J1146" s="33"/>
      <c r="K1146" s="44"/>
    </row>
    <row r="1147" spans="1:11" s="88" customFormat="1" ht="60">
      <c r="A1147" s="80" t="s">
        <v>2481</v>
      </c>
      <c r="B1147" s="81" t="s">
        <v>745</v>
      </c>
      <c r="C1147" s="82" t="s">
        <v>746</v>
      </c>
      <c r="D1147" s="83" t="s">
        <v>10</v>
      </c>
      <c r="E1147" s="84">
        <v>2</v>
      </c>
      <c r="F1147" s="85">
        <f>TRUNC(G1151,2)</f>
        <v>104.6</v>
      </c>
      <c r="G1147" s="86">
        <f>TRUNC(F1147*1.2882,2)</f>
        <v>134.74</v>
      </c>
      <c r="H1147" s="86">
        <f>TRUNC(F1147*E1147,2)</f>
        <v>209.2</v>
      </c>
      <c r="I1147" s="87">
        <f>TRUNC(E1147*G1147,2)</f>
        <v>269.48</v>
      </c>
      <c r="J1147" s="87"/>
      <c r="K1147" s="84"/>
    </row>
    <row r="1148" spans="1:11" s="34" customFormat="1" ht="15">
      <c r="A1148" s="30"/>
      <c r="B1148" s="43" t="s">
        <v>747</v>
      </c>
      <c r="C1148" s="45" t="s">
        <v>748</v>
      </c>
      <c r="D1148" s="46" t="s">
        <v>10</v>
      </c>
      <c r="E1148" s="44">
        <v>1</v>
      </c>
      <c r="F1148" s="31">
        <f>TRUNC(69.43,2)</f>
        <v>69.43</v>
      </c>
      <c r="G1148" s="32">
        <f>TRUNC(E1148*F1148,2)</f>
        <v>69.43</v>
      </c>
      <c r="H1148" s="32"/>
      <c r="I1148" s="33"/>
      <c r="J1148" s="33"/>
      <c r="K1148" s="44"/>
    </row>
    <row r="1149" spans="1:11" s="34" customFormat="1" ht="30">
      <c r="A1149" s="30"/>
      <c r="B1149" s="43" t="s">
        <v>26</v>
      </c>
      <c r="C1149" s="45" t="s">
        <v>27</v>
      </c>
      <c r="D1149" s="46" t="s">
        <v>4</v>
      </c>
      <c r="E1149" s="44">
        <v>1.03</v>
      </c>
      <c r="F1149" s="31">
        <f>TRUNC(14.34,2)</f>
        <v>14.34</v>
      </c>
      <c r="G1149" s="32">
        <f>TRUNC(E1149*F1149,2)</f>
        <v>14.77</v>
      </c>
      <c r="H1149" s="32"/>
      <c r="I1149" s="33"/>
      <c r="J1149" s="33"/>
      <c r="K1149" s="44"/>
    </row>
    <row r="1150" spans="1:11" s="34" customFormat="1" ht="15">
      <c r="A1150" s="30"/>
      <c r="B1150" s="43" t="s">
        <v>239</v>
      </c>
      <c r="C1150" s="45" t="s">
        <v>240</v>
      </c>
      <c r="D1150" s="46" t="s">
        <v>4</v>
      </c>
      <c r="E1150" s="44">
        <v>1.03</v>
      </c>
      <c r="F1150" s="31">
        <f>TRUNC(19.81,2)</f>
        <v>19.81</v>
      </c>
      <c r="G1150" s="32">
        <f>TRUNC(E1150*F1150,2)</f>
        <v>20.4</v>
      </c>
      <c r="H1150" s="32"/>
      <c r="I1150" s="33"/>
      <c r="J1150" s="33"/>
      <c r="K1150" s="44"/>
    </row>
    <row r="1151" spans="1:11" s="34" customFormat="1" ht="15">
      <c r="A1151" s="30"/>
      <c r="B1151" s="43"/>
      <c r="C1151" s="45"/>
      <c r="D1151" s="46"/>
      <c r="E1151" s="44" t="s">
        <v>5</v>
      </c>
      <c r="F1151" s="31"/>
      <c r="G1151" s="32">
        <f>TRUNC(SUM(G1148:G1150),2)</f>
        <v>104.6</v>
      </c>
      <c r="H1151" s="32"/>
      <c r="I1151" s="33"/>
      <c r="J1151" s="33"/>
      <c r="K1151" s="44"/>
    </row>
    <row r="1152" spans="1:11" s="88" customFormat="1" ht="30">
      <c r="A1152" s="80" t="s">
        <v>2482</v>
      </c>
      <c r="B1152" s="81" t="s">
        <v>2485</v>
      </c>
      <c r="C1152" s="82" t="s">
        <v>2471</v>
      </c>
      <c r="D1152" s="83" t="s">
        <v>10</v>
      </c>
      <c r="E1152" s="84">
        <v>1</v>
      </c>
      <c r="F1152" s="85">
        <f>TRUNC(G1165+G1161+G1157,2)</f>
        <v>1094.56</v>
      </c>
      <c r="G1152" s="86">
        <f>TRUNC(F1152*1.2882,2)</f>
        <v>1410.01</v>
      </c>
      <c r="H1152" s="86">
        <f>TRUNC(F1152*E1152,2)</f>
        <v>1094.56</v>
      </c>
      <c r="I1152" s="87">
        <f>TRUNC(E1152*G1152,2)</f>
        <v>1410.01</v>
      </c>
      <c r="J1152" s="87"/>
      <c r="K1152" s="84"/>
    </row>
    <row r="1153" spans="1:11" s="34" customFormat="1" ht="15">
      <c r="A1153" s="30"/>
      <c r="B1153" s="43" t="s">
        <v>2469</v>
      </c>
      <c r="C1153" s="45" t="s">
        <v>2470</v>
      </c>
      <c r="D1153" s="46" t="s">
        <v>10</v>
      </c>
      <c r="E1153" s="44">
        <v>1</v>
      </c>
      <c r="F1153" s="31">
        <f>TRUNC(7.21,2)</f>
        <v>7.21</v>
      </c>
      <c r="G1153" s="32">
        <f>TRUNC(E1153*F1153,2)</f>
        <v>7.21</v>
      </c>
      <c r="H1153" s="32"/>
      <c r="I1153" s="33"/>
      <c r="J1153" s="33"/>
      <c r="K1153" s="44"/>
    </row>
    <row r="1154" spans="1:11" s="34" customFormat="1" ht="15">
      <c r="A1154" s="30"/>
      <c r="B1154" s="43" t="s">
        <v>145</v>
      </c>
      <c r="C1154" s="45" t="s">
        <v>146</v>
      </c>
      <c r="D1154" s="46" t="s">
        <v>10</v>
      </c>
      <c r="E1154" s="44">
        <v>0.001</v>
      </c>
      <c r="F1154" s="31">
        <f>TRUNC(4.22,2)</f>
        <v>4.22</v>
      </c>
      <c r="G1154" s="32">
        <f>TRUNC(E1154*F1154,2)</f>
        <v>0</v>
      </c>
      <c r="H1154" s="32"/>
      <c r="I1154" s="33"/>
      <c r="J1154" s="33"/>
      <c r="K1154" s="44"/>
    </row>
    <row r="1155" spans="1:11" s="34" customFormat="1" ht="15">
      <c r="A1155" s="30"/>
      <c r="B1155" s="43" t="s">
        <v>115</v>
      </c>
      <c r="C1155" s="45" t="s">
        <v>116</v>
      </c>
      <c r="D1155" s="46" t="s">
        <v>2</v>
      </c>
      <c r="E1155" s="44">
        <v>1</v>
      </c>
      <c r="F1155" s="31">
        <f>TRUNC(4,2)</f>
        <v>4</v>
      </c>
      <c r="G1155" s="32">
        <f>TRUNC(E1155*F1155,2)</f>
        <v>4</v>
      </c>
      <c r="H1155" s="32"/>
      <c r="I1155" s="33"/>
      <c r="J1155" s="33"/>
      <c r="K1155" s="44"/>
    </row>
    <row r="1156" spans="1:11" s="34" customFormat="1" ht="30">
      <c r="A1156" s="30"/>
      <c r="B1156" s="43" t="s">
        <v>209</v>
      </c>
      <c r="C1156" s="45" t="s">
        <v>210</v>
      </c>
      <c r="D1156" s="46" t="s">
        <v>4</v>
      </c>
      <c r="E1156" s="44">
        <v>1.03</v>
      </c>
      <c r="F1156" s="31">
        <f>TRUNC(19.81,2)</f>
        <v>19.81</v>
      </c>
      <c r="G1156" s="32">
        <f>TRUNC(E1156*F1156,2)</f>
        <v>20.4</v>
      </c>
      <c r="H1156" s="32"/>
      <c r="I1156" s="33"/>
      <c r="J1156" s="33"/>
      <c r="K1156" s="44"/>
    </row>
    <row r="1157" spans="1:11" s="34" customFormat="1" ht="15">
      <c r="A1157" s="30"/>
      <c r="B1157" s="43"/>
      <c r="C1157" s="45"/>
      <c r="D1157" s="46"/>
      <c r="E1157" s="44" t="s">
        <v>5</v>
      </c>
      <c r="F1157" s="31"/>
      <c r="G1157" s="32">
        <f>TRUNC(SUM(G1153:G1156),2)</f>
        <v>31.61</v>
      </c>
      <c r="H1157" s="32"/>
      <c r="I1157" s="33"/>
      <c r="J1157" s="33"/>
      <c r="K1157" s="44"/>
    </row>
    <row r="1158" spans="1:11" s="34" customFormat="1" ht="30">
      <c r="A1158" s="30"/>
      <c r="B1158" s="52" t="s">
        <v>827</v>
      </c>
      <c r="C1158" s="45" t="s">
        <v>2472</v>
      </c>
      <c r="D1158" s="46" t="s">
        <v>10</v>
      </c>
      <c r="E1158" s="44">
        <v>1</v>
      </c>
      <c r="F1158" s="31">
        <v>556.13</v>
      </c>
      <c r="G1158" s="32">
        <f>TRUNC(E1158*F1158,2)</f>
        <v>556.13</v>
      </c>
      <c r="H1158" s="32"/>
      <c r="I1158" s="33"/>
      <c r="J1158" s="33"/>
      <c r="K1158" s="44"/>
    </row>
    <row r="1159" spans="1:11" s="34" customFormat="1" ht="15">
      <c r="A1159" s="30"/>
      <c r="B1159" s="52" t="s">
        <v>827</v>
      </c>
      <c r="C1159" s="45" t="s">
        <v>2473</v>
      </c>
      <c r="D1159" s="46" t="s">
        <v>10</v>
      </c>
      <c r="E1159" s="44">
        <v>1</v>
      </c>
      <c r="F1159" s="31">
        <v>591.5</v>
      </c>
      <c r="G1159" s="32">
        <f>TRUNC(E1159*F1159,2)</f>
        <v>591.5</v>
      </c>
      <c r="H1159" s="32"/>
      <c r="I1159" s="33"/>
      <c r="J1159" s="33"/>
      <c r="K1159" s="44"/>
    </row>
    <row r="1160" spans="1:11" s="34" customFormat="1" ht="15">
      <c r="A1160" s="30"/>
      <c r="B1160" s="52" t="s">
        <v>827</v>
      </c>
      <c r="C1160" s="45" t="s">
        <v>2474</v>
      </c>
      <c r="D1160" s="46" t="s">
        <v>10</v>
      </c>
      <c r="E1160" s="44">
        <v>1</v>
      </c>
      <c r="F1160" s="31">
        <v>464.99</v>
      </c>
      <c r="G1160" s="32">
        <f>TRUNC(E1160*F1160,2)</f>
        <v>464.99</v>
      </c>
      <c r="H1160" s="32"/>
      <c r="I1160" s="33"/>
      <c r="J1160" s="33"/>
      <c r="K1160" s="44"/>
    </row>
    <row r="1161" spans="1:11" s="34" customFormat="1" ht="15">
      <c r="A1161" s="30"/>
      <c r="B1161" s="52"/>
      <c r="C1161" s="45"/>
      <c r="D1161" s="46"/>
      <c r="E1161" s="44"/>
      <c r="F1161" s="31" t="s">
        <v>2478</v>
      </c>
      <c r="G1161" s="32">
        <f>G1158</f>
        <v>556.13</v>
      </c>
      <c r="H1161" s="32"/>
      <c r="I1161" s="33"/>
      <c r="J1161" s="33"/>
      <c r="K1161" s="44"/>
    </row>
    <row r="1162" spans="1:11" s="34" customFormat="1" ht="30">
      <c r="A1162" s="30"/>
      <c r="B1162" s="52" t="s">
        <v>827</v>
      </c>
      <c r="C1162" s="45" t="s">
        <v>2475</v>
      </c>
      <c r="D1162" s="46" t="s">
        <v>10</v>
      </c>
      <c r="E1162" s="44">
        <v>1</v>
      </c>
      <c r="F1162" s="31">
        <v>869.9</v>
      </c>
      <c r="G1162" s="32">
        <f>TRUNC(E1162*F1162,2)</f>
        <v>869.9</v>
      </c>
      <c r="H1162" s="32"/>
      <c r="I1162" s="33"/>
      <c r="J1162" s="33"/>
      <c r="K1162" s="44"/>
    </row>
    <row r="1163" spans="1:11" s="34" customFormat="1" ht="30">
      <c r="A1163" s="30"/>
      <c r="B1163" s="52" t="s">
        <v>827</v>
      </c>
      <c r="C1163" s="45" t="s">
        <v>2476</v>
      </c>
      <c r="D1163" s="46" t="s">
        <v>10</v>
      </c>
      <c r="E1163" s="44">
        <v>1</v>
      </c>
      <c r="F1163" s="31">
        <v>506.82</v>
      </c>
      <c r="G1163" s="32">
        <f>TRUNC(E1163*F1163,2)</f>
        <v>506.82</v>
      </c>
      <c r="H1163" s="32"/>
      <c r="I1163" s="33"/>
      <c r="J1163" s="33"/>
      <c r="K1163" s="44"/>
    </row>
    <row r="1164" spans="1:11" s="34" customFormat="1" ht="30">
      <c r="A1164" s="30"/>
      <c r="B1164" s="52" t="s">
        <v>827</v>
      </c>
      <c r="C1164" s="45" t="s">
        <v>2477</v>
      </c>
      <c r="D1164" s="46" t="s">
        <v>10</v>
      </c>
      <c r="E1164" s="44">
        <v>1</v>
      </c>
      <c r="F1164" s="31">
        <v>325.73</v>
      </c>
      <c r="G1164" s="32">
        <f>TRUNC(E1164*F1164,2)</f>
        <v>325.73</v>
      </c>
      <c r="H1164" s="32"/>
      <c r="I1164" s="33"/>
      <c r="J1164" s="33"/>
      <c r="K1164" s="44"/>
    </row>
    <row r="1165" spans="1:11" s="34" customFormat="1" ht="15">
      <c r="A1165" s="30"/>
      <c r="B1165" s="43"/>
      <c r="C1165" s="45"/>
      <c r="D1165" s="46"/>
      <c r="E1165" s="44"/>
      <c r="F1165" s="31" t="s">
        <v>2478</v>
      </c>
      <c r="G1165" s="32">
        <f>G1163</f>
        <v>506.82</v>
      </c>
      <c r="H1165" s="32"/>
      <c r="I1165" s="33"/>
      <c r="J1165" s="33"/>
      <c r="K1165" s="44"/>
    </row>
    <row r="1166" spans="1:11" s="72" customFormat="1" ht="15">
      <c r="A1166" s="65" t="s">
        <v>1363</v>
      </c>
      <c r="B1166" s="66"/>
      <c r="C1166" s="67"/>
      <c r="D1166" s="68"/>
      <c r="E1166" s="69"/>
      <c r="F1166" s="70"/>
      <c r="G1166" s="73" t="s">
        <v>1664</v>
      </c>
      <c r="H1166" s="75">
        <f>H572+H578+H584+H590+H596+H602+H605+H610+H616+H622+H628+H632+H636+H640+H645+H650+H656+H659+H664+H669+H680+H685+H691+H697+H703+H708+H720+H729+H739+H745+H752+H764+H770+H777+H787+H797+H805+H813+H821+H834+H848+H866+H887+H894+H904+H910+H922+H937+H944+H951+H958+H965+H974+H980+H987+H994+H1000+H1004+H1007+H1014+H1019+H1025+H1030+H1035+H1040+H1058+H1068+H1076+H1082+H1088+H1094+H1100+H1107+H1113+H1120+H1126</f>
        <v>199205.25000000003</v>
      </c>
      <c r="I1166" s="75">
        <f>I572+I578+I584+I590+I596+I602+I605+I610+I616+I622+I628+I632+I636+I640+I645+I650+I656+I659+I664+I669+I680+I685+I691+I697+I703+I708+I720+I729+I739+I745+I752+I764+I770+I777+I787+I797+I805+I813+I821+I834+I848+I866+I887+I894+I904+I910+I922+I937+I944+I951+I958+I965+I974+I980+I987+I994+I1000+I1004+I1007+I1014+I1019+I1025+I1030+I1035+I1040+I1058+I1068+I1076+I1082+I1088+I1094+I1100+I1107+I1113+I1120+I1126</f>
        <v>256605.67999999996</v>
      </c>
      <c r="J1166" s="71"/>
      <c r="K1166" s="69"/>
    </row>
    <row r="1167" spans="1:11" s="21" customFormat="1" ht="15.75">
      <c r="A1167" s="21" t="s">
        <v>1665</v>
      </c>
      <c r="B1167" s="28"/>
      <c r="C1167" s="29" t="s">
        <v>1670</v>
      </c>
      <c r="D1167" s="29"/>
      <c r="E1167" s="29"/>
      <c r="F1167" s="29"/>
      <c r="G1167" s="29"/>
      <c r="H1167" s="29"/>
      <c r="I1167" s="27"/>
      <c r="J1167" s="29"/>
      <c r="K1167" s="29"/>
    </row>
    <row r="1168" spans="1:11" s="88" customFormat="1" ht="30">
      <c r="A1168" s="80" t="s">
        <v>1666</v>
      </c>
      <c r="B1168" s="81" t="s">
        <v>476</v>
      </c>
      <c r="C1168" s="82" t="s">
        <v>477</v>
      </c>
      <c r="D1168" s="83" t="s">
        <v>10</v>
      </c>
      <c r="E1168" s="84">
        <v>1</v>
      </c>
      <c r="F1168" s="85">
        <f>TRUNC(G1173,2)</f>
        <v>49.49</v>
      </c>
      <c r="G1168" s="86">
        <f>TRUNC(F1168*1.2882,2)</f>
        <v>63.75</v>
      </c>
      <c r="H1168" s="86">
        <f>TRUNC(F1168*E1168,2)</f>
        <v>49.49</v>
      </c>
      <c r="I1168" s="87">
        <f>TRUNC(E1168*G1168,2)</f>
        <v>63.75</v>
      </c>
      <c r="J1168" s="87"/>
      <c r="K1168" s="84"/>
    </row>
    <row r="1169" spans="1:11" s="34" customFormat="1" ht="30">
      <c r="A1169" s="30"/>
      <c r="B1169" s="43" t="s">
        <v>478</v>
      </c>
      <c r="C1169" s="45" t="s">
        <v>479</v>
      </c>
      <c r="D1169" s="46" t="s">
        <v>10</v>
      </c>
      <c r="E1169" s="44">
        <v>1</v>
      </c>
      <c r="F1169" s="31">
        <f>TRUNC(31.44,2)</f>
        <v>31.44</v>
      </c>
      <c r="G1169" s="32">
        <f>TRUNC(E1169*F1169,2)</f>
        <v>31.44</v>
      </c>
      <c r="H1169" s="32"/>
      <c r="I1169" s="33"/>
      <c r="J1169" s="33"/>
      <c r="K1169" s="44"/>
    </row>
    <row r="1170" spans="1:11" s="34" customFormat="1" ht="15">
      <c r="A1170" s="30"/>
      <c r="B1170" s="43" t="s">
        <v>480</v>
      </c>
      <c r="C1170" s="45" t="s">
        <v>481</v>
      </c>
      <c r="D1170" s="46" t="s">
        <v>4</v>
      </c>
      <c r="E1170" s="44">
        <v>0.3259</v>
      </c>
      <c r="F1170" s="31">
        <f>TRUNC(26.87,2)</f>
        <v>26.87</v>
      </c>
      <c r="G1170" s="32">
        <f>TRUNC(E1170*F1170,2)</f>
        <v>8.75</v>
      </c>
      <c r="H1170" s="32"/>
      <c r="I1170" s="33"/>
      <c r="J1170" s="33"/>
      <c r="K1170" s="44"/>
    </row>
    <row r="1171" spans="1:11" s="34" customFormat="1" ht="15">
      <c r="A1171" s="30"/>
      <c r="B1171" s="43" t="s">
        <v>482</v>
      </c>
      <c r="C1171" s="45" t="s">
        <v>483</v>
      </c>
      <c r="D1171" s="46" t="s">
        <v>4</v>
      </c>
      <c r="E1171" s="44">
        <v>0.3259</v>
      </c>
      <c r="F1171" s="31">
        <f>TRUNC(21,2)</f>
        <v>21</v>
      </c>
      <c r="G1171" s="32">
        <f>TRUNC(E1171*F1171,2)</f>
        <v>6.84</v>
      </c>
      <c r="H1171" s="32"/>
      <c r="I1171" s="33"/>
      <c r="J1171" s="33"/>
      <c r="K1171" s="44"/>
    </row>
    <row r="1172" spans="1:11" s="34" customFormat="1" ht="45">
      <c r="A1172" s="30"/>
      <c r="B1172" s="43" t="s">
        <v>484</v>
      </c>
      <c r="C1172" s="45" t="s">
        <v>485</v>
      </c>
      <c r="D1172" s="46" t="s">
        <v>1</v>
      </c>
      <c r="E1172" s="44">
        <v>0.0044</v>
      </c>
      <c r="F1172" s="31">
        <f>TRUNC(561.35,2)</f>
        <v>561.35</v>
      </c>
      <c r="G1172" s="32">
        <f>TRUNC(E1172*F1172,2)</f>
        <v>2.46</v>
      </c>
      <c r="H1172" s="32"/>
      <c r="I1172" s="33"/>
      <c r="J1172" s="33"/>
      <c r="K1172" s="44"/>
    </row>
    <row r="1173" spans="1:11" s="34" customFormat="1" ht="15">
      <c r="A1173" s="30"/>
      <c r="B1173" s="43"/>
      <c r="C1173" s="45"/>
      <c r="D1173" s="46"/>
      <c r="E1173" s="44" t="s">
        <v>5</v>
      </c>
      <c r="F1173" s="31"/>
      <c r="G1173" s="32">
        <f>TRUNC(SUM(G1169:G1172),2)</f>
        <v>49.49</v>
      </c>
      <c r="H1173" s="32"/>
      <c r="I1173" s="33"/>
      <c r="J1173" s="33"/>
      <c r="K1173" s="44"/>
    </row>
    <row r="1174" spans="1:11" s="88" customFormat="1" ht="30">
      <c r="A1174" s="80" t="s">
        <v>1667</v>
      </c>
      <c r="B1174" s="81" t="s">
        <v>476</v>
      </c>
      <c r="C1174" s="82" t="s">
        <v>1156</v>
      </c>
      <c r="D1174" s="83" t="s">
        <v>10</v>
      </c>
      <c r="E1174" s="84">
        <v>1</v>
      </c>
      <c r="F1174" s="85">
        <f>TRUNC(G1179,2)</f>
        <v>87.74</v>
      </c>
      <c r="G1174" s="86">
        <f>TRUNC(F1174*1.2882,2)</f>
        <v>113.02</v>
      </c>
      <c r="H1174" s="86">
        <f>TRUNC(F1174*E1174,2)</f>
        <v>87.74</v>
      </c>
      <c r="I1174" s="87">
        <f>TRUNC(E1174*G1174,2)</f>
        <v>113.02</v>
      </c>
      <c r="J1174" s="87"/>
      <c r="K1174" s="84"/>
    </row>
    <row r="1175" spans="1:11" s="58" customFormat="1" ht="28.5">
      <c r="A1175" s="54"/>
      <c r="B1175" s="52" t="s">
        <v>1157</v>
      </c>
      <c r="C1175" s="55" t="s">
        <v>1158</v>
      </c>
      <c r="D1175" s="56" t="s">
        <v>10</v>
      </c>
      <c r="E1175" s="57">
        <v>1</v>
      </c>
      <c r="F1175" s="53">
        <v>69.69</v>
      </c>
      <c r="G1175" s="50">
        <f>TRUNC(E1175*F1175,2)</f>
        <v>69.69</v>
      </c>
      <c r="H1175" s="50"/>
      <c r="I1175" s="51"/>
      <c r="J1175" s="51"/>
      <c r="K1175" s="57"/>
    </row>
    <row r="1176" spans="1:11" s="34" customFormat="1" ht="15">
      <c r="A1176" s="30"/>
      <c r="B1176" s="43" t="s">
        <v>480</v>
      </c>
      <c r="C1176" s="45" t="s">
        <v>481</v>
      </c>
      <c r="D1176" s="46" t="s">
        <v>4</v>
      </c>
      <c r="E1176" s="44">
        <v>0.3259</v>
      </c>
      <c r="F1176" s="31">
        <f>TRUNC(26.87,2)</f>
        <v>26.87</v>
      </c>
      <c r="G1176" s="32">
        <f>TRUNC(E1176*F1176,2)</f>
        <v>8.75</v>
      </c>
      <c r="H1176" s="32"/>
      <c r="I1176" s="33"/>
      <c r="J1176" s="33"/>
      <c r="K1176" s="44"/>
    </row>
    <row r="1177" spans="1:11" s="34" customFormat="1" ht="15">
      <c r="A1177" s="30"/>
      <c r="B1177" s="43" t="s">
        <v>482</v>
      </c>
      <c r="C1177" s="45" t="s">
        <v>483</v>
      </c>
      <c r="D1177" s="46" t="s">
        <v>4</v>
      </c>
      <c r="E1177" s="44">
        <v>0.3259</v>
      </c>
      <c r="F1177" s="31">
        <f>TRUNC(21,2)</f>
        <v>21</v>
      </c>
      <c r="G1177" s="32">
        <f>TRUNC(E1177*F1177,2)</f>
        <v>6.84</v>
      </c>
      <c r="H1177" s="32"/>
      <c r="I1177" s="33"/>
      <c r="J1177" s="33"/>
      <c r="K1177" s="44"/>
    </row>
    <row r="1178" spans="1:11" s="34" customFormat="1" ht="45">
      <c r="A1178" s="30"/>
      <c r="B1178" s="43" t="s">
        <v>484</v>
      </c>
      <c r="C1178" s="45" t="s">
        <v>485</v>
      </c>
      <c r="D1178" s="46" t="s">
        <v>1</v>
      </c>
      <c r="E1178" s="44">
        <v>0.0044</v>
      </c>
      <c r="F1178" s="31">
        <f>TRUNC(561.35,2)</f>
        <v>561.35</v>
      </c>
      <c r="G1178" s="32">
        <f>TRUNC(E1178*F1178,2)</f>
        <v>2.46</v>
      </c>
      <c r="H1178" s="32"/>
      <c r="I1178" s="33"/>
      <c r="J1178" s="33"/>
      <c r="K1178" s="44"/>
    </row>
    <row r="1179" spans="1:11" s="34" customFormat="1" ht="15">
      <c r="A1179" s="30"/>
      <c r="B1179" s="43"/>
      <c r="C1179" s="45"/>
      <c r="D1179" s="46"/>
      <c r="E1179" s="44" t="s">
        <v>5</v>
      </c>
      <c r="F1179" s="31"/>
      <c r="G1179" s="32">
        <f>TRUNC(SUM(G1175:G1178),2)</f>
        <v>87.74</v>
      </c>
      <c r="H1179" s="32"/>
      <c r="I1179" s="33"/>
      <c r="J1179" s="33"/>
      <c r="K1179" s="44"/>
    </row>
    <row r="1180" spans="1:11" s="88" customFormat="1" ht="75">
      <c r="A1180" s="80" t="s">
        <v>1668</v>
      </c>
      <c r="B1180" s="81" t="s">
        <v>1159</v>
      </c>
      <c r="C1180" s="82" t="s">
        <v>1160</v>
      </c>
      <c r="D1180" s="83" t="s">
        <v>10</v>
      </c>
      <c r="E1180" s="84">
        <v>2</v>
      </c>
      <c r="F1180" s="85">
        <f>TRUNC(G1184,2)</f>
        <v>154.93</v>
      </c>
      <c r="G1180" s="86">
        <f>TRUNC(F1180*1.2882,2)</f>
        <v>199.58</v>
      </c>
      <c r="H1180" s="86">
        <f>TRUNC(F1180*E1180,2)</f>
        <v>309.86</v>
      </c>
      <c r="I1180" s="87">
        <f>TRUNC(E1180*G1180,2)</f>
        <v>399.16</v>
      </c>
      <c r="J1180" s="87"/>
      <c r="K1180" s="84"/>
    </row>
    <row r="1181" spans="1:11" s="34" customFormat="1" ht="30">
      <c r="A1181" s="30"/>
      <c r="B1181" s="43" t="s">
        <v>1161</v>
      </c>
      <c r="C1181" s="45" t="s">
        <v>1162</v>
      </c>
      <c r="D1181" s="46" t="s">
        <v>10</v>
      </c>
      <c r="E1181" s="44">
        <v>1</v>
      </c>
      <c r="F1181" s="31">
        <f>TRUNC(75.8,2)</f>
        <v>75.8</v>
      </c>
      <c r="G1181" s="32">
        <f>TRUNC(E1181*F1181,2)</f>
        <v>75.8</v>
      </c>
      <c r="H1181" s="32"/>
      <c r="I1181" s="33"/>
      <c r="J1181" s="33"/>
      <c r="K1181" s="44"/>
    </row>
    <row r="1182" spans="1:11" s="34" customFormat="1" ht="30">
      <c r="A1182" s="30"/>
      <c r="B1182" s="43" t="s">
        <v>26</v>
      </c>
      <c r="C1182" s="45" t="s">
        <v>27</v>
      </c>
      <c r="D1182" s="46" t="s">
        <v>4</v>
      </c>
      <c r="E1182" s="44">
        <v>2.3175</v>
      </c>
      <c r="F1182" s="31">
        <f>TRUNC(14.34,2)</f>
        <v>14.34</v>
      </c>
      <c r="G1182" s="32">
        <f>TRUNC(E1182*F1182,2)</f>
        <v>33.23</v>
      </c>
      <c r="H1182" s="32"/>
      <c r="I1182" s="33"/>
      <c r="J1182" s="33"/>
      <c r="K1182" s="44"/>
    </row>
    <row r="1183" spans="1:11" s="34" customFormat="1" ht="30">
      <c r="A1183" s="30"/>
      <c r="B1183" s="43" t="s">
        <v>93</v>
      </c>
      <c r="C1183" s="45" t="s">
        <v>94</v>
      </c>
      <c r="D1183" s="46" t="s">
        <v>4</v>
      </c>
      <c r="E1183" s="44">
        <v>2.3175</v>
      </c>
      <c r="F1183" s="31">
        <f>TRUNC(19.81,2)</f>
        <v>19.81</v>
      </c>
      <c r="G1183" s="32">
        <f>TRUNC(E1183*F1183,2)</f>
        <v>45.9</v>
      </c>
      <c r="H1183" s="32"/>
      <c r="I1183" s="33"/>
      <c r="J1183" s="33"/>
      <c r="K1183" s="44"/>
    </row>
    <row r="1184" spans="1:11" s="34" customFormat="1" ht="15">
      <c r="A1184" s="30"/>
      <c r="B1184" s="43"/>
      <c r="C1184" s="45"/>
      <c r="D1184" s="46"/>
      <c r="E1184" s="44" t="s">
        <v>5</v>
      </c>
      <c r="F1184" s="31"/>
      <c r="G1184" s="32">
        <f>TRUNC(SUM(G1181:G1183),2)</f>
        <v>154.93</v>
      </c>
      <c r="H1184" s="32"/>
      <c r="I1184" s="33"/>
      <c r="J1184" s="33"/>
      <c r="K1184" s="44"/>
    </row>
    <row r="1185" spans="1:11" s="88" customFormat="1" ht="75">
      <c r="A1185" s="80" t="s">
        <v>1669</v>
      </c>
      <c r="B1185" s="81" t="s">
        <v>1163</v>
      </c>
      <c r="C1185" s="82" t="s">
        <v>1164</v>
      </c>
      <c r="D1185" s="83" t="s">
        <v>10</v>
      </c>
      <c r="E1185" s="84">
        <v>1</v>
      </c>
      <c r="F1185" s="85">
        <f>TRUNC(G1189,2)</f>
        <v>374.2</v>
      </c>
      <c r="G1185" s="86">
        <f>TRUNC(F1185*1.2882,2)</f>
        <v>482.04</v>
      </c>
      <c r="H1185" s="86">
        <f>TRUNC(F1185*E1185,2)</f>
        <v>374.2</v>
      </c>
      <c r="I1185" s="87">
        <f>TRUNC(E1185*G1185,2)</f>
        <v>482.04</v>
      </c>
      <c r="J1185" s="87"/>
      <c r="K1185" s="84"/>
    </row>
    <row r="1186" spans="1:11" s="34" customFormat="1" ht="30">
      <c r="A1186" s="30"/>
      <c r="B1186" s="43" t="s">
        <v>1165</v>
      </c>
      <c r="C1186" s="45" t="s">
        <v>1166</v>
      </c>
      <c r="D1186" s="46" t="s">
        <v>10</v>
      </c>
      <c r="E1186" s="44">
        <v>1</v>
      </c>
      <c r="F1186" s="31">
        <f>TRUNC(291.38,2)</f>
        <v>291.38</v>
      </c>
      <c r="G1186" s="32">
        <f>TRUNC(E1186*F1186,2)</f>
        <v>291.38</v>
      </c>
      <c r="H1186" s="32"/>
      <c r="I1186" s="33"/>
      <c r="J1186" s="33"/>
      <c r="K1186" s="44"/>
    </row>
    <row r="1187" spans="1:11" s="34" customFormat="1" ht="30">
      <c r="A1187" s="30"/>
      <c r="B1187" s="43" t="s">
        <v>26</v>
      </c>
      <c r="C1187" s="45" t="s">
        <v>27</v>
      </c>
      <c r="D1187" s="46" t="s">
        <v>4</v>
      </c>
      <c r="E1187" s="44">
        <v>2.575</v>
      </c>
      <c r="F1187" s="31">
        <f>TRUNC(14.34,2)</f>
        <v>14.34</v>
      </c>
      <c r="G1187" s="32">
        <f>TRUNC(E1187*F1187,2)</f>
        <v>36.92</v>
      </c>
      <c r="H1187" s="32"/>
      <c r="I1187" s="33"/>
      <c r="J1187" s="33"/>
      <c r="K1187" s="44"/>
    </row>
    <row r="1188" spans="1:11" s="34" customFormat="1" ht="30">
      <c r="A1188" s="30"/>
      <c r="B1188" s="43" t="s">
        <v>93</v>
      </c>
      <c r="C1188" s="45" t="s">
        <v>94</v>
      </c>
      <c r="D1188" s="46" t="s">
        <v>4</v>
      </c>
      <c r="E1188" s="44">
        <v>2.3175</v>
      </c>
      <c r="F1188" s="31">
        <f>TRUNC(19.81,2)</f>
        <v>19.81</v>
      </c>
      <c r="G1188" s="32">
        <f>TRUNC(E1188*F1188,2)</f>
        <v>45.9</v>
      </c>
      <c r="H1188" s="32"/>
      <c r="I1188" s="33"/>
      <c r="J1188" s="33"/>
      <c r="K1188" s="44"/>
    </row>
    <row r="1189" spans="1:11" s="34" customFormat="1" ht="15">
      <c r="A1189" s="30"/>
      <c r="B1189" s="43"/>
      <c r="C1189" s="45"/>
      <c r="D1189" s="46"/>
      <c r="E1189" s="44" t="s">
        <v>5</v>
      </c>
      <c r="F1189" s="31"/>
      <c r="G1189" s="32">
        <f>TRUNC(SUM(G1186:G1188),2)</f>
        <v>374.2</v>
      </c>
      <c r="H1189" s="32"/>
      <c r="I1189" s="33"/>
      <c r="J1189" s="33"/>
      <c r="K1189" s="44"/>
    </row>
    <row r="1190" spans="1:11" s="88" customFormat="1" ht="75">
      <c r="A1190" s="80" t="s">
        <v>1671</v>
      </c>
      <c r="B1190" s="81" t="s">
        <v>1163</v>
      </c>
      <c r="C1190" s="82" t="s">
        <v>1164</v>
      </c>
      <c r="D1190" s="83" t="s">
        <v>10</v>
      </c>
      <c r="E1190" s="84">
        <v>1</v>
      </c>
      <c r="F1190" s="85">
        <f>TRUNC(G1194+G1198,2)</f>
        <v>1178.36</v>
      </c>
      <c r="G1190" s="86">
        <f>TRUNC(F1190*1.2882,2)</f>
        <v>1517.96</v>
      </c>
      <c r="H1190" s="86">
        <f>TRUNC(F1190*E1190,2)</f>
        <v>1178.36</v>
      </c>
      <c r="I1190" s="87">
        <f>TRUNC(E1190*G1190,2)</f>
        <v>1517.96</v>
      </c>
      <c r="J1190" s="87"/>
      <c r="K1190" s="84"/>
    </row>
    <row r="1191" spans="1:11" s="34" customFormat="1" ht="30">
      <c r="A1191" s="30"/>
      <c r="B1191" s="43" t="s">
        <v>1165</v>
      </c>
      <c r="C1191" s="45" t="s">
        <v>1166</v>
      </c>
      <c r="D1191" s="46" t="s">
        <v>10</v>
      </c>
      <c r="E1191" s="44">
        <v>0</v>
      </c>
      <c r="F1191" s="31">
        <f>TRUNC(291.38,2)</f>
        <v>291.38</v>
      </c>
      <c r="G1191" s="32">
        <f>TRUNC(E1191*F1191,2)</f>
        <v>0</v>
      </c>
      <c r="H1191" s="32"/>
      <c r="I1191" s="33"/>
      <c r="J1191" s="33"/>
      <c r="K1191" s="44"/>
    </row>
    <row r="1192" spans="1:11" s="34" customFormat="1" ht="30">
      <c r="A1192" s="30"/>
      <c r="B1192" s="43" t="s">
        <v>26</v>
      </c>
      <c r="C1192" s="45" t="s">
        <v>27</v>
      </c>
      <c r="D1192" s="46" t="s">
        <v>4</v>
      </c>
      <c r="E1192" s="44">
        <v>2.575</v>
      </c>
      <c r="F1192" s="31">
        <f>TRUNC(14.34,2)</f>
        <v>14.34</v>
      </c>
      <c r="G1192" s="32">
        <f>TRUNC(E1192*F1192,2)</f>
        <v>36.92</v>
      </c>
      <c r="H1192" s="32"/>
      <c r="I1192" s="33"/>
      <c r="J1192" s="33"/>
      <c r="K1192" s="44"/>
    </row>
    <row r="1193" spans="1:11" s="34" customFormat="1" ht="30">
      <c r="A1193" s="30"/>
      <c r="B1193" s="43" t="s">
        <v>93</v>
      </c>
      <c r="C1193" s="45" t="s">
        <v>94</v>
      </c>
      <c r="D1193" s="46" t="s">
        <v>4</v>
      </c>
      <c r="E1193" s="44">
        <v>2.3175</v>
      </c>
      <c r="F1193" s="31">
        <f>TRUNC(19.81,2)</f>
        <v>19.81</v>
      </c>
      <c r="G1193" s="32">
        <f>TRUNC(E1193*F1193,2)</f>
        <v>45.9</v>
      </c>
      <c r="H1193" s="32"/>
      <c r="I1193" s="33"/>
      <c r="J1193" s="33"/>
      <c r="K1193" s="44"/>
    </row>
    <row r="1194" spans="1:11" s="34" customFormat="1" ht="15">
      <c r="A1194" s="30"/>
      <c r="B1194" s="43"/>
      <c r="C1194" s="45"/>
      <c r="D1194" s="46"/>
      <c r="E1194" s="44" t="s">
        <v>5</v>
      </c>
      <c r="F1194" s="31"/>
      <c r="G1194" s="32">
        <f>TRUNC(SUM(G1191:G1193),2)</f>
        <v>82.82</v>
      </c>
      <c r="H1194" s="32"/>
      <c r="I1194" s="33"/>
      <c r="J1194" s="33"/>
      <c r="K1194" s="44"/>
    </row>
    <row r="1195" spans="1:11" s="34" customFormat="1" ht="30">
      <c r="A1195" s="30"/>
      <c r="B1195" s="52" t="s">
        <v>827</v>
      </c>
      <c r="C1195" s="45" t="s">
        <v>1167</v>
      </c>
      <c r="D1195" s="46" t="s">
        <v>10</v>
      </c>
      <c r="E1195" s="44">
        <v>1</v>
      </c>
      <c r="F1195" s="31">
        <v>1483.55</v>
      </c>
      <c r="G1195" s="32">
        <f>TRUNC(E1195*F1195,2)</f>
        <v>1483.55</v>
      </c>
      <c r="H1195" s="32"/>
      <c r="I1195" s="33"/>
      <c r="J1195" s="33"/>
      <c r="K1195" s="44"/>
    </row>
    <row r="1196" spans="1:11" s="34" customFormat="1" ht="30">
      <c r="A1196" s="30"/>
      <c r="B1196" s="52" t="s">
        <v>827</v>
      </c>
      <c r="C1196" s="45" t="s">
        <v>1168</v>
      </c>
      <c r="D1196" s="46" t="s">
        <v>10</v>
      </c>
      <c r="E1196" s="44">
        <v>1</v>
      </c>
      <c r="F1196" s="31">
        <v>1095.54</v>
      </c>
      <c r="G1196" s="32">
        <f>TRUNC(E1196*F1196,2)</f>
        <v>1095.54</v>
      </c>
      <c r="H1196" s="32"/>
      <c r="I1196" s="33"/>
      <c r="J1196" s="33"/>
      <c r="K1196" s="44"/>
    </row>
    <row r="1197" spans="1:11" s="34" customFormat="1" ht="15">
      <c r="A1197" s="30"/>
      <c r="B1197" s="52" t="s">
        <v>827</v>
      </c>
      <c r="C1197" s="45" t="s">
        <v>1169</v>
      </c>
      <c r="D1197" s="46" t="s">
        <v>10</v>
      </c>
      <c r="E1197" s="44">
        <v>1</v>
      </c>
      <c r="F1197" s="31">
        <v>980.06</v>
      </c>
      <c r="G1197" s="32">
        <f>TRUNC(E1197*F1197,2)</f>
        <v>980.06</v>
      </c>
      <c r="H1197" s="32"/>
      <c r="I1197" s="33"/>
      <c r="J1197" s="33"/>
      <c r="K1197" s="44"/>
    </row>
    <row r="1198" spans="1:11" s="34" customFormat="1" ht="15">
      <c r="A1198" s="30"/>
      <c r="B1198" s="43"/>
      <c r="C1198" s="45"/>
      <c r="D1198" s="46"/>
      <c r="E1198" s="44" t="s">
        <v>1170</v>
      </c>
      <c r="F1198" s="31"/>
      <c r="G1198" s="32">
        <f>G1196</f>
        <v>1095.54</v>
      </c>
      <c r="H1198" s="32"/>
      <c r="I1198" s="33"/>
      <c r="J1198" s="33"/>
      <c r="K1198" s="44"/>
    </row>
    <row r="1199" spans="1:11" s="88" customFormat="1" ht="45">
      <c r="A1199" s="80" t="s">
        <v>1672</v>
      </c>
      <c r="B1199" s="81" t="s">
        <v>1464</v>
      </c>
      <c r="C1199" s="82" t="s">
        <v>1465</v>
      </c>
      <c r="D1199" s="83" t="s">
        <v>2</v>
      </c>
      <c r="E1199" s="84">
        <v>408</v>
      </c>
      <c r="F1199" s="85">
        <f>TRUNC(G1204,2)</f>
        <v>9.04</v>
      </c>
      <c r="G1199" s="86">
        <f>TRUNC(F1199*1.2882,2)</f>
        <v>11.64</v>
      </c>
      <c r="H1199" s="86">
        <f>TRUNC(F1199*E1199,2)</f>
        <v>3688.32</v>
      </c>
      <c r="I1199" s="87">
        <f>TRUNC(E1199*G1199,2)</f>
        <v>4749.12</v>
      </c>
      <c r="J1199" s="87"/>
      <c r="K1199" s="84"/>
    </row>
    <row r="1200" spans="1:11" s="34" customFormat="1" ht="30">
      <c r="A1200" s="30"/>
      <c r="B1200" s="43" t="s">
        <v>1466</v>
      </c>
      <c r="C1200" s="45" t="s">
        <v>1467</v>
      </c>
      <c r="D1200" s="46" t="s">
        <v>2</v>
      </c>
      <c r="E1200" s="44">
        <v>1.1</v>
      </c>
      <c r="F1200" s="31">
        <f>TRUNC(2.84,2)</f>
        <v>2.84</v>
      </c>
      <c r="G1200" s="32">
        <f>TRUNC(E1200*F1200,2)</f>
        <v>3.12</v>
      </c>
      <c r="H1200" s="32"/>
      <c r="I1200" s="33"/>
      <c r="J1200" s="33"/>
      <c r="K1200" s="44"/>
    </row>
    <row r="1201" spans="1:11" s="34" customFormat="1" ht="15">
      <c r="A1201" s="30"/>
      <c r="B1201" s="43" t="s">
        <v>480</v>
      </c>
      <c r="C1201" s="45" t="s">
        <v>481</v>
      </c>
      <c r="D1201" s="46" t="s">
        <v>4</v>
      </c>
      <c r="E1201" s="44">
        <v>0.07</v>
      </c>
      <c r="F1201" s="31">
        <f>TRUNC(26.87,2)</f>
        <v>26.87</v>
      </c>
      <c r="G1201" s="32">
        <f>TRUNC(E1201*F1201,2)</f>
        <v>1.88</v>
      </c>
      <c r="H1201" s="32"/>
      <c r="I1201" s="33"/>
      <c r="J1201" s="33"/>
      <c r="K1201" s="44"/>
    </row>
    <row r="1202" spans="1:11" s="34" customFormat="1" ht="15">
      <c r="A1202" s="30"/>
      <c r="B1202" s="43" t="s">
        <v>482</v>
      </c>
      <c r="C1202" s="45" t="s">
        <v>483</v>
      </c>
      <c r="D1202" s="46" t="s">
        <v>4</v>
      </c>
      <c r="E1202" s="44">
        <v>0.07</v>
      </c>
      <c r="F1202" s="31">
        <f>TRUNC(21,2)</f>
        <v>21</v>
      </c>
      <c r="G1202" s="32">
        <f>TRUNC(E1202*F1202,2)</f>
        <v>1.47</v>
      </c>
      <c r="H1202" s="32"/>
      <c r="I1202" s="33"/>
      <c r="J1202" s="33"/>
      <c r="K1202" s="44"/>
    </row>
    <row r="1203" spans="1:11" s="34" customFormat="1" ht="60">
      <c r="A1203" s="30"/>
      <c r="B1203" s="43" t="s">
        <v>486</v>
      </c>
      <c r="C1203" s="45" t="s">
        <v>487</v>
      </c>
      <c r="D1203" s="46" t="s">
        <v>2</v>
      </c>
      <c r="E1203" s="44">
        <v>1</v>
      </c>
      <c r="F1203" s="31">
        <f>TRUNC(2.57,2)</f>
        <v>2.57</v>
      </c>
      <c r="G1203" s="32">
        <f>TRUNC(E1203*F1203,2)</f>
        <v>2.57</v>
      </c>
      <c r="H1203" s="32"/>
      <c r="I1203" s="33"/>
      <c r="J1203" s="33"/>
      <c r="K1203" s="44"/>
    </row>
    <row r="1204" spans="1:11" s="34" customFormat="1" ht="15">
      <c r="A1204" s="30"/>
      <c r="B1204" s="43"/>
      <c r="C1204" s="45"/>
      <c r="D1204" s="46"/>
      <c r="E1204" s="44" t="s">
        <v>5</v>
      </c>
      <c r="F1204" s="31"/>
      <c r="G1204" s="32">
        <f>TRUNC(SUM(G1200:G1203),2)</f>
        <v>9.04</v>
      </c>
      <c r="H1204" s="32"/>
      <c r="I1204" s="33"/>
      <c r="J1204" s="33"/>
      <c r="K1204" s="44"/>
    </row>
    <row r="1205" spans="1:11" s="88" customFormat="1" ht="45">
      <c r="A1205" s="80" t="s">
        <v>1673</v>
      </c>
      <c r="B1205" s="81" t="s">
        <v>488</v>
      </c>
      <c r="C1205" s="82" t="s">
        <v>489</v>
      </c>
      <c r="D1205" s="83" t="s">
        <v>2</v>
      </c>
      <c r="E1205" s="84">
        <f>336+120</f>
        <v>456</v>
      </c>
      <c r="F1205" s="85">
        <f>TRUNC(G1210,2)</f>
        <v>12.88</v>
      </c>
      <c r="G1205" s="86">
        <f>TRUNC(F1205*1.2882,2)</f>
        <v>16.59</v>
      </c>
      <c r="H1205" s="86">
        <f>TRUNC(F1205*E1205,2)</f>
        <v>5873.28</v>
      </c>
      <c r="I1205" s="87">
        <f>TRUNC(E1205*G1205,2)</f>
        <v>7565.04</v>
      </c>
      <c r="J1205" s="87"/>
      <c r="K1205" s="84"/>
    </row>
    <row r="1206" spans="1:11" s="34" customFormat="1" ht="30">
      <c r="A1206" s="30"/>
      <c r="B1206" s="43" t="s">
        <v>490</v>
      </c>
      <c r="C1206" s="45" t="s">
        <v>491</v>
      </c>
      <c r="D1206" s="46" t="s">
        <v>2</v>
      </c>
      <c r="E1206" s="44">
        <v>1.1</v>
      </c>
      <c r="F1206" s="31">
        <f>TRUNC(5.47,2)</f>
        <v>5.47</v>
      </c>
      <c r="G1206" s="32">
        <f>TRUNC(E1206*F1206,2)</f>
        <v>6.01</v>
      </c>
      <c r="H1206" s="32"/>
      <c r="I1206" s="33"/>
      <c r="J1206" s="33"/>
      <c r="K1206" s="44"/>
    </row>
    <row r="1207" spans="1:11" s="34" customFormat="1" ht="15">
      <c r="A1207" s="30"/>
      <c r="B1207" s="43" t="s">
        <v>480</v>
      </c>
      <c r="C1207" s="45" t="s">
        <v>481</v>
      </c>
      <c r="D1207" s="46" t="s">
        <v>4</v>
      </c>
      <c r="E1207" s="44">
        <v>0.09</v>
      </c>
      <c r="F1207" s="31">
        <f>TRUNC(26.87,2)</f>
        <v>26.87</v>
      </c>
      <c r="G1207" s="32">
        <f>TRUNC(E1207*F1207,2)</f>
        <v>2.41</v>
      </c>
      <c r="H1207" s="32"/>
      <c r="I1207" s="33"/>
      <c r="J1207" s="33"/>
      <c r="K1207" s="44"/>
    </row>
    <row r="1208" spans="1:11" s="34" customFormat="1" ht="15">
      <c r="A1208" s="30"/>
      <c r="B1208" s="43" t="s">
        <v>482</v>
      </c>
      <c r="C1208" s="45" t="s">
        <v>483</v>
      </c>
      <c r="D1208" s="46" t="s">
        <v>4</v>
      </c>
      <c r="E1208" s="44">
        <v>0.09</v>
      </c>
      <c r="F1208" s="31">
        <f>TRUNC(21,2)</f>
        <v>21</v>
      </c>
      <c r="G1208" s="32">
        <f>TRUNC(E1208*F1208,2)</f>
        <v>1.89</v>
      </c>
      <c r="H1208" s="32"/>
      <c r="I1208" s="33"/>
      <c r="J1208" s="33"/>
      <c r="K1208" s="44"/>
    </row>
    <row r="1209" spans="1:11" s="34" customFormat="1" ht="60">
      <c r="A1209" s="30"/>
      <c r="B1209" s="43" t="s">
        <v>486</v>
      </c>
      <c r="C1209" s="45" t="s">
        <v>487</v>
      </c>
      <c r="D1209" s="46" t="s">
        <v>2</v>
      </c>
      <c r="E1209" s="44">
        <v>1</v>
      </c>
      <c r="F1209" s="31">
        <f>TRUNC(2.57,2)</f>
        <v>2.57</v>
      </c>
      <c r="G1209" s="32">
        <f>TRUNC(E1209*F1209,2)</f>
        <v>2.57</v>
      </c>
      <c r="H1209" s="32"/>
      <c r="I1209" s="33"/>
      <c r="J1209" s="33"/>
      <c r="K1209" s="44"/>
    </row>
    <row r="1210" spans="1:11" s="34" customFormat="1" ht="15">
      <c r="A1210" s="30"/>
      <c r="B1210" s="43"/>
      <c r="C1210" s="45"/>
      <c r="D1210" s="46"/>
      <c r="E1210" s="44" t="s">
        <v>5</v>
      </c>
      <c r="F1210" s="31"/>
      <c r="G1210" s="32">
        <f>TRUNC(SUM(G1206:G1209),2)</f>
        <v>12.88</v>
      </c>
      <c r="H1210" s="32"/>
      <c r="I1210" s="33"/>
      <c r="J1210" s="33"/>
      <c r="K1210" s="44"/>
    </row>
    <row r="1211" spans="1:11" s="88" customFormat="1" ht="30">
      <c r="A1211" s="80" t="s">
        <v>1674</v>
      </c>
      <c r="B1211" s="81" t="s">
        <v>1171</v>
      </c>
      <c r="C1211" s="82" t="s">
        <v>1172</v>
      </c>
      <c r="D1211" s="83" t="s">
        <v>2</v>
      </c>
      <c r="E1211" s="84">
        <v>9</v>
      </c>
      <c r="F1211" s="85">
        <f>TRUNC(G1215,2)</f>
        <v>13.93</v>
      </c>
      <c r="G1211" s="86">
        <f>TRUNC(F1211*1.2882,2)</f>
        <v>17.94</v>
      </c>
      <c r="H1211" s="86">
        <f>TRUNC(F1211*E1211,2)</f>
        <v>125.37</v>
      </c>
      <c r="I1211" s="87">
        <f>TRUNC(E1211*G1211,2)</f>
        <v>161.46</v>
      </c>
      <c r="J1211" s="87"/>
      <c r="K1211" s="84"/>
    </row>
    <row r="1212" spans="1:11" s="34" customFormat="1" ht="30">
      <c r="A1212" s="30"/>
      <c r="B1212" s="43" t="s">
        <v>1173</v>
      </c>
      <c r="C1212" s="45" t="s">
        <v>1174</v>
      </c>
      <c r="D1212" s="46" t="s">
        <v>2</v>
      </c>
      <c r="E1212" s="44">
        <v>1.017</v>
      </c>
      <c r="F1212" s="31">
        <f>TRUNC(4.86,2)</f>
        <v>4.86</v>
      </c>
      <c r="G1212" s="32">
        <f>TRUNC(E1212*F1212,2)</f>
        <v>4.94</v>
      </c>
      <c r="H1212" s="32"/>
      <c r="I1212" s="33"/>
      <c r="J1212" s="33"/>
      <c r="K1212" s="44"/>
    </row>
    <row r="1213" spans="1:11" s="34" customFormat="1" ht="15">
      <c r="A1213" s="30"/>
      <c r="B1213" s="43" t="s">
        <v>480</v>
      </c>
      <c r="C1213" s="45" t="s">
        <v>481</v>
      </c>
      <c r="D1213" s="46" t="s">
        <v>4</v>
      </c>
      <c r="E1213" s="44">
        <v>0.188</v>
      </c>
      <c r="F1213" s="31">
        <f>TRUNC(26.87,2)</f>
        <v>26.87</v>
      </c>
      <c r="G1213" s="32">
        <f>TRUNC(E1213*F1213,2)</f>
        <v>5.05</v>
      </c>
      <c r="H1213" s="32"/>
      <c r="I1213" s="33"/>
      <c r="J1213" s="33"/>
      <c r="K1213" s="44"/>
    </row>
    <row r="1214" spans="1:11" s="34" customFormat="1" ht="15">
      <c r="A1214" s="30"/>
      <c r="B1214" s="43" t="s">
        <v>482</v>
      </c>
      <c r="C1214" s="45" t="s">
        <v>483</v>
      </c>
      <c r="D1214" s="46" t="s">
        <v>4</v>
      </c>
      <c r="E1214" s="44">
        <v>0.188</v>
      </c>
      <c r="F1214" s="31">
        <f>TRUNC(21,2)</f>
        <v>21</v>
      </c>
      <c r="G1214" s="32">
        <f>TRUNC(E1214*F1214,2)</f>
        <v>3.94</v>
      </c>
      <c r="H1214" s="32"/>
      <c r="I1214" s="33"/>
      <c r="J1214" s="33"/>
      <c r="K1214" s="44"/>
    </row>
    <row r="1215" spans="1:11" s="34" customFormat="1" ht="15">
      <c r="A1215" s="30"/>
      <c r="B1215" s="43"/>
      <c r="C1215" s="45"/>
      <c r="D1215" s="46"/>
      <c r="E1215" s="44" t="s">
        <v>5</v>
      </c>
      <c r="F1215" s="31"/>
      <c r="G1215" s="32">
        <f>TRUNC(SUM(G1212:G1214),2)</f>
        <v>13.93</v>
      </c>
      <c r="H1215" s="32"/>
      <c r="I1215" s="33"/>
      <c r="J1215" s="33"/>
      <c r="K1215" s="44"/>
    </row>
    <row r="1216" spans="1:11" s="88" customFormat="1" ht="30">
      <c r="A1216" s="80" t="s">
        <v>1675</v>
      </c>
      <c r="B1216" s="81" t="s">
        <v>1175</v>
      </c>
      <c r="C1216" s="82" t="s">
        <v>1176</v>
      </c>
      <c r="D1216" s="83" t="s">
        <v>2</v>
      </c>
      <c r="E1216" s="84">
        <v>54</v>
      </c>
      <c r="F1216" s="85">
        <f>TRUNC(G1220,2)</f>
        <v>9.08</v>
      </c>
      <c r="G1216" s="86">
        <f>TRUNC(F1216*1.2882,2)</f>
        <v>11.69</v>
      </c>
      <c r="H1216" s="86">
        <f>TRUNC(F1216*E1216,2)</f>
        <v>490.32</v>
      </c>
      <c r="I1216" s="87">
        <f>TRUNC(E1216*G1216,2)</f>
        <v>631.26</v>
      </c>
      <c r="J1216" s="87"/>
      <c r="K1216" s="84"/>
    </row>
    <row r="1217" spans="1:11" s="34" customFormat="1" ht="30">
      <c r="A1217" s="30"/>
      <c r="B1217" s="43" t="s">
        <v>1177</v>
      </c>
      <c r="C1217" s="45" t="s">
        <v>1178</v>
      </c>
      <c r="D1217" s="46" t="s">
        <v>2</v>
      </c>
      <c r="E1217" s="44">
        <v>1.1</v>
      </c>
      <c r="F1217" s="31">
        <f>TRUNC(5.57,2)</f>
        <v>5.57</v>
      </c>
      <c r="G1217" s="32">
        <f>TRUNC(E1217*F1217,2)</f>
        <v>6.12</v>
      </c>
      <c r="H1217" s="32"/>
      <c r="I1217" s="33"/>
      <c r="J1217" s="33"/>
      <c r="K1217" s="44"/>
    </row>
    <row r="1218" spans="1:11" s="34" customFormat="1" ht="15">
      <c r="A1218" s="30"/>
      <c r="B1218" s="43" t="s">
        <v>480</v>
      </c>
      <c r="C1218" s="45" t="s">
        <v>481</v>
      </c>
      <c r="D1218" s="46" t="s">
        <v>4</v>
      </c>
      <c r="E1218" s="44">
        <v>0.062</v>
      </c>
      <c r="F1218" s="31">
        <f>TRUNC(26.87,2)</f>
        <v>26.87</v>
      </c>
      <c r="G1218" s="32">
        <f>TRUNC(E1218*F1218,2)</f>
        <v>1.66</v>
      </c>
      <c r="H1218" s="32"/>
      <c r="I1218" s="33"/>
      <c r="J1218" s="33"/>
      <c r="K1218" s="44"/>
    </row>
    <row r="1219" spans="1:11" s="34" customFormat="1" ht="15">
      <c r="A1219" s="30"/>
      <c r="B1219" s="43" t="s">
        <v>482</v>
      </c>
      <c r="C1219" s="45" t="s">
        <v>483</v>
      </c>
      <c r="D1219" s="46" t="s">
        <v>4</v>
      </c>
      <c r="E1219" s="44">
        <v>0.062</v>
      </c>
      <c r="F1219" s="31">
        <f>TRUNC(21,2)</f>
        <v>21</v>
      </c>
      <c r="G1219" s="32">
        <f>TRUNC(E1219*F1219,2)</f>
        <v>1.3</v>
      </c>
      <c r="H1219" s="32"/>
      <c r="I1219" s="33"/>
      <c r="J1219" s="33"/>
      <c r="K1219" s="44"/>
    </row>
    <row r="1220" spans="1:11" s="34" customFormat="1" ht="15">
      <c r="A1220" s="30"/>
      <c r="B1220" s="43"/>
      <c r="C1220" s="45"/>
      <c r="D1220" s="46"/>
      <c r="E1220" s="44" t="s">
        <v>5</v>
      </c>
      <c r="F1220" s="31"/>
      <c r="G1220" s="32">
        <f>TRUNC(SUM(G1217:G1219),2)</f>
        <v>9.08</v>
      </c>
      <c r="H1220" s="32"/>
      <c r="I1220" s="33"/>
      <c r="J1220" s="33"/>
      <c r="K1220" s="44"/>
    </row>
    <row r="1221" spans="1:11" s="88" customFormat="1" ht="30">
      <c r="A1221" s="80" t="s">
        <v>1676</v>
      </c>
      <c r="B1221" s="81" t="s">
        <v>1179</v>
      </c>
      <c r="C1221" s="82" t="s">
        <v>1180</v>
      </c>
      <c r="D1221" s="83" t="s">
        <v>2</v>
      </c>
      <c r="E1221" s="84">
        <v>18</v>
      </c>
      <c r="F1221" s="85">
        <f>TRUNC(G1225,2)</f>
        <v>13.82</v>
      </c>
      <c r="G1221" s="86">
        <f>TRUNC(F1221*1.2882,2)</f>
        <v>17.8</v>
      </c>
      <c r="H1221" s="86">
        <f>TRUNC(F1221*E1221,2)</f>
        <v>248.76</v>
      </c>
      <c r="I1221" s="87">
        <f>TRUNC(E1221*G1221,2)</f>
        <v>320.4</v>
      </c>
      <c r="J1221" s="87"/>
      <c r="K1221" s="84"/>
    </row>
    <row r="1222" spans="1:11" s="34" customFormat="1" ht="30">
      <c r="A1222" s="30"/>
      <c r="B1222" s="43" t="s">
        <v>1181</v>
      </c>
      <c r="C1222" s="45" t="s">
        <v>1182</v>
      </c>
      <c r="D1222" s="46" t="s">
        <v>2</v>
      </c>
      <c r="E1222" s="44">
        <v>1.1</v>
      </c>
      <c r="F1222" s="31">
        <f>TRUNC(8,2)</f>
        <v>8</v>
      </c>
      <c r="G1222" s="32">
        <f>TRUNC(E1222*F1222,2)</f>
        <v>8.8</v>
      </c>
      <c r="H1222" s="32"/>
      <c r="I1222" s="33"/>
      <c r="J1222" s="33"/>
      <c r="K1222" s="44"/>
    </row>
    <row r="1223" spans="1:11" s="34" customFormat="1" ht="15">
      <c r="A1223" s="30"/>
      <c r="B1223" s="43" t="s">
        <v>480</v>
      </c>
      <c r="C1223" s="45" t="s">
        <v>481</v>
      </c>
      <c r="D1223" s="46" t="s">
        <v>4</v>
      </c>
      <c r="E1223" s="44">
        <v>0.105</v>
      </c>
      <c r="F1223" s="31">
        <f>TRUNC(26.87,2)</f>
        <v>26.87</v>
      </c>
      <c r="G1223" s="32">
        <f>TRUNC(E1223*F1223,2)</f>
        <v>2.82</v>
      </c>
      <c r="H1223" s="32"/>
      <c r="I1223" s="33"/>
      <c r="J1223" s="33"/>
      <c r="K1223" s="44"/>
    </row>
    <row r="1224" spans="1:11" s="34" customFormat="1" ht="15">
      <c r="A1224" s="30"/>
      <c r="B1224" s="43" t="s">
        <v>482</v>
      </c>
      <c r="C1224" s="45" t="s">
        <v>483</v>
      </c>
      <c r="D1224" s="46" t="s">
        <v>4</v>
      </c>
      <c r="E1224" s="44">
        <v>0.105</v>
      </c>
      <c r="F1224" s="31">
        <f>TRUNC(21,2)</f>
        <v>21</v>
      </c>
      <c r="G1224" s="32">
        <f>TRUNC(E1224*F1224,2)</f>
        <v>2.2</v>
      </c>
      <c r="H1224" s="32"/>
      <c r="I1224" s="33"/>
      <c r="J1224" s="33"/>
      <c r="K1224" s="44"/>
    </row>
    <row r="1225" spans="1:11" s="34" customFormat="1" ht="15">
      <c r="A1225" s="30"/>
      <c r="B1225" s="43"/>
      <c r="C1225" s="45"/>
      <c r="D1225" s="46"/>
      <c r="E1225" s="44" t="s">
        <v>5</v>
      </c>
      <c r="F1225" s="31"/>
      <c r="G1225" s="32">
        <f>TRUNC(SUM(G1222:G1224),2)</f>
        <v>13.82</v>
      </c>
      <c r="H1225" s="32"/>
      <c r="I1225" s="33"/>
      <c r="J1225" s="33"/>
      <c r="K1225" s="44"/>
    </row>
    <row r="1226" spans="1:11" s="88" customFormat="1" ht="60">
      <c r="A1226" s="80" t="s">
        <v>1677</v>
      </c>
      <c r="B1226" s="81" t="s">
        <v>1183</v>
      </c>
      <c r="C1226" s="82" t="s">
        <v>1184</v>
      </c>
      <c r="D1226" s="83" t="s">
        <v>2</v>
      </c>
      <c r="E1226" s="84">
        <v>6</v>
      </c>
      <c r="F1226" s="85">
        <f>TRUNC(G1230,2)</f>
        <v>42.54</v>
      </c>
      <c r="G1226" s="86">
        <f>TRUNC(F1226*1.2882,2)</f>
        <v>54.8</v>
      </c>
      <c r="H1226" s="86">
        <f>TRUNC(F1226*E1226,2)</f>
        <v>255.24</v>
      </c>
      <c r="I1226" s="87">
        <f>TRUNC(E1226*G1226,2)</f>
        <v>328.8</v>
      </c>
      <c r="J1226" s="87"/>
      <c r="K1226" s="84"/>
    </row>
    <row r="1227" spans="1:11" s="34" customFormat="1" ht="30">
      <c r="A1227" s="30"/>
      <c r="B1227" s="43" t="s">
        <v>1185</v>
      </c>
      <c r="C1227" s="45" t="s">
        <v>1186</v>
      </c>
      <c r="D1227" s="46" t="s">
        <v>10</v>
      </c>
      <c r="E1227" s="44">
        <v>0.385</v>
      </c>
      <c r="F1227" s="31">
        <f>TRUNC(87.68,2)</f>
        <v>87.68</v>
      </c>
      <c r="G1227" s="32">
        <f>TRUNC(E1227*F1227,2)</f>
        <v>33.75</v>
      </c>
      <c r="H1227" s="32"/>
      <c r="I1227" s="33"/>
      <c r="J1227" s="33"/>
      <c r="K1227" s="44"/>
    </row>
    <row r="1228" spans="1:11" s="34" customFormat="1" ht="30">
      <c r="A1228" s="30"/>
      <c r="B1228" s="43" t="s">
        <v>26</v>
      </c>
      <c r="C1228" s="45" t="s">
        <v>27</v>
      </c>
      <c r="D1228" s="46" t="s">
        <v>4</v>
      </c>
      <c r="E1228" s="44">
        <v>0.2575</v>
      </c>
      <c r="F1228" s="31">
        <f>TRUNC(14.34,2)</f>
        <v>14.34</v>
      </c>
      <c r="G1228" s="32">
        <f>TRUNC(E1228*F1228,2)</f>
        <v>3.69</v>
      </c>
      <c r="H1228" s="32"/>
      <c r="I1228" s="33"/>
      <c r="J1228" s="33"/>
      <c r="K1228" s="44"/>
    </row>
    <row r="1229" spans="1:11" s="34" customFormat="1" ht="30">
      <c r="A1229" s="30"/>
      <c r="B1229" s="43" t="s">
        <v>93</v>
      </c>
      <c r="C1229" s="45" t="s">
        <v>94</v>
      </c>
      <c r="D1229" s="46" t="s">
        <v>4</v>
      </c>
      <c r="E1229" s="44">
        <v>0.2575</v>
      </c>
      <c r="F1229" s="31">
        <f>TRUNC(19.81,2)</f>
        <v>19.81</v>
      </c>
      <c r="G1229" s="32">
        <f>TRUNC(E1229*F1229,2)</f>
        <v>5.1</v>
      </c>
      <c r="H1229" s="32"/>
      <c r="I1229" s="33"/>
      <c r="J1229" s="33"/>
      <c r="K1229" s="44"/>
    </row>
    <row r="1230" spans="1:11" s="34" customFormat="1" ht="15">
      <c r="A1230" s="30"/>
      <c r="B1230" s="43"/>
      <c r="C1230" s="45"/>
      <c r="D1230" s="46"/>
      <c r="E1230" s="44" t="s">
        <v>5</v>
      </c>
      <c r="F1230" s="31"/>
      <c r="G1230" s="32">
        <f>TRUNC(SUM(G1227:G1229),2)</f>
        <v>42.54</v>
      </c>
      <c r="H1230" s="32"/>
      <c r="I1230" s="33"/>
      <c r="J1230" s="33"/>
      <c r="K1230" s="44"/>
    </row>
    <row r="1231" spans="1:11" s="88" customFormat="1" ht="30">
      <c r="A1231" s="80" t="s">
        <v>1678</v>
      </c>
      <c r="B1231" s="81" t="s">
        <v>1187</v>
      </c>
      <c r="C1231" s="82" t="s">
        <v>1188</v>
      </c>
      <c r="D1231" s="83" t="s">
        <v>10</v>
      </c>
      <c r="E1231" s="84">
        <v>6</v>
      </c>
      <c r="F1231" s="85">
        <f>TRUNC(G1236,2)</f>
        <v>11.98</v>
      </c>
      <c r="G1231" s="86">
        <f>TRUNC(F1231*1.2882,2)</f>
        <v>15.43</v>
      </c>
      <c r="H1231" s="86">
        <f>TRUNC(F1231*E1231,2)</f>
        <v>71.88</v>
      </c>
      <c r="I1231" s="87">
        <f>TRUNC(E1231*G1231,2)</f>
        <v>92.58</v>
      </c>
      <c r="J1231" s="87"/>
      <c r="K1231" s="84"/>
    </row>
    <row r="1232" spans="1:11" s="34" customFormat="1" ht="30">
      <c r="A1232" s="30"/>
      <c r="B1232" s="43" t="s">
        <v>1189</v>
      </c>
      <c r="C1232" s="45" t="s">
        <v>1190</v>
      </c>
      <c r="D1232" s="46" t="s">
        <v>10</v>
      </c>
      <c r="E1232" s="44">
        <v>1</v>
      </c>
      <c r="F1232" s="31">
        <f>TRUNC(3.39,2)</f>
        <v>3.39</v>
      </c>
      <c r="G1232" s="32">
        <f>TRUNC(E1232*F1232,2)</f>
        <v>3.39</v>
      </c>
      <c r="H1232" s="32"/>
      <c r="I1232" s="33"/>
      <c r="J1232" s="33"/>
      <c r="K1232" s="44"/>
    </row>
    <row r="1233" spans="1:11" s="34" customFormat="1" ht="15">
      <c r="A1233" s="30"/>
      <c r="B1233" s="43" t="s">
        <v>480</v>
      </c>
      <c r="C1233" s="45" t="s">
        <v>481</v>
      </c>
      <c r="D1233" s="46" t="s">
        <v>4</v>
      </c>
      <c r="E1233" s="44">
        <v>0.166</v>
      </c>
      <c r="F1233" s="31">
        <f>TRUNC(26.87,2)</f>
        <v>26.87</v>
      </c>
      <c r="G1233" s="32">
        <f>TRUNC(E1233*F1233,2)</f>
        <v>4.46</v>
      </c>
      <c r="H1233" s="32"/>
      <c r="I1233" s="33"/>
      <c r="J1233" s="33"/>
      <c r="K1233" s="44"/>
    </row>
    <row r="1234" spans="1:11" s="34" customFormat="1" ht="15">
      <c r="A1234" s="30"/>
      <c r="B1234" s="43" t="s">
        <v>482</v>
      </c>
      <c r="C1234" s="45" t="s">
        <v>483</v>
      </c>
      <c r="D1234" s="46" t="s">
        <v>4</v>
      </c>
      <c r="E1234" s="44">
        <v>0.166</v>
      </c>
      <c r="F1234" s="31">
        <f>TRUNC(21,2)</f>
        <v>21</v>
      </c>
      <c r="G1234" s="32">
        <f>TRUNC(E1234*F1234,2)</f>
        <v>3.48</v>
      </c>
      <c r="H1234" s="32"/>
      <c r="I1234" s="33"/>
      <c r="J1234" s="33"/>
      <c r="K1234" s="44"/>
    </row>
    <row r="1235" spans="1:11" s="34" customFormat="1" ht="30">
      <c r="A1235" s="30"/>
      <c r="B1235" s="43" t="s">
        <v>1191</v>
      </c>
      <c r="C1235" s="45" t="s">
        <v>1192</v>
      </c>
      <c r="D1235" s="46" t="s">
        <v>1</v>
      </c>
      <c r="E1235" s="44">
        <v>0.0012</v>
      </c>
      <c r="F1235" s="31">
        <f>TRUNC(543.24,2)</f>
        <v>543.24</v>
      </c>
      <c r="G1235" s="32">
        <f>TRUNC(E1235*F1235,2)</f>
        <v>0.65</v>
      </c>
      <c r="H1235" s="32"/>
      <c r="I1235" s="33"/>
      <c r="J1235" s="33"/>
      <c r="K1235" s="44"/>
    </row>
    <row r="1236" spans="1:11" s="34" customFormat="1" ht="15">
      <c r="A1236" s="30"/>
      <c r="B1236" s="43"/>
      <c r="C1236" s="45"/>
      <c r="D1236" s="46"/>
      <c r="E1236" s="44" t="s">
        <v>5</v>
      </c>
      <c r="F1236" s="31"/>
      <c r="G1236" s="32">
        <f>TRUNC(SUM(G1232:G1235),2)</f>
        <v>11.98</v>
      </c>
      <c r="H1236" s="32"/>
      <c r="I1236" s="33"/>
      <c r="J1236" s="33"/>
      <c r="K1236" s="44"/>
    </row>
    <row r="1237" spans="1:11" s="88" customFormat="1" ht="30">
      <c r="A1237" s="80" t="s">
        <v>1679</v>
      </c>
      <c r="B1237" s="81" t="s">
        <v>1193</v>
      </c>
      <c r="C1237" s="82" t="s">
        <v>1194</v>
      </c>
      <c r="D1237" s="83" t="s">
        <v>2</v>
      </c>
      <c r="E1237" s="84">
        <v>2820</v>
      </c>
      <c r="F1237" s="85">
        <f>TRUNC(G1242,2)</f>
        <v>4.13</v>
      </c>
      <c r="G1237" s="86">
        <f>TRUNC(F1237*1.2882,2)</f>
        <v>5.32</v>
      </c>
      <c r="H1237" s="86">
        <f>TRUNC(F1237*E1237,2)</f>
        <v>11646.6</v>
      </c>
      <c r="I1237" s="87">
        <f>TRUNC(E1237*G1237,2)</f>
        <v>15002.4</v>
      </c>
      <c r="J1237" s="87"/>
      <c r="K1237" s="84"/>
    </row>
    <row r="1238" spans="1:11" s="34" customFormat="1" ht="15">
      <c r="A1238" s="30"/>
      <c r="B1238" s="43" t="s">
        <v>492</v>
      </c>
      <c r="C1238" s="45" t="s">
        <v>493</v>
      </c>
      <c r="D1238" s="46" t="s">
        <v>10</v>
      </c>
      <c r="E1238" s="44">
        <v>0.009</v>
      </c>
      <c r="F1238" s="31">
        <f>TRUNC(7.37,2)</f>
        <v>7.37</v>
      </c>
      <c r="G1238" s="32">
        <f>TRUNC(E1238*F1238,2)</f>
        <v>0.06</v>
      </c>
      <c r="H1238" s="32"/>
      <c r="I1238" s="33"/>
      <c r="J1238" s="33"/>
      <c r="K1238" s="44"/>
    </row>
    <row r="1239" spans="1:11" s="34" customFormat="1" ht="30">
      <c r="A1239" s="30"/>
      <c r="B1239" s="43" t="s">
        <v>1195</v>
      </c>
      <c r="C1239" s="45" t="s">
        <v>1196</v>
      </c>
      <c r="D1239" s="46" t="s">
        <v>2</v>
      </c>
      <c r="E1239" s="44">
        <v>1.19</v>
      </c>
      <c r="F1239" s="31">
        <f>TRUNC(2.22,2)</f>
        <v>2.22</v>
      </c>
      <c r="G1239" s="32">
        <f>TRUNC(E1239*F1239,2)</f>
        <v>2.64</v>
      </c>
      <c r="H1239" s="32"/>
      <c r="I1239" s="33"/>
      <c r="J1239" s="33"/>
      <c r="K1239" s="44"/>
    </row>
    <row r="1240" spans="1:11" s="34" customFormat="1" ht="15">
      <c r="A1240" s="30"/>
      <c r="B1240" s="43" t="s">
        <v>480</v>
      </c>
      <c r="C1240" s="45" t="s">
        <v>481</v>
      </c>
      <c r="D1240" s="46" t="s">
        <v>4</v>
      </c>
      <c r="E1240" s="44">
        <v>0.03</v>
      </c>
      <c r="F1240" s="31">
        <f>TRUNC(26.87,2)</f>
        <v>26.87</v>
      </c>
      <c r="G1240" s="32">
        <f>TRUNC(E1240*F1240,2)</f>
        <v>0.8</v>
      </c>
      <c r="H1240" s="32"/>
      <c r="I1240" s="33"/>
      <c r="J1240" s="33"/>
      <c r="K1240" s="44"/>
    </row>
    <row r="1241" spans="1:11" s="34" customFormat="1" ht="15">
      <c r="A1241" s="30"/>
      <c r="B1241" s="43" t="s">
        <v>482</v>
      </c>
      <c r="C1241" s="45" t="s">
        <v>483</v>
      </c>
      <c r="D1241" s="46" t="s">
        <v>4</v>
      </c>
      <c r="E1241" s="44">
        <v>0.03</v>
      </c>
      <c r="F1241" s="31">
        <f>TRUNC(21,2)</f>
        <v>21</v>
      </c>
      <c r="G1241" s="32">
        <f>TRUNC(E1241*F1241,2)</f>
        <v>0.63</v>
      </c>
      <c r="H1241" s="32"/>
      <c r="I1241" s="33"/>
      <c r="J1241" s="33"/>
      <c r="K1241" s="44"/>
    </row>
    <row r="1242" spans="1:11" s="34" customFormat="1" ht="15">
      <c r="A1242" s="30"/>
      <c r="B1242" s="43"/>
      <c r="C1242" s="45"/>
      <c r="D1242" s="46"/>
      <c r="E1242" s="44" t="s">
        <v>5</v>
      </c>
      <c r="F1242" s="31"/>
      <c r="G1242" s="32">
        <f>TRUNC(SUM(G1238:G1241),2)</f>
        <v>4.13</v>
      </c>
      <c r="H1242" s="32"/>
      <c r="I1242" s="33"/>
      <c r="J1242" s="33"/>
      <c r="K1242" s="44"/>
    </row>
    <row r="1243" spans="1:11" s="88" customFormat="1" ht="34.5" customHeight="1">
      <c r="A1243" s="80" t="s">
        <v>1680</v>
      </c>
      <c r="B1243" s="81" t="s">
        <v>494</v>
      </c>
      <c r="C1243" s="82" t="s">
        <v>495</v>
      </c>
      <c r="D1243" s="83" t="s">
        <v>2</v>
      </c>
      <c r="E1243" s="84">
        <v>400</v>
      </c>
      <c r="F1243" s="85">
        <f>TRUNC(G1248,2)</f>
        <v>6.69</v>
      </c>
      <c r="G1243" s="86">
        <f>TRUNC(F1243*1.2882,2)</f>
        <v>8.61</v>
      </c>
      <c r="H1243" s="86">
        <f>TRUNC(F1243*E1243,2)</f>
        <v>2676</v>
      </c>
      <c r="I1243" s="87">
        <f>TRUNC(E1243*G1243,2)</f>
        <v>3444</v>
      </c>
      <c r="J1243" s="87"/>
      <c r="K1243" s="84"/>
    </row>
    <row r="1244" spans="1:11" s="34" customFormat="1" ht="15">
      <c r="A1244" s="30"/>
      <c r="B1244" s="43" t="s">
        <v>492</v>
      </c>
      <c r="C1244" s="45" t="s">
        <v>493</v>
      </c>
      <c r="D1244" s="46" t="s">
        <v>10</v>
      </c>
      <c r="E1244" s="44">
        <v>0.009</v>
      </c>
      <c r="F1244" s="31">
        <f>TRUNC(7.37,2)</f>
        <v>7.37</v>
      </c>
      <c r="G1244" s="32">
        <f>TRUNC(E1244*F1244,2)</f>
        <v>0.06</v>
      </c>
      <c r="H1244" s="32"/>
      <c r="I1244" s="33"/>
      <c r="J1244" s="33"/>
      <c r="K1244" s="44"/>
    </row>
    <row r="1245" spans="1:11" s="34" customFormat="1" ht="30">
      <c r="A1245" s="30"/>
      <c r="B1245" s="43" t="s">
        <v>496</v>
      </c>
      <c r="C1245" s="45" t="s">
        <v>497</v>
      </c>
      <c r="D1245" s="46" t="s">
        <v>2</v>
      </c>
      <c r="E1245" s="44">
        <v>1.19</v>
      </c>
      <c r="F1245" s="31">
        <f>TRUNC(3.97,2)</f>
        <v>3.97</v>
      </c>
      <c r="G1245" s="32">
        <f>TRUNC(E1245*F1245,2)</f>
        <v>4.72</v>
      </c>
      <c r="H1245" s="32"/>
      <c r="I1245" s="33"/>
      <c r="J1245" s="33"/>
      <c r="K1245" s="44"/>
    </row>
    <row r="1246" spans="1:11" s="34" customFormat="1" ht="15">
      <c r="A1246" s="30"/>
      <c r="B1246" s="43" t="s">
        <v>480</v>
      </c>
      <c r="C1246" s="45" t="s">
        <v>481</v>
      </c>
      <c r="D1246" s="46" t="s">
        <v>4</v>
      </c>
      <c r="E1246" s="44">
        <v>0.04</v>
      </c>
      <c r="F1246" s="31">
        <f>TRUNC(26.87,2)</f>
        <v>26.87</v>
      </c>
      <c r="G1246" s="32">
        <f>TRUNC(E1246*F1246,2)</f>
        <v>1.07</v>
      </c>
      <c r="H1246" s="32"/>
      <c r="I1246" s="33"/>
      <c r="J1246" s="33"/>
      <c r="K1246" s="44"/>
    </row>
    <row r="1247" spans="1:11" s="34" customFormat="1" ht="15">
      <c r="A1247" s="30"/>
      <c r="B1247" s="43" t="s">
        <v>482</v>
      </c>
      <c r="C1247" s="45" t="s">
        <v>483</v>
      </c>
      <c r="D1247" s="46" t="s">
        <v>4</v>
      </c>
      <c r="E1247" s="44">
        <v>0.04</v>
      </c>
      <c r="F1247" s="31">
        <f>TRUNC(21,2)</f>
        <v>21</v>
      </c>
      <c r="G1247" s="32">
        <f>TRUNC(E1247*F1247,2)</f>
        <v>0.84</v>
      </c>
      <c r="H1247" s="32"/>
      <c r="I1247" s="33"/>
      <c r="J1247" s="33"/>
      <c r="K1247" s="44"/>
    </row>
    <row r="1248" spans="1:11" s="34" customFormat="1" ht="15">
      <c r="A1248" s="30"/>
      <c r="B1248" s="43"/>
      <c r="C1248" s="45"/>
      <c r="D1248" s="46"/>
      <c r="E1248" s="44" t="s">
        <v>5</v>
      </c>
      <c r="F1248" s="31"/>
      <c r="G1248" s="32">
        <f>TRUNC(SUM(G1244:G1247),2)</f>
        <v>6.69</v>
      </c>
      <c r="H1248" s="32"/>
      <c r="I1248" s="33"/>
      <c r="J1248" s="33"/>
      <c r="K1248" s="44"/>
    </row>
    <row r="1249" spans="1:11" s="88" customFormat="1" ht="34.5" customHeight="1">
      <c r="A1249" s="80" t="s">
        <v>1681</v>
      </c>
      <c r="B1249" s="81" t="s">
        <v>498</v>
      </c>
      <c r="C1249" s="82" t="s">
        <v>499</v>
      </c>
      <c r="D1249" s="83" t="s">
        <v>2</v>
      </c>
      <c r="E1249" s="84">
        <v>390</v>
      </c>
      <c r="F1249" s="85">
        <f>TRUNC(G1254,2)</f>
        <v>9.14</v>
      </c>
      <c r="G1249" s="86">
        <f>TRUNC(F1249*1.2882,2)</f>
        <v>11.77</v>
      </c>
      <c r="H1249" s="86">
        <f>TRUNC(F1249*E1249,2)</f>
        <v>3564.6</v>
      </c>
      <c r="I1249" s="87">
        <f>TRUNC(E1249*G1249,2)</f>
        <v>4590.3</v>
      </c>
      <c r="J1249" s="87"/>
      <c r="K1249" s="84"/>
    </row>
    <row r="1250" spans="1:11" s="34" customFormat="1" ht="15">
      <c r="A1250" s="30"/>
      <c r="B1250" s="43" t="s">
        <v>492</v>
      </c>
      <c r="C1250" s="45" t="s">
        <v>493</v>
      </c>
      <c r="D1250" s="46" t="s">
        <v>10</v>
      </c>
      <c r="E1250" s="44">
        <v>0.009</v>
      </c>
      <c r="F1250" s="31">
        <f>TRUNC(7.37,2)</f>
        <v>7.37</v>
      </c>
      <c r="G1250" s="32">
        <f>TRUNC(E1250*F1250,2)</f>
        <v>0.06</v>
      </c>
      <c r="H1250" s="32"/>
      <c r="I1250" s="33"/>
      <c r="J1250" s="33"/>
      <c r="K1250" s="44"/>
    </row>
    <row r="1251" spans="1:11" s="34" customFormat="1" ht="30">
      <c r="A1251" s="30"/>
      <c r="B1251" s="43" t="s">
        <v>500</v>
      </c>
      <c r="C1251" s="45" t="s">
        <v>501</v>
      </c>
      <c r="D1251" s="46" t="s">
        <v>2</v>
      </c>
      <c r="E1251" s="44">
        <v>1.19</v>
      </c>
      <c r="F1251" s="31">
        <f>TRUNC(5.55,2)</f>
        <v>5.55</v>
      </c>
      <c r="G1251" s="32">
        <f>TRUNC(E1251*F1251,2)</f>
        <v>6.6</v>
      </c>
      <c r="H1251" s="32"/>
      <c r="I1251" s="33"/>
      <c r="J1251" s="33"/>
      <c r="K1251" s="44"/>
    </row>
    <row r="1252" spans="1:11" s="34" customFormat="1" ht="15">
      <c r="A1252" s="30"/>
      <c r="B1252" s="43" t="s">
        <v>480</v>
      </c>
      <c r="C1252" s="45" t="s">
        <v>481</v>
      </c>
      <c r="D1252" s="46" t="s">
        <v>4</v>
      </c>
      <c r="E1252" s="44">
        <v>0.052</v>
      </c>
      <c r="F1252" s="31">
        <f>TRUNC(26.87,2)</f>
        <v>26.87</v>
      </c>
      <c r="G1252" s="32">
        <f>TRUNC(E1252*F1252,2)</f>
        <v>1.39</v>
      </c>
      <c r="H1252" s="32"/>
      <c r="I1252" s="33"/>
      <c r="J1252" s="33"/>
      <c r="K1252" s="44"/>
    </row>
    <row r="1253" spans="1:11" s="34" customFormat="1" ht="15">
      <c r="A1253" s="30"/>
      <c r="B1253" s="43" t="s">
        <v>482</v>
      </c>
      <c r="C1253" s="45" t="s">
        <v>483</v>
      </c>
      <c r="D1253" s="46" t="s">
        <v>4</v>
      </c>
      <c r="E1253" s="44">
        <v>0.052</v>
      </c>
      <c r="F1253" s="31">
        <f>TRUNC(21,2)</f>
        <v>21</v>
      </c>
      <c r="G1253" s="32">
        <f>TRUNC(E1253*F1253,2)</f>
        <v>1.09</v>
      </c>
      <c r="H1253" s="32"/>
      <c r="I1253" s="33"/>
      <c r="J1253" s="33"/>
      <c r="K1253" s="44"/>
    </row>
    <row r="1254" spans="1:11" s="34" customFormat="1" ht="15">
      <c r="A1254" s="30"/>
      <c r="B1254" s="43"/>
      <c r="C1254" s="45"/>
      <c r="D1254" s="46"/>
      <c r="E1254" s="44" t="s">
        <v>5</v>
      </c>
      <c r="F1254" s="31"/>
      <c r="G1254" s="32">
        <f>TRUNC(SUM(G1250:G1253),2)</f>
        <v>9.14</v>
      </c>
      <c r="H1254" s="32"/>
      <c r="I1254" s="33"/>
      <c r="J1254" s="33"/>
      <c r="K1254" s="44"/>
    </row>
    <row r="1255" spans="1:11" s="88" customFormat="1" ht="34.5" customHeight="1">
      <c r="A1255" s="80" t="s">
        <v>1682</v>
      </c>
      <c r="B1255" s="81" t="s">
        <v>502</v>
      </c>
      <c r="C1255" s="82" t="s">
        <v>503</v>
      </c>
      <c r="D1255" s="83" t="s">
        <v>2</v>
      </c>
      <c r="E1255" s="84">
        <v>170</v>
      </c>
      <c r="F1255" s="85">
        <f>TRUNC(G1260,2)</f>
        <v>15.02</v>
      </c>
      <c r="G1255" s="86">
        <f>TRUNC(F1255*1.2882,2)</f>
        <v>19.34</v>
      </c>
      <c r="H1255" s="86">
        <f>TRUNC(F1255*E1255,2)</f>
        <v>2553.4</v>
      </c>
      <c r="I1255" s="87">
        <f>TRUNC(E1255*G1255,2)</f>
        <v>3287.8</v>
      </c>
      <c r="J1255" s="87"/>
      <c r="K1255" s="84"/>
    </row>
    <row r="1256" spans="1:11" s="34" customFormat="1" ht="15">
      <c r="A1256" s="30"/>
      <c r="B1256" s="43" t="s">
        <v>492</v>
      </c>
      <c r="C1256" s="45" t="s">
        <v>493</v>
      </c>
      <c r="D1256" s="46" t="s">
        <v>10</v>
      </c>
      <c r="E1256" s="44">
        <v>0.009</v>
      </c>
      <c r="F1256" s="31">
        <f>TRUNC(7.37,2)</f>
        <v>7.37</v>
      </c>
      <c r="G1256" s="32">
        <f>TRUNC(E1256*F1256,2)</f>
        <v>0.06</v>
      </c>
      <c r="H1256" s="32"/>
      <c r="I1256" s="33"/>
      <c r="J1256" s="33"/>
      <c r="K1256" s="44"/>
    </row>
    <row r="1257" spans="1:11" s="34" customFormat="1" ht="30">
      <c r="A1257" s="30"/>
      <c r="B1257" s="43" t="s">
        <v>504</v>
      </c>
      <c r="C1257" s="45" t="s">
        <v>505</v>
      </c>
      <c r="D1257" s="46" t="s">
        <v>2</v>
      </c>
      <c r="E1257" s="44">
        <v>1.19</v>
      </c>
      <c r="F1257" s="31">
        <f>TRUNC(9.49,2)</f>
        <v>9.49</v>
      </c>
      <c r="G1257" s="32">
        <f>TRUNC(E1257*F1257,2)</f>
        <v>11.29</v>
      </c>
      <c r="H1257" s="32"/>
      <c r="I1257" s="33"/>
      <c r="J1257" s="33"/>
      <c r="K1257" s="44"/>
    </row>
    <row r="1258" spans="1:11" s="34" customFormat="1" ht="15">
      <c r="A1258" s="30"/>
      <c r="B1258" s="43" t="s">
        <v>480</v>
      </c>
      <c r="C1258" s="45" t="s">
        <v>481</v>
      </c>
      <c r="D1258" s="46" t="s">
        <v>4</v>
      </c>
      <c r="E1258" s="44">
        <v>0.077</v>
      </c>
      <c r="F1258" s="31">
        <f>TRUNC(26.87,2)</f>
        <v>26.87</v>
      </c>
      <c r="G1258" s="32">
        <f>TRUNC(E1258*F1258,2)</f>
        <v>2.06</v>
      </c>
      <c r="H1258" s="32"/>
      <c r="I1258" s="33"/>
      <c r="J1258" s="33"/>
      <c r="K1258" s="44"/>
    </row>
    <row r="1259" spans="1:11" s="34" customFormat="1" ht="15">
      <c r="A1259" s="30"/>
      <c r="B1259" s="43" t="s">
        <v>482</v>
      </c>
      <c r="C1259" s="45" t="s">
        <v>483</v>
      </c>
      <c r="D1259" s="46" t="s">
        <v>4</v>
      </c>
      <c r="E1259" s="44">
        <v>0.077</v>
      </c>
      <c r="F1259" s="31">
        <f>TRUNC(21,2)</f>
        <v>21</v>
      </c>
      <c r="G1259" s="32">
        <f>TRUNC(E1259*F1259,2)</f>
        <v>1.61</v>
      </c>
      <c r="H1259" s="32"/>
      <c r="I1259" s="33"/>
      <c r="J1259" s="33"/>
      <c r="K1259" s="44"/>
    </row>
    <row r="1260" spans="1:11" s="34" customFormat="1" ht="15">
      <c r="A1260" s="30"/>
      <c r="B1260" s="43"/>
      <c r="C1260" s="45"/>
      <c r="D1260" s="46"/>
      <c r="E1260" s="44" t="s">
        <v>5</v>
      </c>
      <c r="F1260" s="31"/>
      <c r="G1260" s="32">
        <f>TRUNC(SUM(G1256:G1259),2)</f>
        <v>15.02</v>
      </c>
      <c r="H1260" s="32"/>
      <c r="I1260" s="33"/>
      <c r="J1260" s="33"/>
      <c r="K1260" s="44"/>
    </row>
    <row r="1261" spans="1:11" s="88" customFormat="1" ht="34.5" customHeight="1">
      <c r="A1261" s="80" t="s">
        <v>1683</v>
      </c>
      <c r="B1261" s="81" t="s">
        <v>506</v>
      </c>
      <c r="C1261" s="82" t="s">
        <v>507</v>
      </c>
      <c r="D1261" s="83" t="s">
        <v>2</v>
      </c>
      <c r="E1261" s="84">
        <v>200</v>
      </c>
      <c r="F1261" s="85">
        <f>TRUNC(G1266,2)</f>
        <v>37.35</v>
      </c>
      <c r="G1261" s="86">
        <f>TRUNC(F1261*1.2882,2)</f>
        <v>48.11</v>
      </c>
      <c r="H1261" s="86">
        <f>TRUNC(F1261*E1261,2)</f>
        <v>7470</v>
      </c>
      <c r="I1261" s="87">
        <f>TRUNC(E1261*G1261,2)</f>
        <v>9622</v>
      </c>
      <c r="J1261" s="87"/>
      <c r="K1261" s="84"/>
    </row>
    <row r="1262" spans="1:11" s="34" customFormat="1" ht="15">
      <c r="A1262" s="30"/>
      <c r="B1262" s="43" t="s">
        <v>492</v>
      </c>
      <c r="C1262" s="45" t="s">
        <v>493</v>
      </c>
      <c r="D1262" s="46" t="s">
        <v>10</v>
      </c>
      <c r="E1262" s="44">
        <v>0.009</v>
      </c>
      <c r="F1262" s="31">
        <f>TRUNC(7.37,2)</f>
        <v>7.37</v>
      </c>
      <c r="G1262" s="32">
        <f>TRUNC(E1262*F1262,2)</f>
        <v>0.06</v>
      </c>
      <c r="H1262" s="32"/>
      <c r="I1262" s="33"/>
      <c r="J1262" s="33"/>
      <c r="K1262" s="44"/>
    </row>
    <row r="1263" spans="1:11" s="34" customFormat="1" ht="45">
      <c r="A1263" s="30"/>
      <c r="B1263" s="43" t="s">
        <v>508</v>
      </c>
      <c r="C1263" s="45" t="s">
        <v>509</v>
      </c>
      <c r="D1263" s="46" t="s">
        <v>2</v>
      </c>
      <c r="E1263" s="44">
        <v>1.015</v>
      </c>
      <c r="F1263" s="31">
        <f>TRUNC(33.31,2)</f>
        <v>33.31</v>
      </c>
      <c r="G1263" s="32">
        <f>TRUNC(E1263*F1263,2)</f>
        <v>33.8</v>
      </c>
      <c r="H1263" s="32"/>
      <c r="I1263" s="33"/>
      <c r="J1263" s="33"/>
      <c r="K1263" s="44"/>
    </row>
    <row r="1264" spans="1:11" s="34" customFormat="1" ht="15">
      <c r="A1264" s="30"/>
      <c r="B1264" s="43" t="s">
        <v>480</v>
      </c>
      <c r="C1264" s="45" t="s">
        <v>481</v>
      </c>
      <c r="D1264" s="46" t="s">
        <v>4</v>
      </c>
      <c r="E1264" s="44">
        <v>0.073</v>
      </c>
      <c r="F1264" s="31">
        <f>TRUNC(26.87,2)</f>
        <v>26.87</v>
      </c>
      <c r="G1264" s="32">
        <f>TRUNC(E1264*F1264,2)</f>
        <v>1.96</v>
      </c>
      <c r="H1264" s="32"/>
      <c r="I1264" s="33"/>
      <c r="J1264" s="33"/>
      <c r="K1264" s="44"/>
    </row>
    <row r="1265" spans="1:11" s="34" customFormat="1" ht="15">
      <c r="A1265" s="30"/>
      <c r="B1265" s="43" t="s">
        <v>482</v>
      </c>
      <c r="C1265" s="45" t="s">
        <v>483</v>
      </c>
      <c r="D1265" s="46" t="s">
        <v>4</v>
      </c>
      <c r="E1265" s="44">
        <v>0.073</v>
      </c>
      <c r="F1265" s="31">
        <f>TRUNC(21,2)</f>
        <v>21</v>
      </c>
      <c r="G1265" s="32">
        <f>TRUNC(E1265*F1265,2)</f>
        <v>1.53</v>
      </c>
      <c r="H1265" s="32"/>
      <c r="I1265" s="33"/>
      <c r="J1265" s="33"/>
      <c r="K1265" s="44"/>
    </row>
    <row r="1266" spans="1:11" s="34" customFormat="1" ht="15">
      <c r="A1266" s="30"/>
      <c r="B1266" s="43"/>
      <c r="C1266" s="45"/>
      <c r="D1266" s="46"/>
      <c r="E1266" s="44" t="s">
        <v>5</v>
      </c>
      <c r="F1266" s="31"/>
      <c r="G1266" s="32">
        <f>TRUNC(SUM(G1262:G1265),2)</f>
        <v>37.35</v>
      </c>
      <c r="H1266" s="32"/>
      <c r="I1266" s="33"/>
      <c r="J1266" s="33"/>
      <c r="K1266" s="44"/>
    </row>
    <row r="1267" spans="1:11" s="88" customFormat="1" ht="34.5" customHeight="1">
      <c r="A1267" s="80" t="s">
        <v>1684</v>
      </c>
      <c r="B1267" s="81" t="s">
        <v>1468</v>
      </c>
      <c r="C1267" s="82" t="s">
        <v>1469</v>
      </c>
      <c r="D1267" s="83" t="s">
        <v>10</v>
      </c>
      <c r="E1267" s="84">
        <v>12</v>
      </c>
      <c r="F1267" s="85">
        <f>TRUNC(G1270,2)</f>
        <v>48.44</v>
      </c>
      <c r="G1267" s="86">
        <f>TRUNC(F1267*1.2882,2)</f>
        <v>62.4</v>
      </c>
      <c r="H1267" s="86">
        <f>TRUNC(F1267*E1267,2)</f>
        <v>581.28</v>
      </c>
      <c r="I1267" s="87">
        <f>TRUNC(E1267*G1267,2)</f>
        <v>748.8</v>
      </c>
      <c r="J1267" s="87"/>
      <c r="K1267" s="84"/>
    </row>
    <row r="1268" spans="1:11" s="34" customFormat="1" ht="30">
      <c r="A1268" s="30"/>
      <c r="B1268" s="43" t="s">
        <v>1470</v>
      </c>
      <c r="C1268" s="45" t="s">
        <v>1471</v>
      </c>
      <c r="D1268" s="46" t="s">
        <v>10</v>
      </c>
      <c r="E1268" s="44">
        <v>1</v>
      </c>
      <c r="F1268" s="31">
        <f>TRUNC(41.02,2)</f>
        <v>41.02</v>
      </c>
      <c r="G1268" s="32">
        <f>TRUNC(E1268*F1268,2)</f>
        <v>41.02</v>
      </c>
      <c r="H1268" s="32"/>
      <c r="I1268" s="33"/>
      <c r="J1268" s="33"/>
      <c r="K1268" s="44"/>
    </row>
    <row r="1269" spans="1:11" s="34" customFormat="1" ht="30">
      <c r="A1269" s="30"/>
      <c r="B1269" s="43" t="s">
        <v>514</v>
      </c>
      <c r="C1269" s="45" t="s">
        <v>515</v>
      </c>
      <c r="D1269" s="46" t="s">
        <v>10</v>
      </c>
      <c r="E1269" s="44">
        <v>1</v>
      </c>
      <c r="F1269" s="31">
        <f>TRUNC(7.42,2)</f>
        <v>7.42</v>
      </c>
      <c r="G1269" s="32">
        <f>TRUNC(E1269*F1269,2)</f>
        <v>7.42</v>
      </c>
      <c r="H1269" s="32"/>
      <c r="I1269" s="33"/>
      <c r="J1269" s="33"/>
      <c r="K1269" s="44"/>
    </row>
    <row r="1270" spans="1:11" s="34" customFormat="1" ht="15">
      <c r="A1270" s="30"/>
      <c r="B1270" s="43"/>
      <c r="C1270" s="45"/>
      <c r="D1270" s="46"/>
      <c r="E1270" s="44" t="s">
        <v>5</v>
      </c>
      <c r="F1270" s="31"/>
      <c r="G1270" s="32">
        <f>TRUNC(SUM(G1268:G1269),2)</f>
        <v>48.44</v>
      </c>
      <c r="H1270" s="32"/>
      <c r="I1270" s="33"/>
      <c r="J1270" s="33"/>
      <c r="K1270" s="44"/>
    </row>
    <row r="1271" spans="1:11" s="88" customFormat="1" ht="34.5" customHeight="1">
      <c r="A1271" s="80" t="s">
        <v>1685</v>
      </c>
      <c r="B1271" s="81" t="s">
        <v>1197</v>
      </c>
      <c r="C1271" s="82" t="s">
        <v>1198</v>
      </c>
      <c r="D1271" s="83" t="s">
        <v>10</v>
      </c>
      <c r="E1271" s="84">
        <v>69</v>
      </c>
      <c r="F1271" s="85">
        <f>TRUNC(G1274,2)</f>
        <v>31.4</v>
      </c>
      <c r="G1271" s="86">
        <f>TRUNC(F1271*1.2882,2)</f>
        <v>40.44</v>
      </c>
      <c r="H1271" s="86">
        <f>TRUNC(F1271*E1271,2)</f>
        <v>2166.6</v>
      </c>
      <c r="I1271" s="87">
        <f>TRUNC(E1271*G1271,2)</f>
        <v>2790.36</v>
      </c>
      <c r="J1271" s="87"/>
      <c r="K1271" s="84"/>
    </row>
    <row r="1272" spans="1:11" s="34" customFormat="1" ht="30">
      <c r="A1272" s="30"/>
      <c r="B1272" s="43" t="s">
        <v>1199</v>
      </c>
      <c r="C1272" s="45" t="s">
        <v>1200</v>
      </c>
      <c r="D1272" s="46" t="s">
        <v>10</v>
      </c>
      <c r="E1272" s="44">
        <v>1</v>
      </c>
      <c r="F1272" s="31">
        <f>TRUNC(23.98,2)</f>
        <v>23.98</v>
      </c>
      <c r="G1272" s="32">
        <f>TRUNC(E1272*F1272,2)</f>
        <v>23.98</v>
      </c>
      <c r="H1272" s="32"/>
      <c r="I1272" s="33"/>
      <c r="J1272" s="33"/>
      <c r="K1272" s="44"/>
    </row>
    <row r="1273" spans="1:11" s="34" customFormat="1" ht="30">
      <c r="A1273" s="30"/>
      <c r="B1273" s="43" t="s">
        <v>514</v>
      </c>
      <c r="C1273" s="45" t="s">
        <v>515</v>
      </c>
      <c r="D1273" s="46" t="s">
        <v>10</v>
      </c>
      <c r="E1273" s="44">
        <v>1</v>
      </c>
      <c r="F1273" s="31">
        <f>TRUNC(7.42,2)</f>
        <v>7.42</v>
      </c>
      <c r="G1273" s="32">
        <f>TRUNC(E1273*F1273,2)</f>
        <v>7.42</v>
      </c>
      <c r="H1273" s="32"/>
      <c r="I1273" s="33"/>
      <c r="J1273" s="33"/>
      <c r="K1273" s="44"/>
    </row>
    <row r="1274" spans="1:11" s="34" customFormat="1" ht="15">
      <c r="A1274" s="30"/>
      <c r="B1274" s="43"/>
      <c r="C1274" s="45"/>
      <c r="D1274" s="46"/>
      <c r="E1274" s="44" t="s">
        <v>5</v>
      </c>
      <c r="F1274" s="31"/>
      <c r="G1274" s="32">
        <f>TRUNC(SUM(G1272:G1273),2)</f>
        <v>31.4</v>
      </c>
      <c r="H1274" s="32"/>
      <c r="I1274" s="33"/>
      <c r="J1274" s="33"/>
      <c r="K1274" s="44"/>
    </row>
    <row r="1275" spans="1:11" s="88" customFormat="1" ht="34.5" customHeight="1">
      <c r="A1275" s="80" t="s">
        <v>1686</v>
      </c>
      <c r="B1275" s="81" t="s">
        <v>1472</v>
      </c>
      <c r="C1275" s="82" t="s">
        <v>1473</v>
      </c>
      <c r="D1275" s="83" t="s">
        <v>10</v>
      </c>
      <c r="E1275" s="84">
        <v>6</v>
      </c>
      <c r="F1275" s="85">
        <f>TRUNC(G1278,2)</f>
        <v>45.48</v>
      </c>
      <c r="G1275" s="86">
        <f>TRUNC(F1275*1.2882,2)</f>
        <v>58.58</v>
      </c>
      <c r="H1275" s="86">
        <f>TRUNC(F1275*E1275,2)</f>
        <v>272.88</v>
      </c>
      <c r="I1275" s="87">
        <f>TRUNC(E1275*G1275,2)</f>
        <v>351.48</v>
      </c>
      <c r="J1275" s="87"/>
      <c r="K1275" s="84"/>
    </row>
    <row r="1276" spans="1:11" s="34" customFormat="1" ht="30">
      <c r="A1276" s="30"/>
      <c r="B1276" s="43" t="s">
        <v>1474</v>
      </c>
      <c r="C1276" s="45" t="s">
        <v>1475</v>
      </c>
      <c r="D1276" s="46" t="s">
        <v>10</v>
      </c>
      <c r="E1276" s="44">
        <v>1</v>
      </c>
      <c r="F1276" s="31">
        <f>TRUNC(38.06,2)</f>
        <v>38.06</v>
      </c>
      <c r="G1276" s="32">
        <f>TRUNC(E1276*F1276,2)</f>
        <v>38.06</v>
      </c>
      <c r="H1276" s="32"/>
      <c r="I1276" s="33"/>
      <c r="J1276" s="33"/>
      <c r="K1276" s="44"/>
    </row>
    <row r="1277" spans="1:11" s="34" customFormat="1" ht="30">
      <c r="A1277" s="30"/>
      <c r="B1277" s="43" t="s">
        <v>514</v>
      </c>
      <c r="C1277" s="45" t="s">
        <v>515</v>
      </c>
      <c r="D1277" s="46" t="s">
        <v>10</v>
      </c>
      <c r="E1277" s="44">
        <v>1</v>
      </c>
      <c r="F1277" s="31">
        <f>TRUNC(7.42,2)</f>
        <v>7.42</v>
      </c>
      <c r="G1277" s="32">
        <f>TRUNC(E1277*F1277,2)</f>
        <v>7.42</v>
      </c>
      <c r="H1277" s="32"/>
      <c r="I1277" s="33"/>
      <c r="J1277" s="33"/>
      <c r="K1277" s="44"/>
    </row>
    <row r="1278" spans="1:11" s="34" customFormat="1" ht="15">
      <c r="A1278" s="30"/>
      <c r="B1278" s="43"/>
      <c r="C1278" s="45"/>
      <c r="D1278" s="46"/>
      <c r="E1278" s="44" t="s">
        <v>5</v>
      </c>
      <c r="F1278" s="31"/>
      <c r="G1278" s="32">
        <f>TRUNC(SUM(G1276:G1277),2)</f>
        <v>45.48</v>
      </c>
      <c r="H1278" s="32"/>
      <c r="I1278" s="33"/>
      <c r="J1278" s="33"/>
      <c r="K1278" s="44"/>
    </row>
    <row r="1279" spans="1:11" s="88" customFormat="1" ht="34.5" customHeight="1">
      <c r="A1279" s="80" t="s">
        <v>1687</v>
      </c>
      <c r="B1279" s="81" t="s">
        <v>1476</v>
      </c>
      <c r="C1279" s="82" t="s">
        <v>1477</v>
      </c>
      <c r="D1279" s="83" t="s">
        <v>10</v>
      </c>
      <c r="E1279" s="84">
        <v>7</v>
      </c>
      <c r="F1279" s="85">
        <f>TRUNC(G1282,2)</f>
        <v>27.91</v>
      </c>
      <c r="G1279" s="86">
        <f>TRUNC(F1279*1.2882,2)</f>
        <v>35.95</v>
      </c>
      <c r="H1279" s="86">
        <f>TRUNC(F1279*E1279,2)</f>
        <v>195.37</v>
      </c>
      <c r="I1279" s="87">
        <f>TRUNC(E1279*G1279,2)</f>
        <v>251.65</v>
      </c>
      <c r="J1279" s="87"/>
      <c r="K1279" s="84"/>
    </row>
    <row r="1280" spans="1:11" s="34" customFormat="1" ht="30">
      <c r="A1280" s="30"/>
      <c r="B1280" s="43" t="s">
        <v>1478</v>
      </c>
      <c r="C1280" s="45" t="s">
        <v>1479</v>
      </c>
      <c r="D1280" s="46" t="s">
        <v>10</v>
      </c>
      <c r="E1280" s="44">
        <v>1</v>
      </c>
      <c r="F1280" s="31">
        <f>TRUNC(20.49,2)</f>
        <v>20.49</v>
      </c>
      <c r="G1280" s="32">
        <f>TRUNC(E1280*F1280,2)</f>
        <v>20.49</v>
      </c>
      <c r="H1280" s="32"/>
      <c r="I1280" s="33"/>
      <c r="J1280" s="33"/>
      <c r="K1280" s="44"/>
    </row>
    <row r="1281" spans="1:11" s="34" customFormat="1" ht="30">
      <c r="A1281" s="30"/>
      <c r="B1281" s="43" t="s">
        <v>514</v>
      </c>
      <c r="C1281" s="45" t="s">
        <v>515</v>
      </c>
      <c r="D1281" s="46" t="s">
        <v>10</v>
      </c>
      <c r="E1281" s="44">
        <v>1</v>
      </c>
      <c r="F1281" s="31">
        <f>TRUNC(7.42,2)</f>
        <v>7.42</v>
      </c>
      <c r="G1281" s="32">
        <f>TRUNC(E1281*F1281,2)</f>
        <v>7.42</v>
      </c>
      <c r="H1281" s="32"/>
      <c r="I1281" s="33"/>
      <c r="J1281" s="33"/>
      <c r="K1281" s="44"/>
    </row>
    <row r="1282" spans="1:11" s="34" customFormat="1" ht="15">
      <c r="A1282" s="30"/>
      <c r="B1282" s="43"/>
      <c r="C1282" s="45"/>
      <c r="D1282" s="46"/>
      <c r="E1282" s="44" t="s">
        <v>5</v>
      </c>
      <c r="F1282" s="31"/>
      <c r="G1282" s="32">
        <f>TRUNC(SUM(G1280:G1281),2)</f>
        <v>27.91</v>
      </c>
      <c r="H1282" s="32"/>
      <c r="I1282" s="33"/>
      <c r="J1282" s="33"/>
      <c r="K1282" s="44"/>
    </row>
    <row r="1283" spans="1:11" s="88" customFormat="1" ht="34.5" customHeight="1">
      <c r="A1283" s="80" t="s">
        <v>1688</v>
      </c>
      <c r="B1283" s="81" t="s">
        <v>1480</v>
      </c>
      <c r="C1283" s="82" t="s">
        <v>1481</v>
      </c>
      <c r="D1283" s="83" t="s">
        <v>10</v>
      </c>
      <c r="E1283" s="84">
        <f>17</f>
        <v>17</v>
      </c>
      <c r="F1283" s="85">
        <f>TRUNC(G1286,2)</f>
        <v>38.38</v>
      </c>
      <c r="G1283" s="86">
        <f>TRUNC(F1283*1.2882,2)</f>
        <v>49.44</v>
      </c>
      <c r="H1283" s="86">
        <f>TRUNC(F1283*E1283,2)</f>
        <v>652.46</v>
      </c>
      <c r="I1283" s="87">
        <f>TRUNC(E1283*G1283,2)</f>
        <v>840.48</v>
      </c>
      <c r="J1283" s="87"/>
      <c r="K1283" s="84"/>
    </row>
    <row r="1284" spans="1:11" s="34" customFormat="1" ht="30">
      <c r="A1284" s="30"/>
      <c r="B1284" s="43" t="s">
        <v>1482</v>
      </c>
      <c r="C1284" s="45" t="s">
        <v>1483</v>
      </c>
      <c r="D1284" s="46" t="s">
        <v>10</v>
      </c>
      <c r="E1284" s="44">
        <v>1</v>
      </c>
      <c r="F1284" s="31">
        <f>TRUNC(30.96,2)</f>
        <v>30.96</v>
      </c>
      <c r="G1284" s="32">
        <f>TRUNC(E1284*F1284,2)</f>
        <v>30.96</v>
      </c>
      <c r="H1284" s="32"/>
      <c r="I1284" s="33"/>
      <c r="J1284" s="33"/>
      <c r="K1284" s="44"/>
    </row>
    <row r="1285" spans="1:11" s="34" customFormat="1" ht="30">
      <c r="A1285" s="30"/>
      <c r="B1285" s="43" t="s">
        <v>514</v>
      </c>
      <c r="C1285" s="45" t="s">
        <v>515</v>
      </c>
      <c r="D1285" s="46" t="s">
        <v>10</v>
      </c>
      <c r="E1285" s="44">
        <v>1</v>
      </c>
      <c r="F1285" s="31">
        <f>TRUNC(7.42,2)</f>
        <v>7.42</v>
      </c>
      <c r="G1285" s="32">
        <f>TRUNC(E1285*F1285,2)</f>
        <v>7.42</v>
      </c>
      <c r="H1285" s="32"/>
      <c r="I1285" s="33"/>
      <c r="J1285" s="33"/>
      <c r="K1285" s="44"/>
    </row>
    <row r="1286" spans="1:11" s="34" customFormat="1" ht="15">
      <c r="A1286" s="30"/>
      <c r="B1286" s="43"/>
      <c r="C1286" s="45"/>
      <c r="D1286" s="46"/>
      <c r="E1286" s="44" t="s">
        <v>5</v>
      </c>
      <c r="F1286" s="31"/>
      <c r="G1286" s="32">
        <f>TRUNC(SUM(G1284:G1285),2)</f>
        <v>38.38</v>
      </c>
      <c r="H1286" s="32"/>
      <c r="I1286" s="33"/>
      <c r="J1286" s="33"/>
      <c r="K1286" s="44"/>
    </row>
    <row r="1287" spans="1:11" s="88" customFormat="1" ht="34.5" customHeight="1">
      <c r="A1287" s="80" t="s">
        <v>1689</v>
      </c>
      <c r="B1287" s="81" t="s">
        <v>1214</v>
      </c>
      <c r="C1287" s="82" t="s">
        <v>1213</v>
      </c>
      <c r="D1287" s="83" t="s">
        <v>10</v>
      </c>
      <c r="E1287" s="84">
        <v>8</v>
      </c>
      <c r="F1287" s="85">
        <f>TRUNC(G1293,2)</f>
        <v>21.46</v>
      </c>
      <c r="G1287" s="86">
        <f>TRUNC(F1287*1.2882,2)</f>
        <v>27.64</v>
      </c>
      <c r="H1287" s="86">
        <f>TRUNC(F1287*E1287,2)</f>
        <v>171.68</v>
      </c>
      <c r="I1287" s="87">
        <f>TRUNC(E1287*G1287,2)</f>
        <v>221.12</v>
      </c>
      <c r="J1287" s="87"/>
      <c r="K1287" s="84"/>
    </row>
    <row r="1288" spans="1:11" s="34" customFormat="1" ht="15">
      <c r="A1288" s="30"/>
      <c r="B1288" s="52" t="s">
        <v>827</v>
      </c>
      <c r="C1288" s="45" t="s">
        <v>1215</v>
      </c>
      <c r="D1288" s="46" t="s">
        <v>10</v>
      </c>
      <c r="E1288" s="44">
        <v>1</v>
      </c>
      <c r="F1288" s="31">
        <v>14.04</v>
      </c>
      <c r="G1288" s="32">
        <f>TRUNC(E1288*F1288,2)</f>
        <v>14.04</v>
      </c>
      <c r="H1288" s="32"/>
      <c r="I1288" s="33"/>
      <c r="J1288" s="33"/>
      <c r="K1288" s="44"/>
    </row>
    <row r="1289" spans="1:11" s="34" customFormat="1" ht="15">
      <c r="A1289" s="30"/>
      <c r="B1289" s="52" t="s">
        <v>827</v>
      </c>
      <c r="C1289" s="45" t="s">
        <v>1216</v>
      </c>
      <c r="D1289" s="46" t="s">
        <v>10</v>
      </c>
      <c r="E1289" s="44">
        <v>1</v>
      </c>
      <c r="F1289" s="31">
        <v>14.23</v>
      </c>
      <c r="G1289" s="32">
        <f>TRUNC(E1289*F1289,2)</f>
        <v>14.23</v>
      </c>
      <c r="H1289" s="32"/>
      <c r="I1289" s="33"/>
      <c r="J1289" s="33"/>
      <c r="K1289" s="44"/>
    </row>
    <row r="1290" spans="1:11" s="34" customFormat="1" ht="30">
      <c r="A1290" s="30"/>
      <c r="B1290" s="52" t="s">
        <v>827</v>
      </c>
      <c r="C1290" s="45" t="s">
        <v>1217</v>
      </c>
      <c r="D1290" s="46" t="s">
        <v>10</v>
      </c>
      <c r="E1290" s="44">
        <v>1</v>
      </c>
      <c r="F1290" s="31">
        <v>6.26</v>
      </c>
      <c r="G1290" s="32">
        <f>TRUNC(E1290*F1290,2)</f>
        <v>6.26</v>
      </c>
      <c r="H1290" s="32"/>
      <c r="I1290" s="33"/>
      <c r="J1290" s="33"/>
      <c r="K1290" s="44"/>
    </row>
    <row r="1291" spans="1:11" s="34" customFormat="1" ht="15">
      <c r="A1291" s="30"/>
      <c r="B1291" s="43"/>
      <c r="C1291" s="45"/>
      <c r="D1291" s="46"/>
      <c r="E1291" s="44" t="s">
        <v>1218</v>
      </c>
      <c r="F1291" s="59" t="s">
        <v>1219</v>
      </c>
      <c r="G1291" s="32">
        <v>14.04</v>
      </c>
      <c r="H1291" s="32"/>
      <c r="I1291" s="33"/>
      <c r="J1291" s="33"/>
      <c r="K1291" s="44"/>
    </row>
    <row r="1292" spans="1:11" s="34" customFormat="1" ht="30">
      <c r="A1292" s="30"/>
      <c r="B1292" s="43" t="s">
        <v>514</v>
      </c>
      <c r="C1292" s="45" t="s">
        <v>515</v>
      </c>
      <c r="D1292" s="46" t="s">
        <v>10</v>
      </c>
      <c r="E1292" s="44">
        <v>1</v>
      </c>
      <c r="F1292" s="31">
        <f>TRUNC(7.42,2)</f>
        <v>7.42</v>
      </c>
      <c r="G1292" s="32">
        <f>TRUNC(E1292*F1292,2)</f>
        <v>7.42</v>
      </c>
      <c r="H1292" s="32"/>
      <c r="I1292" s="33"/>
      <c r="J1292" s="33"/>
      <c r="K1292" s="44"/>
    </row>
    <row r="1293" spans="1:11" s="34" customFormat="1" ht="15">
      <c r="A1293" s="30"/>
      <c r="B1293" s="43"/>
      <c r="C1293" s="45"/>
      <c r="D1293" s="46"/>
      <c r="E1293" s="44" t="s">
        <v>5</v>
      </c>
      <c r="F1293" s="31"/>
      <c r="G1293" s="32">
        <f>TRUNC(SUM(G1291:G1292),2)</f>
        <v>21.46</v>
      </c>
      <c r="H1293" s="32"/>
      <c r="I1293" s="33"/>
      <c r="J1293" s="33"/>
      <c r="K1293" s="44"/>
    </row>
    <row r="1294" spans="1:11" s="88" customFormat="1" ht="34.5" customHeight="1">
      <c r="A1294" s="80" t="s">
        <v>1690</v>
      </c>
      <c r="B1294" s="81" t="s">
        <v>1201</v>
      </c>
      <c r="C1294" s="82" t="s">
        <v>1202</v>
      </c>
      <c r="D1294" s="83" t="s">
        <v>10</v>
      </c>
      <c r="E1294" s="84">
        <v>35</v>
      </c>
      <c r="F1294" s="85">
        <f>TRUNC(G1297,2)</f>
        <v>24.53</v>
      </c>
      <c r="G1294" s="86">
        <f>TRUNC(F1294*1.2882,2)</f>
        <v>31.59</v>
      </c>
      <c r="H1294" s="86">
        <f>TRUNC(F1294*E1294,2)</f>
        <v>858.55</v>
      </c>
      <c r="I1294" s="87">
        <f>TRUNC(E1294*G1294,2)</f>
        <v>1105.65</v>
      </c>
      <c r="J1294" s="87"/>
      <c r="K1294" s="84"/>
    </row>
    <row r="1295" spans="1:11" s="34" customFormat="1" ht="30">
      <c r="A1295" s="30"/>
      <c r="B1295" s="43" t="s">
        <v>1203</v>
      </c>
      <c r="C1295" s="45" t="s">
        <v>1204</v>
      </c>
      <c r="D1295" s="46" t="s">
        <v>10</v>
      </c>
      <c r="E1295" s="44">
        <v>1</v>
      </c>
      <c r="F1295" s="31">
        <f>TRUNC(17.11,2)</f>
        <v>17.11</v>
      </c>
      <c r="G1295" s="32">
        <f>TRUNC(E1295*F1295,2)</f>
        <v>17.11</v>
      </c>
      <c r="H1295" s="32"/>
      <c r="I1295" s="33"/>
      <c r="J1295" s="33"/>
      <c r="K1295" s="44"/>
    </row>
    <row r="1296" spans="1:11" s="34" customFormat="1" ht="30">
      <c r="A1296" s="30"/>
      <c r="B1296" s="43" t="s">
        <v>514</v>
      </c>
      <c r="C1296" s="45" t="s">
        <v>515</v>
      </c>
      <c r="D1296" s="46" t="s">
        <v>10</v>
      </c>
      <c r="E1296" s="44">
        <v>1</v>
      </c>
      <c r="F1296" s="31">
        <f>TRUNC(7.42,2)</f>
        <v>7.42</v>
      </c>
      <c r="G1296" s="32">
        <f>TRUNC(E1296*F1296,2)</f>
        <v>7.42</v>
      </c>
      <c r="H1296" s="32"/>
      <c r="I1296" s="33"/>
      <c r="J1296" s="33"/>
      <c r="K1296" s="44"/>
    </row>
    <row r="1297" spans="1:11" s="34" customFormat="1" ht="15">
      <c r="A1297" s="30"/>
      <c r="B1297" s="43"/>
      <c r="C1297" s="45"/>
      <c r="D1297" s="46"/>
      <c r="E1297" s="44" t="s">
        <v>5</v>
      </c>
      <c r="F1297" s="31"/>
      <c r="G1297" s="32">
        <f>TRUNC(SUM(G1295:G1296),2)</f>
        <v>24.53</v>
      </c>
      <c r="H1297" s="32"/>
      <c r="I1297" s="33"/>
      <c r="J1297" s="33"/>
      <c r="K1297" s="44"/>
    </row>
    <row r="1298" spans="1:11" s="88" customFormat="1" ht="34.5" customHeight="1">
      <c r="A1298" s="80" t="s">
        <v>1691</v>
      </c>
      <c r="B1298" s="81" t="s">
        <v>510</v>
      </c>
      <c r="C1298" s="82" t="s">
        <v>511</v>
      </c>
      <c r="D1298" s="83" t="s">
        <v>10</v>
      </c>
      <c r="E1298" s="84">
        <v>3</v>
      </c>
      <c r="F1298" s="85">
        <f>TRUNC(G1301,2)</f>
        <v>38.78</v>
      </c>
      <c r="G1298" s="86">
        <f>TRUNC(F1298*1.2882,2)</f>
        <v>49.95</v>
      </c>
      <c r="H1298" s="86">
        <f>TRUNC(F1298*E1298,2)</f>
        <v>116.34</v>
      </c>
      <c r="I1298" s="87">
        <f>TRUNC(E1298*G1298,2)</f>
        <v>149.85</v>
      </c>
      <c r="J1298" s="87"/>
      <c r="K1298" s="84"/>
    </row>
    <row r="1299" spans="1:11" s="34" customFormat="1" ht="30">
      <c r="A1299" s="30"/>
      <c r="B1299" s="43" t="s">
        <v>512</v>
      </c>
      <c r="C1299" s="45" t="s">
        <v>513</v>
      </c>
      <c r="D1299" s="46" t="s">
        <v>10</v>
      </c>
      <c r="E1299" s="44">
        <v>1</v>
      </c>
      <c r="F1299" s="31">
        <f>TRUNC(31.36,2)</f>
        <v>31.36</v>
      </c>
      <c r="G1299" s="32">
        <f>TRUNC(E1299*F1299,2)</f>
        <v>31.36</v>
      </c>
      <c r="H1299" s="32"/>
      <c r="I1299" s="33"/>
      <c r="J1299" s="33"/>
      <c r="K1299" s="44"/>
    </row>
    <row r="1300" spans="1:11" s="34" customFormat="1" ht="30">
      <c r="A1300" s="30"/>
      <c r="B1300" s="43" t="s">
        <v>514</v>
      </c>
      <c r="C1300" s="45" t="s">
        <v>515</v>
      </c>
      <c r="D1300" s="46" t="s">
        <v>10</v>
      </c>
      <c r="E1300" s="44">
        <v>1</v>
      </c>
      <c r="F1300" s="31">
        <f>TRUNC(7.42,2)</f>
        <v>7.42</v>
      </c>
      <c r="G1300" s="32">
        <f>TRUNC(E1300*F1300,2)</f>
        <v>7.42</v>
      </c>
      <c r="H1300" s="32"/>
      <c r="I1300" s="33"/>
      <c r="J1300" s="33"/>
      <c r="K1300" s="44"/>
    </row>
    <row r="1301" spans="1:11" s="34" customFormat="1" ht="15">
      <c r="A1301" s="30"/>
      <c r="B1301" s="43"/>
      <c r="C1301" s="45"/>
      <c r="D1301" s="46"/>
      <c r="E1301" s="44" t="s">
        <v>5</v>
      </c>
      <c r="F1301" s="31"/>
      <c r="G1301" s="32">
        <f>TRUNC(SUM(G1299:G1300),2)</f>
        <v>38.78</v>
      </c>
      <c r="H1301" s="32"/>
      <c r="I1301" s="33"/>
      <c r="J1301" s="33"/>
      <c r="K1301" s="44"/>
    </row>
    <row r="1302" spans="1:11" s="88" customFormat="1" ht="34.5" customHeight="1">
      <c r="A1302" s="80" t="s">
        <v>1692</v>
      </c>
      <c r="B1302" s="81" t="s">
        <v>1205</v>
      </c>
      <c r="C1302" s="82" t="s">
        <v>1206</v>
      </c>
      <c r="D1302" s="83" t="s">
        <v>10</v>
      </c>
      <c r="E1302" s="84">
        <v>2</v>
      </c>
      <c r="F1302" s="85">
        <f>TRUNC(G1305,2)</f>
        <v>53.03</v>
      </c>
      <c r="G1302" s="86">
        <f>TRUNC(F1302*1.2882,2)</f>
        <v>68.31</v>
      </c>
      <c r="H1302" s="86">
        <f>TRUNC(F1302*E1302,2)</f>
        <v>106.06</v>
      </c>
      <c r="I1302" s="87">
        <f>TRUNC(E1302*G1302,2)</f>
        <v>136.62</v>
      </c>
      <c r="J1302" s="87"/>
      <c r="K1302" s="84"/>
    </row>
    <row r="1303" spans="1:11" s="34" customFormat="1" ht="30">
      <c r="A1303" s="30"/>
      <c r="B1303" s="43" t="s">
        <v>1207</v>
      </c>
      <c r="C1303" s="45" t="s">
        <v>1208</v>
      </c>
      <c r="D1303" s="46" t="s">
        <v>10</v>
      </c>
      <c r="E1303" s="44">
        <v>1</v>
      </c>
      <c r="F1303" s="31">
        <f>TRUNC(45.61,2)</f>
        <v>45.61</v>
      </c>
      <c r="G1303" s="32">
        <f>TRUNC(E1303*F1303,2)</f>
        <v>45.61</v>
      </c>
      <c r="H1303" s="32"/>
      <c r="I1303" s="33"/>
      <c r="J1303" s="33"/>
      <c r="K1303" s="44"/>
    </row>
    <row r="1304" spans="1:11" s="34" customFormat="1" ht="30">
      <c r="A1304" s="30"/>
      <c r="B1304" s="43" t="s">
        <v>514</v>
      </c>
      <c r="C1304" s="45" t="s">
        <v>515</v>
      </c>
      <c r="D1304" s="46" t="s">
        <v>10</v>
      </c>
      <c r="E1304" s="44">
        <v>1</v>
      </c>
      <c r="F1304" s="31">
        <f>TRUNC(7.42,2)</f>
        <v>7.42</v>
      </c>
      <c r="G1304" s="32">
        <f>TRUNC(E1304*F1304,2)</f>
        <v>7.42</v>
      </c>
      <c r="H1304" s="32"/>
      <c r="I1304" s="33"/>
      <c r="J1304" s="33"/>
      <c r="K1304" s="44"/>
    </row>
    <row r="1305" spans="1:11" s="34" customFormat="1" ht="15">
      <c r="A1305" s="30"/>
      <c r="B1305" s="43"/>
      <c r="C1305" s="45"/>
      <c r="D1305" s="46"/>
      <c r="E1305" s="44" t="s">
        <v>5</v>
      </c>
      <c r="F1305" s="31"/>
      <c r="G1305" s="32">
        <f>TRUNC(SUM(G1303:G1304),2)</f>
        <v>53.03</v>
      </c>
      <c r="H1305" s="32"/>
      <c r="I1305" s="33"/>
      <c r="J1305" s="33"/>
      <c r="K1305" s="44"/>
    </row>
    <row r="1306" spans="1:11" s="88" customFormat="1" ht="34.5" customHeight="1">
      <c r="A1306" s="80" t="s">
        <v>1693</v>
      </c>
      <c r="B1306" s="81" t="s">
        <v>1209</v>
      </c>
      <c r="C1306" s="82" t="s">
        <v>1210</v>
      </c>
      <c r="D1306" s="83" t="s">
        <v>10</v>
      </c>
      <c r="E1306" s="84">
        <v>10</v>
      </c>
      <c r="F1306" s="85">
        <f>TRUNC(G1309,2)</f>
        <v>30.43</v>
      </c>
      <c r="G1306" s="86">
        <f>TRUNC(F1306*1.2882,2)</f>
        <v>39.19</v>
      </c>
      <c r="H1306" s="86">
        <f>TRUNC(F1306*E1306,2)</f>
        <v>304.3</v>
      </c>
      <c r="I1306" s="87">
        <f>TRUNC(E1306*G1306,2)</f>
        <v>391.9</v>
      </c>
      <c r="J1306" s="87"/>
      <c r="K1306" s="84"/>
    </row>
    <row r="1307" spans="1:11" s="34" customFormat="1" ht="30">
      <c r="A1307" s="30"/>
      <c r="B1307" s="43" t="s">
        <v>1211</v>
      </c>
      <c r="C1307" s="45" t="s">
        <v>1212</v>
      </c>
      <c r="D1307" s="46" t="s">
        <v>10</v>
      </c>
      <c r="E1307" s="44">
        <v>1</v>
      </c>
      <c r="F1307" s="31">
        <f>TRUNC(23.01,2)</f>
        <v>23.01</v>
      </c>
      <c r="G1307" s="32">
        <f>TRUNC(E1307*F1307,2)</f>
        <v>23.01</v>
      </c>
      <c r="H1307" s="32"/>
      <c r="I1307" s="33"/>
      <c r="J1307" s="33"/>
      <c r="K1307" s="44"/>
    </row>
    <row r="1308" spans="1:11" s="34" customFormat="1" ht="30">
      <c r="A1308" s="30"/>
      <c r="B1308" s="43" t="s">
        <v>514</v>
      </c>
      <c r="C1308" s="45" t="s">
        <v>515</v>
      </c>
      <c r="D1308" s="46" t="s">
        <v>10</v>
      </c>
      <c r="E1308" s="44">
        <v>1</v>
      </c>
      <c r="F1308" s="31">
        <f>TRUNC(7.42,2)</f>
        <v>7.42</v>
      </c>
      <c r="G1308" s="32">
        <f>TRUNC(E1308*F1308,2)</f>
        <v>7.42</v>
      </c>
      <c r="H1308" s="32"/>
      <c r="I1308" s="33"/>
      <c r="J1308" s="33"/>
      <c r="K1308" s="44"/>
    </row>
    <row r="1309" spans="1:11" s="34" customFormat="1" ht="15">
      <c r="A1309" s="30"/>
      <c r="B1309" s="43"/>
      <c r="C1309" s="45"/>
      <c r="D1309" s="46"/>
      <c r="E1309" s="44" t="s">
        <v>5</v>
      </c>
      <c r="F1309" s="31"/>
      <c r="G1309" s="32">
        <f>TRUNC(SUM(G1307:G1308),2)</f>
        <v>30.43</v>
      </c>
      <c r="H1309" s="32"/>
      <c r="I1309" s="33"/>
      <c r="J1309" s="33"/>
      <c r="K1309" s="44"/>
    </row>
    <row r="1310" spans="1:11" s="88" customFormat="1" ht="60">
      <c r="A1310" s="80" t="s">
        <v>1694</v>
      </c>
      <c r="B1310" s="81" t="s">
        <v>516</v>
      </c>
      <c r="C1310" s="82" t="s">
        <v>517</v>
      </c>
      <c r="D1310" s="83" t="s">
        <v>10</v>
      </c>
      <c r="E1310" s="84">
        <v>57</v>
      </c>
      <c r="F1310" s="85">
        <f>TRUNC(G1318,2)</f>
        <v>128.12</v>
      </c>
      <c r="G1310" s="86">
        <f>TRUNC(F1310*1.2882,2)</f>
        <v>165.04</v>
      </c>
      <c r="H1310" s="86">
        <f>TRUNC(F1310*E1310,2)</f>
        <v>7302.84</v>
      </c>
      <c r="I1310" s="87">
        <f>TRUNC(E1310*G1310,2)</f>
        <v>9407.28</v>
      </c>
      <c r="J1310" s="87"/>
      <c r="K1310" s="84"/>
    </row>
    <row r="1311" spans="1:11" s="34" customFormat="1" ht="30">
      <c r="A1311" s="30"/>
      <c r="B1311" s="43" t="s">
        <v>518</v>
      </c>
      <c r="C1311" s="45" t="s">
        <v>519</v>
      </c>
      <c r="D1311" s="46" t="s">
        <v>10</v>
      </c>
      <c r="E1311" s="44">
        <v>1</v>
      </c>
      <c r="F1311" s="31">
        <f>TRUNC(18.53,2)</f>
        <v>18.53</v>
      </c>
      <c r="G1311" s="32">
        <f aca="true" t="shared" si="51" ref="G1311:G1317">TRUNC(E1311*F1311,2)</f>
        <v>18.53</v>
      </c>
      <c r="H1311" s="32"/>
      <c r="I1311" s="33"/>
      <c r="J1311" s="33"/>
      <c r="K1311" s="44"/>
    </row>
    <row r="1312" spans="1:11" s="34" customFormat="1" ht="15">
      <c r="A1312" s="30"/>
      <c r="B1312" s="43" t="s">
        <v>520</v>
      </c>
      <c r="C1312" s="45" t="s">
        <v>521</v>
      </c>
      <c r="D1312" s="46" t="s">
        <v>10</v>
      </c>
      <c r="E1312" s="44">
        <v>2</v>
      </c>
      <c r="F1312" s="31">
        <f>TRUNC(16.98,2)</f>
        <v>16.98</v>
      </c>
      <c r="G1312" s="32">
        <f t="shared" si="51"/>
        <v>33.96</v>
      </c>
      <c r="H1312" s="32"/>
      <c r="I1312" s="33"/>
      <c r="J1312" s="33"/>
      <c r="K1312" s="44"/>
    </row>
    <row r="1313" spans="1:11" s="34" customFormat="1" ht="30">
      <c r="A1313" s="30"/>
      <c r="B1313" s="43" t="s">
        <v>522</v>
      </c>
      <c r="C1313" s="45" t="s">
        <v>523</v>
      </c>
      <c r="D1313" s="46" t="s">
        <v>10</v>
      </c>
      <c r="E1313" s="44">
        <v>1</v>
      </c>
      <c r="F1313" s="31">
        <f>TRUNC(24.72,2)</f>
        <v>24.72</v>
      </c>
      <c r="G1313" s="32">
        <f t="shared" si="51"/>
        <v>24.72</v>
      </c>
      <c r="H1313" s="32"/>
      <c r="I1313" s="33"/>
      <c r="J1313" s="33"/>
      <c r="K1313" s="44"/>
    </row>
    <row r="1314" spans="1:11" s="34" customFormat="1" ht="15">
      <c r="A1314" s="30"/>
      <c r="B1314" s="43" t="s">
        <v>524</v>
      </c>
      <c r="C1314" s="45" t="s">
        <v>525</v>
      </c>
      <c r="D1314" s="46" t="s">
        <v>10</v>
      </c>
      <c r="E1314" s="44">
        <v>1</v>
      </c>
      <c r="F1314" s="31">
        <f>TRUNC(2.2,2)</f>
        <v>2.2</v>
      </c>
      <c r="G1314" s="32">
        <f t="shared" si="51"/>
        <v>2.2</v>
      </c>
      <c r="H1314" s="32"/>
      <c r="I1314" s="33"/>
      <c r="J1314" s="33"/>
      <c r="K1314" s="44"/>
    </row>
    <row r="1315" spans="1:11" s="34" customFormat="1" ht="15">
      <c r="A1315" s="30"/>
      <c r="B1315" s="43" t="s">
        <v>526</v>
      </c>
      <c r="C1315" s="45" t="s">
        <v>527</v>
      </c>
      <c r="D1315" s="46" t="s">
        <v>10</v>
      </c>
      <c r="E1315" s="44">
        <v>4</v>
      </c>
      <c r="F1315" s="31">
        <f>TRUNC(1.54,2)</f>
        <v>1.54</v>
      </c>
      <c r="G1315" s="32">
        <f t="shared" si="51"/>
        <v>6.16</v>
      </c>
      <c r="H1315" s="32"/>
      <c r="I1315" s="33"/>
      <c r="J1315" s="33"/>
      <c r="K1315" s="44"/>
    </row>
    <row r="1316" spans="1:11" s="34" customFormat="1" ht="30">
      <c r="A1316" s="30"/>
      <c r="B1316" s="43" t="s">
        <v>26</v>
      </c>
      <c r="C1316" s="45" t="s">
        <v>27</v>
      </c>
      <c r="D1316" s="46" t="s">
        <v>4</v>
      </c>
      <c r="E1316" s="44">
        <v>1.2463</v>
      </c>
      <c r="F1316" s="31">
        <f>TRUNC(14.34,2)</f>
        <v>14.34</v>
      </c>
      <c r="G1316" s="32">
        <f t="shared" si="51"/>
        <v>17.87</v>
      </c>
      <c r="H1316" s="32"/>
      <c r="I1316" s="33"/>
      <c r="J1316" s="33"/>
      <c r="K1316" s="44"/>
    </row>
    <row r="1317" spans="1:11" s="34" customFormat="1" ht="30">
      <c r="A1317" s="30"/>
      <c r="B1317" s="43" t="s">
        <v>93</v>
      </c>
      <c r="C1317" s="45" t="s">
        <v>94</v>
      </c>
      <c r="D1317" s="46" t="s">
        <v>4</v>
      </c>
      <c r="E1317" s="44">
        <v>1.2463</v>
      </c>
      <c r="F1317" s="31">
        <f>TRUNC(19.81,2)</f>
        <v>19.81</v>
      </c>
      <c r="G1317" s="32">
        <f t="shared" si="51"/>
        <v>24.68</v>
      </c>
      <c r="H1317" s="32"/>
      <c r="I1317" s="33"/>
      <c r="J1317" s="33"/>
      <c r="K1317" s="44"/>
    </row>
    <row r="1318" spans="1:11" s="34" customFormat="1" ht="15">
      <c r="A1318" s="30"/>
      <c r="B1318" s="43"/>
      <c r="C1318" s="45"/>
      <c r="D1318" s="46"/>
      <c r="E1318" s="44" t="s">
        <v>5</v>
      </c>
      <c r="F1318" s="31"/>
      <c r="G1318" s="32">
        <f>TRUNC(SUM(G1311:G1317),2)</f>
        <v>128.12</v>
      </c>
      <c r="H1318" s="32"/>
      <c r="I1318" s="33"/>
      <c r="J1318" s="33"/>
      <c r="K1318" s="44"/>
    </row>
    <row r="1319" spans="1:11" s="88" customFormat="1" ht="60">
      <c r="A1319" s="80" t="s">
        <v>1695</v>
      </c>
      <c r="B1319" s="81" t="s">
        <v>528</v>
      </c>
      <c r="C1319" s="82" t="s">
        <v>529</v>
      </c>
      <c r="D1319" s="83" t="s">
        <v>10</v>
      </c>
      <c r="E1319" s="84">
        <v>13</v>
      </c>
      <c r="F1319" s="85">
        <f>TRUNC(G1327,2)</f>
        <v>128.44</v>
      </c>
      <c r="G1319" s="86">
        <f>TRUNC(F1319*1.2882,2)</f>
        <v>165.45</v>
      </c>
      <c r="H1319" s="86">
        <f>TRUNC(F1319*E1319,2)</f>
        <v>1669.72</v>
      </c>
      <c r="I1319" s="87">
        <f>TRUNC(E1319*G1319,2)</f>
        <v>2150.85</v>
      </c>
      <c r="J1319" s="87"/>
      <c r="K1319" s="84"/>
    </row>
    <row r="1320" spans="1:11" s="34" customFormat="1" ht="30">
      <c r="A1320" s="30"/>
      <c r="B1320" s="43" t="s">
        <v>530</v>
      </c>
      <c r="C1320" s="45" t="s">
        <v>531</v>
      </c>
      <c r="D1320" s="46" t="s">
        <v>10</v>
      </c>
      <c r="E1320" s="44">
        <v>1</v>
      </c>
      <c r="F1320" s="31">
        <f>TRUNC(9.89,2)</f>
        <v>9.89</v>
      </c>
      <c r="G1320" s="32">
        <f aca="true" t="shared" si="52" ref="G1320:G1326">TRUNC(E1320*F1320,2)</f>
        <v>9.89</v>
      </c>
      <c r="H1320" s="32"/>
      <c r="I1320" s="33"/>
      <c r="J1320" s="33"/>
      <c r="K1320" s="44"/>
    </row>
    <row r="1321" spans="1:11" s="34" customFormat="1" ht="30">
      <c r="A1321" s="30"/>
      <c r="B1321" s="43" t="s">
        <v>532</v>
      </c>
      <c r="C1321" s="45" t="s">
        <v>533</v>
      </c>
      <c r="D1321" s="46" t="s">
        <v>10</v>
      </c>
      <c r="E1321" s="44">
        <v>1</v>
      </c>
      <c r="F1321" s="31">
        <f>TRUNC(48.72,2)</f>
        <v>48.72</v>
      </c>
      <c r="G1321" s="32">
        <f t="shared" si="52"/>
        <v>48.72</v>
      </c>
      <c r="H1321" s="32"/>
      <c r="I1321" s="33"/>
      <c r="J1321" s="33"/>
      <c r="K1321" s="44"/>
    </row>
    <row r="1322" spans="1:11" s="34" customFormat="1" ht="15">
      <c r="A1322" s="30"/>
      <c r="B1322" s="43" t="s">
        <v>534</v>
      </c>
      <c r="C1322" s="45" t="s">
        <v>535</v>
      </c>
      <c r="D1322" s="46" t="s">
        <v>10</v>
      </c>
      <c r="E1322" s="44">
        <v>2</v>
      </c>
      <c r="F1322" s="31">
        <f>TRUNC(9.46,2)</f>
        <v>9.46</v>
      </c>
      <c r="G1322" s="32">
        <f t="shared" si="52"/>
        <v>18.92</v>
      </c>
      <c r="H1322" s="32"/>
      <c r="I1322" s="33"/>
      <c r="J1322" s="33"/>
      <c r="K1322" s="44"/>
    </row>
    <row r="1323" spans="1:11" s="34" customFormat="1" ht="15">
      <c r="A1323" s="30"/>
      <c r="B1323" s="43" t="s">
        <v>524</v>
      </c>
      <c r="C1323" s="45" t="s">
        <v>525</v>
      </c>
      <c r="D1323" s="46" t="s">
        <v>10</v>
      </c>
      <c r="E1323" s="44">
        <v>1</v>
      </c>
      <c r="F1323" s="31">
        <f>TRUNC(2.2,2)</f>
        <v>2.2</v>
      </c>
      <c r="G1323" s="32">
        <f t="shared" si="52"/>
        <v>2.2</v>
      </c>
      <c r="H1323" s="32"/>
      <c r="I1323" s="33"/>
      <c r="J1323" s="33"/>
      <c r="K1323" s="44"/>
    </row>
    <row r="1324" spans="1:11" s="34" customFormat="1" ht="15">
      <c r="A1324" s="30"/>
      <c r="B1324" s="43" t="s">
        <v>526</v>
      </c>
      <c r="C1324" s="45" t="s">
        <v>527</v>
      </c>
      <c r="D1324" s="46" t="s">
        <v>10</v>
      </c>
      <c r="E1324" s="44">
        <v>4</v>
      </c>
      <c r="F1324" s="31">
        <f>TRUNC(1.54,2)</f>
        <v>1.54</v>
      </c>
      <c r="G1324" s="32">
        <f t="shared" si="52"/>
        <v>6.16</v>
      </c>
      <c r="H1324" s="32"/>
      <c r="I1324" s="33"/>
      <c r="J1324" s="33"/>
      <c r="K1324" s="44"/>
    </row>
    <row r="1325" spans="1:11" s="34" customFormat="1" ht="30">
      <c r="A1325" s="30"/>
      <c r="B1325" s="43" t="s">
        <v>26</v>
      </c>
      <c r="C1325" s="45" t="s">
        <v>27</v>
      </c>
      <c r="D1325" s="46" t="s">
        <v>4</v>
      </c>
      <c r="E1325" s="44">
        <v>1.2463</v>
      </c>
      <c r="F1325" s="31">
        <f>TRUNC(14.34,2)</f>
        <v>14.34</v>
      </c>
      <c r="G1325" s="32">
        <f t="shared" si="52"/>
        <v>17.87</v>
      </c>
      <c r="H1325" s="32"/>
      <c r="I1325" s="33"/>
      <c r="J1325" s="33"/>
      <c r="K1325" s="44"/>
    </row>
    <row r="1326" spans="1:11" s="34" customFormat="1" ht="30">
      <c r="A1326" s="30"/>
      <c r="B1326" s="43" t="s">
        <v>93</v>
      </c>
      <c r="C1326" s="45" t="s">
        <v>94</v>
      </c>
      <c r="D1326" s="46" t="s">
        <v>4</v>
      </c>
      <c r="E1326" s="44">
        <v>1.2463</v>
      </c>
      <c r="F1326" s="31">
        <f>TRUNC(19.81,2)</f>
        <v>19.81</v>
      </c>
      <c r="G1326" s="32">
        <f t="shared" si="52"/>
        <v>24.68</v>
      </c>
      <c r="H1326" s="32"/>
      <c r="I1326" s="33"/>
      <c r="J1326" s="33"/>
      <c r="K1326" s="44"/>
    </row>
    <row r="1327" spans="1:11" s="34" customFormat="1" ht="15">
      <c r="A1327" s="30"/>
      <c r="B1327" s="43"/>
      <c r="C1327" s="45"/>
      <c r="D1327" s="46"/>
      <c r="E1327" s="44" t="s">
        <v>5</v>
      </c>
      <c r="F1327" s="31"/>
      <c r="G1327" s="32">
        <f>TRUNC(SUM(G1320:G1326),2)</f>
        <v>128.44</v>
      </c>
      <c r="H1327" s="32"/>
      <c r="I1327" s="33"/>
      <c r="J1327" s="33"/>
      <c r="K1327" s="44"/>
    </row>
    <row r="1328" spans="1:11" s="88" customFormat="1" ht="45">
      <c r="A1328" s="80" t="s">
        <v>1696</v>
      </c>
      <c r="B1328" s="81" t="s">
        <v>1220</v>
      </c>
      <c r="C1328" s="82" t="s">
        <v>1221</v>
      </c>
      <c r="D1328" s="83" t="s">
        <v>10</v>
      </c>
      <c r="E1328" s="84">
        <v>17</v>
      </c>
      <c r="F1328" s="85">
        <f>TRUNC(G1333,2)</f>
        <v>206.17</v>
      </c>
      <c r="G1328" s="86">
        <f>TRUNC(F1328*1.2882,2)</f>
        <v>265.58</v>
      </c>
      <c r="H1328" s="86">
        <f>TRUNC(F1328*E1328,2)</f>
        <v>3504.89</v>
      </c>
      <c r="I1328" s="87">
        <f>TRUNC(E1328*G1328,2)</f>
        <v>4514.86</v>
      </c>
      <c r="J1328" s="87" t="s">
        <v>5</v>
      </c>
      <c r="K1328" s="84"/>
    </row>
    <row r="1329" spans="1:10" s="34" customFormat="1" ht="15">
      <c r="A1329" s="60"/>
      <c r="B1329" s="43" t="s">
        <v>1222</v>
      </c>
      <c r="C1329" s="45" t="s">
        <v>1223</v>
      </c>
      <c r="D1329" s="46" t="s">
        <v>10</v>
      </c>
      <c r="E1329" s="44">
        <v>0</v>
      </c>
      <c r="F1329" s="32">
        <f>TRUNC(12.15,2)</f>
        <v>12.15</v>
      </c>
      <c r="G1329" s="32">
        <f>TRUNC(E1329*F1329,2)</f>
        <v>0</v>
      </c>
      <c r="H1329" s="32"/>
      <c r="I1329" s="33"/>
      <c r="J1329" s="47">
        <v>3</v>
      </c>
    </row>
    <row r="1330" spans="1:10" s="58" customFormat="1" ht="28.5">
      <c r="A1330" s="61"/>
      <c r="B1330" s="52" t="s">
        <v>827</v>
      </c>
      <c r="C1330" s="62" t="s">
        <v>1224</v>
      </c>
      <c r="D1330" s="63" t="s">
        <v>10</v>
      </c>
      <c r="E1330" s="64">
        <v>1</v>
      </c>
      <c r="F1330" s="50">
        <f>G1337</f>
        <v>171</v>
      </c>
      <c r="G1330" s="50">
        <f>TRUNC(E1330*F1330,2)</f>
        <v>171</v>
      </c>
      <c r="H1330" s="50"/>
      <c r="I1330" s="51"/>
      <c r="J1330" s="44">
        <v>0</v>
      </c>
    </row>
    <row r="1331" spans="1:10" s="34" customFormat="1" ht="30">
      <c r="A1331" s="60"/>
      <c r="B1331" s="43" t="s">
        <v>26</v>
      </c>
      <c r="C1331" s="45" t="s">
        <v>27</v>
      </c>
      <c r="D1331" s="46" t="s">
        <v>4</v>
      </c>
      <c r="E1331" s="44">
        <v>1.03</v>
      </c>
      <c r="F1331" s="32">
        <f>TRUNC(14.34,2)</f>
        <v>14.34</v>
      </c>
      <c r="G1331" s="32">
        <f>TRUNC(E1331*F1331,2)</f>
        <v>14.77</v>
      </c>
      <c r="H1331" s="32"/>
      <c r="I1331" s="33"/>
      <c r="J1331" s="64">
        <v>1</v>
      </c>
    </row>
    <row r="1332" spans="1:10" s="34" customFormat="1" ht="30">
      <c r="A1332" s="60"/>
      <c r="B1332" s="43" t="s">
        <v>93</v>
      </c>
      <c r="C1332" s="45" t="s">
        <v>94</v>
      </c>
      <c r="D1332" s="46" t="s">
        <v>4</v>
      </c>
      <c r="E1332" s="44">
        <v>1.03</v>
      </c>
      <c r="F1332" s="32">
        <f>TRUNC(19.81,2)</f>
        <v>19.81</v>
      </c>
      <c r="G1332" s="32">
        <f>TRUNC(E1332*F1332,2)</f>
        <v>20.4</v>
      </c>
      <c r="H1332" s="32"/>
      <c r="I1332" s="33"/>
      <c r="J1332" s="44">
        <v>1.03</v>
      </c>
    </row>
    <row r="1333" spans="1:10" s="34" customFormat="1" ht="15">
      <c r="A1333" s="60"/>
      <c r="B1333" s="43"/>
      <c r="C1333" s="45"/>
      <c r="D1333" s="46"/>
      <c r="E1333" s="44" t="s">
        <v>5</v>
      </c>
      <c r="F1333" s="32"/>
      <c r="G1333" s="32">
        <f>TRUNC(SUM(G1329:G1332),2)</f>
        <v>206.17</v>
      </c>
      <c r="H1333" s="32"/>
      <c r="I1333" s="33"/>
      <c r="J1333" s="44">
        <v>1.03</v>
      </c>
    </row>
    <row r="1334" spans="1:10" s="34" customFormat="1" ht="30">
      <c r="A1334" s="60"/>
      <c r="B1334" s="52" t="s">
        <v>827</v>
      </c>
      <c r="C1334" s="45" t="s">
        <v>1225</v>
      </c>
      <c r="D1334" s="46" t="s">
        <v>10</v>
      </c>
      <c r="E1334" s="44">
        <v>1</v>
      </c>
      <c r="F1334" s="32">
        <v>150.1</v>
      </c>
      <c r="G1334" s="32">
        <f>TRUNC(E1334*F1334,2)</f>
        <v>150.1</v>
      </c>
      <c r="H1334" s="32"/>
      <c r="I1334" s="33"/>
      <c r="J1334" s="44" t="s">
        <v>5</v>
      </c>
    </row>
    <row r="1335" spans="1:10" s="34" customFormat="1" ht="30">
      <c r="A1335" s="60"/>
      <c r="B1335" s="52" t="s">
        <v>827</v>
      </c>
      <c r="C1335" s="45" t="s">
        <v>1226</v>
      </c>
      <c r="D1335" s="46" t="s">
        <v>10</v>
      </c>
      <c r="E1335" s="44">
        <v>1</v>
      </c>
      <c r="F1335" s="32">
        <v>185.9</v>
      </c>
      <c r="G1335" s="32">
        <f>TRUNC(E1335*F1335,2)</f>
        <v>185.9</v>
      </c>
      <c r="H1335" s="32"/>
      <c r="I1335" s="33"/>
      <c r="J1335" s="44">
        <v>1</v>
      </c>
    </row>
    <row r="1336" spans="1:10" s="34" customFormat="1" ht="30">
      <c r="A1336" s="60"/>
      <c r="B1336" s="52" t="s">
        <v>827</v>
      </c>
      <c r="C1336" s="45" t="s">
        <v>1227</v>
      </c>
      <c r="D1336" s="46" t="s">
        <v>10</v>
      </c>
      <c r="E1336" s="44">
        <v>1</v>
      </c>
      <c r="F1336" s="32">
        <v>171</v>
      </c>
      <c r="G1336" s="32">
        <f>TRUNC(E1336*F1336,2)</f>
        <v>171</v>
      </c>
      <c r="H1336" s="32"/>
      <c r="I1336" s="33"/>
      <c r="J1336" s="44">
        <v>1</v>
      </c>
    </row>
    <row r="1337" spans="1:10" s="34" customFormat="1" ht="15">
      <c r="A1337" s="60"/>
      <c r="B1337" s="43"/>
      <c r="C1337" s="45"/>
      <c r="D1337" s="46"/>
      <c r="E1337" s="44"/>
      <c r="F1337" s="32" t="s">
        <v>1228</v>
      </c>
      <c r="G1337" s="32">
        <f>G1336</f>
        <v>171</v>
      </c>
      <c r="H1337" s="32"/>
      <c r="I1337" s="33"/>
      <c r="J1337" s="44">
        <v>1</v>
      </c>
    </row>
    <row r="1338" spans="1:11" s="88" customFormat="1" ht="75">
      <c r="A1338" s="80" t="s">
        <v>1697</v>
      </c>
      <c r="B1338" s="81" t="s">
        <v>1229</v>
      </c>
      <c r="C1338" s="82" t="s">
        <v>1230</v>
      </c>
      <c r="D1338" s="83" t="s">
        <v>10</v>
      </c>
      <c r="E1338" s="84">
        <v>4</v>
      </c>
      <c r="F1338" s="85">
        <f>TRUNC(G1344,2)</f>
        <v>213.63</v>
      </c>
      <c r="G1338" s="86">
        <f>TRUNC(F1338*1.2882,2)</f>
        <v>275.19</v>
      </c>
      <c r="H1338" s="86">
        <f>TRUNC(F1338*E1338,2)</f>
        <v>854.52</v>
      </c>
      <c r="I1338" s="87">
        <f>TRUNC(E1338*G1338,2)</f>
        <v>1100.76</v>
      </c>
      <c r="J1338" s="87"/>
      <c r="K1338" s="84"/>
    </row>
    <row r="1339" spans="1:11" s="34" customFormat="1" ht="30">
      <c r="A1339" s="30"/>
      <c r="B1339" s="43" t="s">
        <v>1231</v>
      </c>
      <c r="C1339" s="45" t="s">
        <v>1232</v>
      </c>
      <c r="D1339" s="46" t="s">
        <v>10</v>
      </c>
      <c r="E1339" s="44">
        <v>1</v>
      </c>
      <c r="F1339" s="31">
        <f>TRUNC(114.51,2)</f>
        <v>114.51</v>
      </c>
      <c r="G1339" s="32">
        <f>TRUNC(E1339*F1339,2)</f>
        <v>114.51</v>
      </c>
      <c r="H1339" s="32"/>
      <c r="I1339" s="33"/>
      <c r="J1339" s="33"/>
      <c r="K1339" s="44"/>
    </row>
    <row r="1340" spans="1:11" s="34" customFormat="1" ht="15">
      <c r="A1340" s="30"/>
      <c r="B1340" s="43" t="s">
        <v>520</v>
      </c>
      <c r="C1340" s="45" t="s">
        <v>521</v>
      </c>
      <c r="D1340" s="46" t="s">
        <v>10</v>
      </c>
      <c r="E1340" s="44">
        <v>2</v>
      </c>
      <c r="F1340" s="31">
        <f>TRUNC(16.98,2)</f>
        <v>16.98</v>
      </c>
      <c r="G1340" s="32">
        <f>TRUNC(E1340*F1340,2)</f>
        <v>33.96</v>
      </c>
      <c r="H1340" s="32"/>
      <c r="I1340" s="33"/>
      <c r="J1340" s="33"/>
      <c r="K1340" s="44"/>
    </row>
    <row r="1341" spans="1:11" s="34" customFormat="1" ht="30">
      <c r="A1341" s="30"/>
      <c r="B1341" s="43" t="s">
        <v>522</v>
      </c>
      <c r="C1341" s="45" t="s">
        <v>523</v>
      </c>
      <c r="D1341" s="46" t="s">
        <v>10</v>
      </c>
      <c r="E1341" s="44">
        <v>1</v>
      </c>
      <c r="F1341" s="31">
        <f>TRUNC(24.72,2)</f>
        <v>24.72</v>
      </c>
      <c r="G1341" s="32">
        <f>TRUNC(E1341*F1341,2)</f>
        <v>24.72</v>
      </c>
      <c r="H1341" s="32"/>
      <c r="I1341" s="33"/>
      <c r="J1341" s="33"/>
      <c r="K1341" s="44"/>
    </row>
    <row r="1342" spans="1:11" s="34" customFormat="1" ht="30">
      <c r="A1342" s="30"/>
      <c r="B1342" s="43" t="s">
        <v>26</v>
      </c>
      <c r="C1342" s="45" t="s">
        <v>27</v>
      </c>
      <c r="D1342" s="46" t="s">
        <v>4</v>
      </c>
      <c r="E1342" s="44">
        <v>1.1844999999999999</v>
      </c>
      <c r="F1342" s="31">
        <f>TRUNC(14.34,2)</f>
        <v>14.34</v>
      </c>
      <c r="G1342" s="32">
        <f>TRUNC(E1342*F1342,2)</f>
        <v>16.98</v>
      </c>
      <c r="H1342" s="32"/>
      <c r="I1342" s="33"/>
      <c r="J1342" s="33"/>
      <c r="K1342" s="44"/>
    </row>
    <row r="1343" spans="1:11" s="34" customFormat="1" ht="30">
      <c r="A1343" s="30"/>
      <c r="B1343" s="43" t="s">
        <v>93</v>
      </c>
      <c r="C1343" s="45" t="s">
        <v>94</v>
      </c>
      <c r="D1343" s="46" t="s">
        <v>4</v>
      </c>
      <c r="E1343" s="44">
        <v>1.1844999999999999</v>
      </c>
      <c r="F1343" s="31">
        <f>TRUNC(19.81,2)</f>
        <v>19.81</v>
      </c>
      <c r="G1343" s="32">
        <f>TRUNC(E1343*F1343,2)</f>
        <v>23.46</v>
      </c>
      <c r="H1343" s="32"/>
      <c r="I1343" s="33"/>
      <c r="J1343" s="33"/>
      <c r="K1343" s="44"/>
    </row>
    <row r="1344" spans="1:11" s="34" customFormat="1" ht="15">
      <c r="A1344" s="30"/>
      <c r="B1344" s="43"/>
      <c r="C1344" s="45"/>
      <c r="D1344" s="46"/>
      <c r="E1344" s="44" t="s">
        <v>5</v>
      </c>
      <c r="F1344" s="31"/>
      <c r="G1344" s="32">
        <f>TRUNC(SUM(G1339:G1343),2)</f>
        <v>213.63</v>
      </c>
      <c r="H1344" s="32"/>
      <c r="I1344" s="33"/>
      <c r="J1344" s="33"/>
      <c r="K1344" s="44"/>
    </row>
    <row r="1345" spans="1:11" s="88" customFormat="1" ht="45">
      <c r="A1345" s="80" t="s">
        <v>1698</v>
      </c>
      <c r="B1345" s="81" t="s">
        <v>1484</v>
      </c>
      <c r="C1345" s="82" t="s">
        <v>1233</v>
      </c>
      <c r="D1345" s="83" t="s">
        <v>10</v>
      </c>
      <c r="E1345" s="84">
        <v>21</v>
      </c>
      <c r="F1345" s="85">
        <f>TRUNC(G1350,2)</f>
        <v>76.82</v>
      </c>
      <c r="G1345" s="86">
        <f>TRUNC(F1345*1.2882,2)</f>
        <v>98.95</v>
      </c>
      <c r="H1345" s="86">
        <f>TRUNC(F1345*E1345,2)</f>
        <v>1613.22</v>
      </c>
      <c r="I1345" s="87">
        <f>TRUNC(E1345*G1345,2)</f>
        <v>2077.95</v>
      </c>
      <c r="J1345" s="87"/>
      <c r="K1345" s="84"/>
    </row>
    <row r="1346" spans="1:11" s="34" customFormat="1" ht="15">
      <c r="A1346" s="30"/>
      <c r="B1346" s="43" t="s">
        <v>1236</v>
      </c>
      <c r="C1346" s="45" t="s">
        <v>1237</v>
      </c>
      <c r="D1346" s="46" t="s">
        <v>10</v>
      </c>
      <c r="E1346" s="44">
        <v>1</v>
      </c>
      <c r="F1346" s="31">
        <v>16.27</v>
      </c>
      <c r="G1346" s="32">
        <f>TRUNC(E1346*F1346,2)</f>
        <v>16.27</v>
      </c>
      <c r="H1346" s="32"/>
      <c r="I1346" s="33"/>
      <c r="J1346" s="33"/>
      <c r="K1346" s="44"/>
    </row>
    <row r="1347" spans="1:11" s="34" customFormat="1" ht="30">
      <c r="A1347" s="30"/>
      <c r="B1347" s="43" t="s">
        <v>1234</v>
      </c>
      <c r="C1347" s="45" t="s">
        <v>1235</v>
      </c>
      <c r="D1347" s="46" t="s">
        <v>10</v>
      </c>
      <c r="E1347" s="44">
        <v>1</v>
      </c>
      <c r="F1347" s="31">
        <f>TRUNC(42.97,2)</f>
        <v>42.97</v>
      </c>
      <c r="G1347" s="32">
        <f>TRUNC(E1347*F1347,2)</f>
        <v>42.97</v>
      </c>
      <c r="H1347" s="32"/>
      <c r="I1347" s="33"/>
      <c r="J1347" s="33"/>
      <c r="K1347" s="44"/>
    </row>
    <row r="1348" spans="1:11" s="34" customFormat="1" ht="30">
      <c r="A1348" s="30"/>
      <c r="B1348" s="43" t="s">
        <v>26</v>
      </c>
      <c r="C1348" s="45" t="s">
        <v>27</v>
      </c>
      <c r="D1348" s="46" t="s">
        <v>4</v>
      </c>
      <c r="E1348" s="44">
        <v>0.515</v>
      </c>
      <c r="F1348" s="31">
        <f>TRUNC(14.34,2)</f>
        <v>14.34</v>
      </c>
      <c r="G1348" s="32">
        <f>TRUNC(E1348*F1348,2)</f>
        <v>7.38</v>
      </c>
      <c r="H1348" s="32"/>
      <c r="I1348" s="33"/>
      <c r="J1348" s="33"/>
      <c r="K1348" s="44"/>
    </row>
    <row r="1349" spans="1:11" s="34" customFormat="1" ht="30">
      <c r="A1349" s="30"/>
      <c r="B1349" s="43" t="s">
        <v>93</v>
      </c>
      <c r="C1349" s="45" t="s">
        <v>94</v>
      </c>
      <c r="D1349" s="46" t="s">
        <v>4</v>
      </c>
      <c r="E1349" s="44">
        <v>0.515</v>
      </c>
      <c r="F1349" s="31">
        <f>TRUNC(19.81,2)</f>
        <v>19.81</v>
      </c>
      <c r="G1349" s="32">
        <f>TRUNC(E1349*F1349,2)</f>
        <v>10.2</v>
      </c>
      <c r="H1349" s="32"/>
      <c r="I1349" s="33"/>
      <c r="J1349" s="33"/>
      <c r="K1349" s="44"/>
    </row>
    <row r="1350" spans="1:11" s="34" customFormat="1" ht="15">
      <c r="A1350" s="30"/>
      <c r="B1350" s="43"/>
      <c r="C1350" s="45"/>
      <c r="D1350" s="46"/>
      <c r="E1350" s="44" t="s">
        <v>5</v>
      </c>
      <c r="F1350" s="31"/>
      <c r="G1350" s="32">
        <f>TRUNC(SUM(G1346:G1349),2)</f>
        <v>76.82</v>
      </c>
      <c r="H1350" s="32"/>
      <c r="I1350" s="33"/>
      <c r="J1350" s="33"/>
      <c r="K1350" s="44"/>
    </row>
    <row r="1351" spans="1:11" s="88" customFormat="1" ht="30">
      <c r="A1351" s="80" t="s">
        <v>1699</v>
      </c>
      <c r="B1351" s="81" t="s">
        <v>1238</v>
      </c>
      <c r="C1351" s="82" t="s">
        <v>1239</v>
      </c>
      <c r="D1351" s="83" t="s">
        <v>10</v>
      </c>
      <c r="E1351" s="84">
        <v>113</v>
      </c>
      <c r="F1351" s="85">
        <f>TRUNC(G1357,2)</f>
        <v>54.37</v>
      </c>
      <c r="G1351" s="86">
        <f>TRUNC(F1351*1.2977,2)</f>
        <v>70.55</v>
      </c>
      <c r="H1351" s="86">
        <f>TRUNC(F1351*E1351,2)</f>
        <v>6143.81</v>
      </c>
      <c r="I1351" s="87">
        <f>TRUNC(E1351*G1351,2)</f>
        <v>7972.15</v>
      </c>
      <c r="J1351" s="87"/>
      <c r="K1351" s="84"/>
    </row>
    <row r="1352" spans="1:10" s="34" customFormat="1" ht="30">
      <c r="A1352" s="60"/>
      <c r="B1352" s="43" t="s">
        <v>1189</v>
      </c>
      <c r="C1352" s="45" t="s">
        <v>1190</v>
      </c>
      <c r="D1352" s="46" t="s">
        <v>10</v>
      </c>
      <c r="E1352" s="44">
        <v>0</v>
      </c>
      <c r="F1352" s="32">
        <f>TRUNC(3.39,2)</f>
        <v>3.39</v>
      </c>
      <c r="G1352" s="32">
        <f>TRUNC(E1352*F1352,2)</f>
        <v>0</v>
      </c>
      <c r="H1352" s="32"/>
      <c r="I1352" s="33"/>
      <c r="J1352" s="47">
        <v>13</v>
      </c>
    </row>
    <row r="1353" spans="1:10" s="58" customFormat="1" ht="15">
      <c r="A1353" s="61"/>
      <c r="B1353" s="52" t="s">
        <v>827</v>
      </c>
      <c r="C1353" s="55" t="s">
        <v>1240</v>
      </c>
      <c r="D1353" s="56" t="s">
        <v>10</v>
      </c>
      <c r="E1353" s="57">
        <v>1</v>
      </c>
      <c r="F1353" s="50">
        <f>G1361</f>
        <v>25.2</v>
      </c>
      <c r="G1353" s="50">
        <f>TRUNC(E1353*F1353,2)</f>
        <v>25.2</v>
      </c>
      <c r="H1353" s="50"/>
      <c r="I1353" s="51"/>
      <c r="J1353" s="44">
        <v>0</v>
      </c>
    </row>
    <row r="1354" spans="1:10" s="34" customFormat="1" ht="15">
      <c r="A1354" s="60"/>
      <c r="B1354" s="43" t="s">
        <v>480</v>
      </c>
      <c r="C1354" s="45" t="s">
        <v>481</v>
      </c>
      <c r="D1354" s="46" t="s">
        <v>4</v>
      </c>
      <c r="E1354" s="44">
        <v>0.596</v>
      </c>
      <c r="F1354" s="32">
        <f>TRUNC(26.87,2)</f>
        <v>26.87</v>
      </c>
      <c r="G1354" s="32">
        <f>TRUNC(E1354*F1354,2)</f>
        <v>16.01</v>
      </c>
      <c r="H1354" s="32"/>
      <c r="I1354" s="33"/>
      <c r="J1354" s="57">
        <v>1</v>
      </c>
    </row>
    <row r="1355" spans="1:10" s="34" customFormat="1" ht="15">
      <c r="A1355" s="60"/>
      <c r="B1355" s="43" t="s">
        <v>482</v>
      </c>
      <c r="C1355" s="45" t="s">
        <v>483</v>
      </c>
      <c r="D1355" s="46" t="s">
        <v>4</v>
      </c>
      <c r="E1355" s="44">
        <v>0.596</v>
      </c>
      <c r="F1355" s="32">
        <f>TRUNC(21,2)</f>
        <v>21</v>
      </c>
      <c r="G1355" s="32">
        <f>TRUNC(E1355*F1355,2)</f>
        <v>12.51</v>
      </c>
      <c r="H1355" s="32"/>
      <c r="I1355" s="33"/>
      <c r="J1355" s="44">
        <v>0.596</v>
      </c>
    </row>
    <row r="1356" spans="1:10" s="34" customFormat="1" ht="30">
      <c r="A1356" s="60"/>
      <c r="B1356" s="43" t="s">
        <v>1191</v>
      </c>
      <c r="C1356" s="45" t="s">
        <v>1192</v>
      </c>
      <c r="D1356" s="46" t="s">
        <v>1</v>
      </c>
      <c r="E1356" s="44">
        <v>0.0012</v>
      </c>
      <c r="F1356" s="32">
        <f>TRUNC(543.24,2)</f>
        <v>543.24</v>
      </c>
      <c r="G1356" s="32">
        <f>TRUNC(E1356*F1356,2)</f>
        <v>0.65</v>
      </c>
      <c r="H1356" s="32"/>
      <c r="I1356" s="33"/>
      <c r="J1356" s="44">
        <v>0.596</v>
      </c>
    </row>
    <row r="1357" spans="1:10" s="34" customFormat="1" ht="15">
      <c r="A1357" s="60"/>
      <c r="B1357" s="43"/>
      <c r="C1357" s="45"/>
      <c r="D1357" s="46"/>
      <c r="E1357" s="44" t="s">
        <v>5</v>
      </c>
      <c r="F1357" s="32"/>
      <c r="G1357" s="32">
        <f>TRUNC(SUM(G1352:G1356),2)</f>
        <v>54.37</v>
      </c>
      <c r="H1357" s="32"/>
      <c r="I1357" s="33"/>
      <c r="J1357" s="44">
        <v>0.0012</v>
      </c>
    </row>
    <row r="1358" spans="1:10" s="34" customFormat="1" ht="30">
      <c r="A1358" s="60"/>
      <c r="B1358" s="52" t="s">
        <v>827</v>
      </c>
      <c r="C1358" s="45" t="s">
        <v>1241</v>
      </c>
      <c r="D1358" s="46" t="s">
        <v>10</v>
      </c>
      <c r="E1358" s="44">
        <v>1</v>
      </c>
      <c r="F1358" s="32">
        <v>21.4</v>
      </c>
      <c r="G1358" s="32">
        <f>TRUNC(E1358*F1358,2)</f>
        <v>21.4</v>
      </c>
      <c r="H1358" s="32"/>
      <c r="I1358" s="33"/>
      <c r="J1358" s="44" t="s">
        <v>5</v>
      </c>
    </row>
    <row r="1359" spans="1:10" s="34" customFormat="1" ht="30">
      <c r="A1359" s="60"/>
      <c r="B1359" s="52" t="s">
        <v>827</v>
      </c>
      <c r="C1359" s="45" t="s">
        <v>1242</v>
      </c>
      <c r="D1359" s="46" t="s">
        <v>10</v>
      </c>
      <c r="E1359" s="44">
        <v>1</v>
      </c>
      <c r="F1359" s="32">
        <v>61.76</v>
      </c>
      <c r="G1359" s="32">
        <f>TRUNC(E1359*F1359,2)</f>
        <v>61.76</v>
      </c>
      <c r="H1359" s="32"/>
      <c r="I1359" s="33"/>
      <c r="J1359" s="44">
        <v>1</v>
      </c>
    </row>
    <row r="1360" spans="1:10" s="34" customFormat="1" ht="30">
      <c r="A1360" s="60"/>
      <c r="B1360" s="52" t="s">
        <v>827</v>
      </c>
      <c r="C1360" s="45" t="s">
        <v>1243</v>
      </c>
      <c r="D1360" s="46" t="s">
        <v>10</v>
      </c>
      <c r="E1360" s="44">
        <v>1</v>
      </c>
      <c r="F1360" s="32">
        <v>25.2</v>
      </c>
      <c r="G1360" s="32">
        <f>TRUNC(E1360*F1360,2)</f>
        <v>25.2</v>
      </c>
      <c r="H1360" s="32"/>
      <c r="I1360" s="33"/>
      <c r="J1360" s="44">
        <v>1</v>
      </c>
    </row>
    <row r="1361" spans="1:10" s="34" customFormat="1" ht="15">
      <c r="A1361" s="60"/>
      <c r="B1361" s="43"/>
      <c r="C1361" s="45"/>
      <c r="D1361" s="46"/>
      <c r="E1361" s="44"/>
      <c r="F1361" s="32" t="s">
        <v>1228</v>
      </c>
      <c r="G1361" s="32">
        <f>G1360</f>
        <v>25.2</v>
      </c>
      <c r="H1361" s="32"/>
      <c r="I1361" s="33"/>
      <c r="J1361" s="44">
        <v>1</v>
      </c>
    </row>
    <row r="1362" spans="1:11" s="88" customFormat="1" ht="30">
      <c r="A1362" s="80" t="s">
        <v>1700</v>
      </c>
      <c r="B1362" s="81" t="s">
        <v>1244</v>
      </c>
      <c r="C1362" s="82" t="s">
        <v>1245</v>
      </c>
      <c r="D1362" s="83" t="s">
        <v>10</v>
      </c>
      <c r="E1362" s="84">
        <v>33</v>
      </c>
      <c r="F1362" s="85">
        <f>TRUNC(G1365,2)</f>
        <v>22.88</v>
      </c>
      <c r="G1362" s="86">
        <f>TRUNC(F1362*1.2977,2)</f>
        <v>29.69</v>
      </c>
      <c r="H1362" s="86">
        <f>TRUNC(F1362*E1362,2)</f>
        <v>755.04</v>
      </c>
      <c r="I1362" s="87">
        <f>TRUNC(E1362*G1362,2)</f>
        <v>979.77</v>
      </c>
      <c r="J1362" s="87"/>
      <c r="K1362" s="84"/>
    </row>
    <row r="1363" spans="1:11" s="34" customFormat="1" ht="15">
      <c r="A1363" s="30"/>
      <c r="B1363" s="43" t="s">
        <v>1246</v>
      </c>
      <c r="C1363" s="45" t="s">
        <v>1247</v>
      </c>
      <c r="D1363" s="46" t="s">
        <v>10</v>
      </c>
      <c r="E1363" s="44">
        <v>1</v>
      </c>
      <c r="F1363" s="31">
        <f>TRUNC(18.8,2)</f>
        <v>18.8</v>
      </c>
      <c r="G1363" s="32">
        <f>TRUNC(E1363*F1363,2)</f>
        <v>18.8</v>
      </c>
      <c r="H1363" s="32"/>
      <c r="I1363" s="33"/>
      <c r="J1363" s="33"/>
      <c r="K1363" s="44"/>
    </row>
    <row r="1364" spans="1:11" s="34" customFormat="1" ht="30">
      <c r="A1364" s="30"/>
      <c r="B1364" s="43" t="s">
        <v>93</v>
      </c>
      <c r="C1364" s="45" t="s">
        <v>94</v>
      </c>
      <c r="D1364" s="46" t="s">
        <v>4</v>
      </c>
      <c r="E1364" s="44">
        <v>0.20600000000000002</v>
      </c>
      <c r="F1364" s="31">
        <f>TRUNC(19.81,2)</f>
        <v>19.81</v>
      </c>
      <c r="G1364" s="32">
        <f>TRUNC(E1364*F1364,2)</f>
        <v>4.08</v>
      </c>
      <c r="H1364" s="32"/>
      <c r="I1364" s="33"/>
      <c r="J1364" s="33"/>
      <c r="K1364" s="44"/>
    </row>
    <row r="1365" spans="1:11" s="34" customFormat="1" ht="15">
      <c r="A1365" s="30"/>
      <c r="B1365" s="43"/>
      <c r="C1365" s="45"/>
      <c r="D1365" s="46"/>
      <c r="E1365" s="44" t="s">
        <v>5</v>
      </c>
      <c r="F1365" s="31"/>
      <c r="G1365" s="32">
        <f>TRUNC(SUM(G1363:G1364),2)</f>
        <v>22.88</v>
      </c>
      <c r="H1365" s="32"/>
      <c r="I1365" s="33"/>
      <c r="J1365" s="33"/>
      <c r="K1365" s="44"/>
    </row>
    <row r="1366" spans="1:11" s="88" customFormat="1" ht="30">
      <c r="A1366" s="80" t="s">
        <v>1701</v>
      </c>
      <c r="B1366" s="81" t="s">
        <v>1248</v>
      </c>
      <c r="C1366" s="82" t="s">
        <v>1249</v>
      </c>
      <c r="D1366" s="83" t="s">
        <v>10</v>
      </c>
      <c r="E1366" s="84">
        <v>3</v>
      </c>
      <c r="F1366" s="85">
        <f>TRUNC(G1369,2)</f>
        <v>15.48</v>
      </c>
      <c r="G1366" s="86">
        <f>TRUNC(F1366*1.2977,2)</f>
        <v>20.08</v>
      </c>
      <c r="H1366" s="86">
        <f>TRUNC(F1366*E1366,2)</f>
        <v>46.44</v>
      </c>
      <c r="I1366" s="87">
        <f>TRUNC(E1366*G1366,2)</f>
        <v>60.24</v>
      </c>
      <c r="J1366" s="87"/>
      <c r="K1366" s="84"/>
    </row>
    <row r="1367" spans="1:11" s="34" customFormat="1" ht="15">
      <c r="A1367" s="30"/>
      <c r="B1367" s="43" t="s">
        <v>1250</v>
      </c>
      <c r="C1367" s="45" t="s">
        <v>1251</v>
      </c>
      <c r="D1367" s="46" t="s">
        <v>10</v>
      </c>
      <c r="E1367" s="44">
        <v>1</v>
      </c>
      <c r="F1367" s="31">
        <f>TRUNC(11.4,2)</f>
        <v>11.4</v>
      </c>
      <c r="G1367" s="32">
        <f>TRUNC(E1367*F1367,2)</f>
        <v>11.4</v>
      </c>
      <c r="H1367" s="32"/>
      <c r="I1367" s="33"/>
      <c r="J1367" s="33"/>
      <c r="K1367" s="44"/>
    </row>
    <row r="1368" spans="1:11" s="34" customFormat="1" ht="30">
      <c r="A1368" s="30"/>
      <c r="B1368" s="43" t="s">
        <v>93</v>
      </c>
      <c r="C1368" s="45" t="s">
        <v>94</v>
      </c>
      <c r="D1368" s="46" t="s">
        <v>4</v>
      </c>
      <c r="E1368" s="44">
        <v>0.20600000000000002</v>
      </c>
      <c r="F1368" s="31">
        <f>TRUNC(19.81,2)</f>
        <v>19.81</v>
      </c>
      <c r="G1368" s="32">
        <f>TRUNC(E1368*F1368,2)</f>
        <v>4.08</v>
      </c>
      <c r="H1368" s="32"/>
      <c r="I1368" s="33"/>
      <c r="J1368" s="33"/>
      <c r="K1368" s="44"/>
    </row>
    <row r="1369" spans="1:11" s="34" customFormat="1" ht="15">
      <c r="A1369" s="30"/>
      <c r="B1369" s="43"/>
      <c r="C1369" s="45"/>
      <c r="D1369" s="46"/>
      <c r="E1369" s="44" t="s">
        <v>5</v>
      </c>
      <c r="F1369" s="31"/>
      <c r="G1369" s="32">
        <f>TRUNC(SUM(G1367:G1368),2)</f>
        <v>15.48</v>
      </c>
      <c r="H1369" s="32"/>
      <c r="I1369" s="33"/>
      <c r="J1369" s="33"/>
      <c r="K1369" s="44"/>
    </row>
    <row r="1370" spans="1:11" s="88" customFormat="1" ht="90">
      <c r="A1370" s="80" t="s">
        <v>1702</v>
      </c>
      <c r="B1370" s="81" t="s">
        <v>1252</v>
      </c>
      <c r="C1370" s="82" t="s">
        <v>1253</v>
      </c>
      <c r="D1370" s="83" t="s">
        <v>10</v>
      </c>
      <c r="E1370" s="84">
        <v>4</v>
      </c>
      <c r="F1370" s="85">
        <f>TRUNC(G1381,2)</f>
        <v>202.16</v>
      </c>
      <c r="G1370" s="86">
        <f>TRUNC(F1370*1.2977,2)</f>
        <v>262.34</v>
      </c>
      <c r="H1370" s="86">
        <f>TRUNC(F1370*E1370,2)</f>
        <v>808.64</v>
      </c>
      <c r="I1370" s="87">
        <f>TRUNC(E1370*G1370,2)</f>
        <v>1049.36</v>
      </c>
      <c r="J1370" s="87"/>
      <c r="K1370" s="84"/>
    </row>
    <row r="1371" spans="1:11" s="34" customFormat="1" ht="15">
      <c r="A1371" s="30"/>
      <c r="B1371" s="43" t="s">
        <v>1254</v>
      </c>
      <c r="C1371" s="45" t="s">
        <v>1255</v>
      </c>
      <c r="D1371" s="46" t="s">
        <v>3</v>
      </c>
      <c r="E1371" s="44">
        <v>3.78</v>
      </c>
      <c r="F1371" s="31">
        <f>TRUNC(9.8,2)</f>
        <v>9.8</v>
      </c>
      <c r="G1371" s="32">
        <f aca="true" t="shared" si="53" ref="G1371:G1380">TRUNC(E1371*F1371,2)</f>
        <v>37.04</v>
      </c>
      <c r="H1371" s="32"/>
      <c r="I1371" s="33"/>
      <c r="J1371" s="33"/>
      <c r="K1371" s="44"/>
    </row>
    <row r="1372" spans="1:11" s="34" customFormat="1" ht="15">
      <c r="A1372" s="30"/>
      <c r="B1372" s="43" t="s">
        <v>1256</v>
      </c>
      <c r="C1372" s="45" t="s">
        <v>1257</v>
      </c>
      <c r="D1372" s="46" t="s">
        <v>3</v>
      </c>
      <c r="E1372" s="44">
        <v>0.113</v>
      </c>
      <c r="F1372" s="31">
        <f>TRUNC(11.9,2)</f>
        <v>11.9</v>
      </c>
      <c r="G1372" s="32">
        <f t="shared" si="53"/>
        <v>1.34</v>
      </c>
      <c r="H1372" s="32"/>
      <c r="I1372" s="33"/>
      <c r="J1372" s="33"/>
      <c r="K1372" s="44"/>
    </row>
    <row r="1373" spans="1:11" s="34" customFormat="1" ht="30">
      <c r="A1373" s="30"/>
      <c r="B1373" s="43" t="s">
        <v>26</v>
      </c>
      <c r="C1373" s="45" t="s">
        <v>27</v>
      </c>
      <c r="D1373" s="46" t="s">
        <v>4</v>
      </c>
      <c r="E1373" s="44">
        <v>0.9476000000000001</v>
      </c>
      <c r="F1373" s="31">
        <f>TRUNC(14.34,2)</f>
        <v>14.34</v>
      </c>
      <c r="G1373" s="32">
        <f t="shared" si="53"/>
        <v>13.58</v>
      </c>
      <c r="H1373" s="32"/>
      <c r="I1373" s="33"/>
      <c r="J1373" s="33"/>
      <c r="K1373" s="44"/>
    </row>
    <row r="1374" spans="1:11" s="34" customFormat="1" ht="15">
      <c r="A1374" s="30"/>
      <c r="B1374" s="43" t="s">
        <v>239</v>
      </c>
      <c r="C1374" s="45" t="s">
        <v>240</v>
      </c>
      <c r="D1374" s="46" t="s">
        <v>4</v>
      </c>
      <c r="E1374" s="44">
        <v>0.9476000000000001</v>
      </c>
      <c r="F1374" s="31">
        <f>TRUNC(19.81,2)</f>
        <v>19.81</v>
      </c>
      <c r="G1374" s="32">
        <f t="shared" si="53"/>
        <v>18.77</v>
      </c>
      <c r="H1374" s="32"/>
      <c r="I1374" s="33"/>
      <c r="J1374" s="33"/>
      <c r="K1374" s="44"/>
    </row>
    <row r="1375" spans="1:11" s="34" customFormat="1" ht="30">
      <c r="A1375" s="30"/>
      <c r="B1375" s="43" t="s">
        <v>334</v>
      </c>
      <c r="C1375" s="45" t="s">
        <v>335</v>
      </c>
      <c r="D1375" s="46" t="s">
        <v>4</v>
      </c>
      <c r="E1375" s="44">
        <v>0.20600000000000002</v>
      </c>
      <c r="F1375" s="31">
        <f>TRUNC(19.81,2)</f>
        <v>19.81</v>
      </c>
      <c r="G1375" s="32">
        <f t="shared" si="53"/>
        <v>4.08</v>
      </c>
      <c r="H1375" s="32"/>
      <c r="I1375" s="33"/>
      <c r="J1375" s="33"/>
      <c r="K1375" s="44"/>
    </row>
    <row r="1376" spans="1:11" s="34" customFormat="1" ht="15">
      <c r="A1376" s="30"/>
      <c r="B1376" s="43" t="s">
        <v>1258</v>
      </c>
      <c r="C1376" s="45" t="s">
        <v>1259</v>
      </c>
      <c r="D1376" s="46" t="s">
        <v>0</v>
      </c>
      <c r="E1376" s="44">
        <v>0.95</v>
      </c>
      <c r="F1376" s="31">
        <f>TRUNC(25.1759,2)</f>
        <v>25.17</v>
      </c>
      <c r="G1376" s="32">
        <f t="shared" si="53"/>
        <v>23.91</v>
      </c>
      <c r="H1376" s="32"/>
      <c r="I1376" s="33"/>
      <c r="J1376" s="33"/>
      <c r="K1376" s="44"/>
    </row>
    <row r="1377" spans="1:11" s="34" customFormat="1" ht="15">
      <c r="A1377" s="30"/>
      <c r="B1377" s="43" t="s">
        <v>1260</v>
      </c>
      <c r="C1377" s="45" t="s">
        <v>1261</v>
      </c>
      <c r="D1377" s="46" t="s">
        <v>0</v>
      </c>
      <c r="E1377" s="44">
        <v>1.15</v>
      </c>
      <c r="F1377" s="31">
        <f>TRUNC(68.4183,2)</f>
        <v>68.41</v>
      </c>
      <c r="G1377" s="32">
        <f t="shared" si="53"/>
        <v>78.67</v>
      </c>
      <c r="H1377" s="32"/>
      <c r="I1377" s="33"/>
      <c r="J1377" s="33"/>
      <c r="K1377" s="44"/>
    </row>
    <row r="1378" spans="1:11" s="34" customFormat="1" ht="15">
      <c r="A1378" s="30"/>
      <c r="B1378" s="43" t="s">
        <v>600</v>
      </c>
      <c r="C1378" s="45" t="s">
        <v>601</v>
      </c>
      <c r="D1378" s="46" t="s">
        <v>0</v>
      </c>
      <c r="E1378" s="44">
        <v>0.14</v>
      </c>
      <c r="F1378" s="31">
        <f>TRUNC(63.1912,2)</f>
        <v>63.19</v>
      </c>
      <c r="G1378" s="32">
        <f t="shared" si="53"/>
        <v>8.84</v>
      </c>
      <c r="H1378" s="32"/>
      <c r="I1378" s="33"/>
      <c r="J1378" s="33"/>
      <c r="K1378" s="44"/>
    </row>
    <row r="1379" spans="1:11" s="34" customFormat="1" ht="15">
      <c r="A1379" s="30"/>
      <c r="B1379" s="43" t="s">
        <v>215</v>
      </c>
      <c r="C1379" s="45" t="s">
        <v>216</v>
      </c>
      <c r="D1379" s="46" t="s">
        <v>1</v>
      </c>
      <c r="E1379" s="44">
        <v>0.022</v>
      </c>
      <c r="F1379" s="31">
        <f>TRUNC(277.3833,2)</f>
        <v>277.38</v>
      </c>
      <c r="G1379" s="32">
        <f t="shared" si="53"/>
        <v>6.1</v>
      </c>
      <c r="H1379" s="32"/>
      <c r="I1379" s="33"/>
      <c r="J1379" s="33"/>
      <c r="K1379" s="44"/>
    </row>
    <row r="1380" spans="1:11" s="34" customFormat="1" ht="15">
      <c r="A1380" s="30"/>
      <c r="B1380" s="43" t="s">
        <v>213</v>
      </c>
      <c r="C1380" s="45" t="s">
        <v>214</v>
      </c>
      <c r="D1380" s="46" t="s">
        <v>1</v>
      </c>
      <c r="E1380" s="44">
        <v>0.038</v>
      </c>
      <c r="F1380" s="31">
        <f>TRUNC(258.9348,2)</f>
        <v>258.93</v>
      </c>
      <c r="G1380" s="32">
        <f t="shared" si="53"/>
        <v>9.83</v>
      </c>
      <c r="H1380" s="32"/>
      <c r="I1380" s="33"/>
      <c r="J1380" s="33"/>
      <c r="K1380" s="44"/>
    </row>
    <row r="1381" spans="1:11" s="34" customFormat="1" ht="15">
      <c r="A1381" s="30"/>
      <c r="B1381" s="43"/>
      <c r="C1381" s="45"/>
      <c r="D1381" s="46"/>
      <c r="E1381" s="44" t="s">
        <v>5</v>
      </c>
      <c r="F1381" s="31"/>
      <c r="G1381" s="32">
        <f>TRUNC(SUM(G1371:G1380),2)</f>
        <v>202.16</v>
      </c>
      <c r="H1381" s="32"/>
      <c r="I1381" s="33"/>
      <c r="J1381" s="33"/>
      <c r="K1381" s="44"/>
    </row>
    <row r="1382" spans="1:11" s="88" customFormat="1" ht="75">
      <c r="A1382" s="80" t="s">
        <v>1703</v>
      </c>
      <c r="B1382" s="81" t="s">
        <v>1262</v>
      </c>
      <c r="C1382" s="82" t="s">
        <v>1263</v>
      </c>
      <c r="D1382" s="83" t="s">
        <v>10</v>
      </c>
      <c r="E1382" s="84">
        <v>4</v>
      </c>
      <c r="F1382" s="85">
        <f>TRUNC(G1387,2)</f>
        <v>199.12</v>
      </c>
      <c r="G1382" s="86">
        <f>TRUNC(F1382*1.2977,2)</f>
        <v>258.39</v>
      </c>
      <c r="H1382" s="86">
        <f>TRUNC(F1382*E1382,2)</f>
        <v>796.48</v>
      </c>
      <c r="I1382" s="87">
        <f>TRUNC(E1382*G1382,2)</f>
        <v>1033.56</v>
      </c>
      <c r="J1382" s="87"/>
      <c r="K1382" s="84"/>
    </row>
    <row r="1383" spans="1:11" s="34" customFormat="1" ht="15">
      <c r="A1383" s="30"/>
      <c r="B1383" s="43" t="s">
        <v>1264</v>
      </c>
      <c r="C1383" s="45" t="s">
        <v>1265</v>
      </c>
      <c r="D1383" s="46" t="s">
        <v>10</v>
      </c>
      <c r="E1383" s="44">
        <v>1</v>
      </c>
      <c r="F1383" s="31">
        <f>TRUNC(144.6735,2)</f>
        <v>144.67</v>
      </c>
      <c r="G1383" s="32">
        <f>TRUNC(E1383*F1383,2)</f>
        <v>144.67</v>
      </c>
      <c r="H1383" s="32"/>
      <c r="I1383" s="33"/>
      <c r="J1383" s="33"/>
      <c r="K1383" s="44"/>
    </row>
    <row r="1384" spans="1:11" s="34" customFormat="1" ht="30">
      <c r="A1384" s="30"/>
      <c r="B1384" s="43" t="s">
        <v>26</v>
      </c>
      <c r="C1384" s="45" t="s">
        <v>27</v>
      </c>
      <c r="D1384" s="46" t="s">
        <v>4</v>
      </c>
      <c r="E1384" s="44">
        <v>1.545</v>
      </c>
      <c r="F1384" s="31">
        <f>TRUNC(14.34,2)</f>
        <v>14.34</v>
      </c>
      <c r="G1384" s="32">
        <f>TRUNC(E1384*F1384,2)</f>
        <v>22.15</v>
      </c>
      <c r="H1384" s="32"/>
      <c r="I1384" s="33"/>
      <c r="J1384" s="33"/>
      <c r="K1384" s="44"/>
    </row>
    <row r="1385" spans="1:11" s="34" customFormat="1" ht="15">
      <c r="A1385" s="30"/>
      <c r="B1385" s="43" t="s">
        <v>239</v>
      </c>
      <c r="C1385" s="45" t="s">
        <v>240</v>
      </c>
      <c r="D1385" s="46" t="s">
        <v>4</v>
      </c>
      <c r="E1385" s="44">
        <v>1.545</v>
      </c>
      <c r="F1385" s="31">
        <f>TRUNC(19.81,2)</f>
        <v>19.81</v>
      </c>
      <c r="G1385" s="32">
        <f>TRUNC(E1385*F1385,2)</f>
        <v>30.6</v>
      </c>
      <c r="H1385" s="32"/>
      <c r="I1385" s="33"/>
      <c r="J1385" s="33"/>
      <c r="K1385" s="44"/>
    </row>
    <row r="1386" spans="1:11" s="34" customFormat="1" ht="15">
      <c r="A1386" s="30"/>
      <c r="B1386" s="43" t="s">
        <v>602</v>
      </c>
      <c r="C1386" s="45" t="s">
        <v>603</v>
      </c>
      <c r="D1386" s="46" t="s">
        <v>1</v>
      </c>
      <c r="E1386" s="44">
        <v>0.005</v>
      </c>
      <c r="F1386" s="31">
        <f>TRUNC(340.5402,2)</f>
        <v>340.54</v>
      </c>
      <c r="G1386" s="32">
        <f>TRUNC(E1386*F1386,2)</f>
        <v>1.7</v>
      </c>
      <c r="H1386" s="32"/>
      <c r="I1386" s="33"/>
      <c r="J1386" s="33"/>
      <c r="K1386" s="44"/>
    </row>
    <row r="1387" spans="1:11" s="34" customFormat="1" ht="15">
      <c r="A1387" s="30"/>
      <c r="B1387" s="43"/>
      <c r="C1387" s="45"/>
      <c r="D1387" s="46"/>
      <c r="E1387" s="44" t="s">
        <v>5</v>
      </c>
      <c r="F1387" s="31"/>
      <c r="G1387" s="32">
        <f>TRUNC(SUM(G1383:G1386),2)</f>
        <v>199.12</v>
      </c>
      <c r="H1387" s="32"/>
      <c r="I1387" s="33"/>
      <c r="J1387" s="33"/>
      <c r="K1387" s="44"/>
    </row>
    <row r="1388" spans="1:11" s="88" customFormat="1" ht="45">
      <c r="A1388" s="80" t="s">
        <v>1704</v>
      </c>
      <c r="B1388" s="81" t="s">
        <v>1568</v>
      </c>
      <c r="C1388" s="82" t="s">
        <v>1569</v>
      </c>
      <c r="D1388" s="83" t="s">
        <v>10</v>
      </c>
      <c r="E1388" s="84">
        <v>2</v>
      </c>
      <c r="F1388" s="85">
        <f>TRUNC(53.56301,2)</f>
        <v>53.56</v>
      </c>
      <c r="G1388" s="86">
        <f>TRUNC(F1388*1.2977,2)</f>
        <v>69.5</v>
      </c>
      <c r="H1388" s="86">
        <f>TRUNC(F1388*E1388,2)</f>
        <v>107.12</v>
      </c>
      <c r="I1388" s="87">
        <f>TRUNC(E1388*G1388,2)</f>
        <v>139</v>
      </c>
      <c r="J1388" s="87"/>
      <c r="K1388" s="84"/>
    </row>
    <row r="1389" spans="1:11" s="34" customFormat="1" ht="15">
      <c r="A1389" s="30"/>
      <c r="B1389" s="43" t="s">
        <v>1570</v>
      </c>
      <c r="C1389" s="45" t="s">
        <v>1571</v>
      </c>
      <c r="D1389" s="46" t="s">
        <v>10</v>
      </c>
      <c r="E1389" s="44">
        <v>1</v>
      </c>
      <c r="F1389" s="31">
        <f>TRUNC(39.28,2)</f>
        <v>39.28</v>
      </c>
      <c r="G1389" s="32">
        <f>TRUNC(E1389*F1389,2)</f>
        <v>39.28</v>
      </c>
      <c r="H1389" s="32"/>
      <c r="I1389" s="33"/>
      <c r="J1389" s="33"/>
      <c r="K1389" s="44"/>
    </row>
    <row r="1390" spans="1:11" s="34" customFormat="1" ht="30">
      <c r="A1390" s="30"/>
      <c r="B1390" s="43" t="s">
        <v>93</v>
      </c>
      <c r="C1390" s="45" t="s">
        <v>94</v>
      </c>
      <c r="D1390" s="46" t="s">
        <v>4</v>
      </c>
      <c r="E1390" s="44">
        <v>0.721</v>
      </c>
      <c r="F1390" s="31">
        <f>TRUNC(19.81,2)</f>
        <v>19.81</v>
      </c>
      <c r="G1390" s="32">
        <f>TRUNC(E1390*F1390,2)</f>
        <v>14.28</v>
      </c>
      <c r="H1390" s="32"/>
      <c r="I1390" s="33"/>
      <c r="J1390" s="33"/>
      <c r="K1390" s="44"/>
    </row>
    <row r="1391" spans="1:11" s="34" customFormat="1" ht="15">
      <c r="A1391" s="30"/>
      <c r="B1391" s="43"/>
      <c r="C1391" s="45"/>
      <c r="D1391" s="46"/>
      <c r="E1391" s="44" t="s">
        <v>5</v>
      </c>
      <c r="F1391" s="31"/>
      <c r="G1391" s="32">
        <f>TRUNC(SUM(G1389:G1390),2)</f>
        <v>53.56</v>
      </c>
      <c r="H1391" s="32"/>
      <c r="I1391" s="33"/>
      <c r="J1391" s="33"/>
      <c r="K1391" s="44"/>
    </row>
    <row r="1392" spans="1:11" s="88" customFormat="1" ht="45">
      <c r="A1392" s="80" t="s">
        <v>1705</v>
      </c>
      <c r="B1392" s="81" t="s">
        <v>1266</v>
      </c>
      <c r="C1392" s="82" t="s">
        <v>1267</v>
      </c>
      <c r="D1392" s="83" t="s">
        <v>10</v>
      </c>
      <c r="E1392" s="84">
        <v>22</v>
      </c>
      <c r="F1392" s="85">
        <f>TRUNC(G1395,2)</f>
        <v>15.94</v>
      </c>
      <c r="G1392" s="86">
        <f>TRUNC(F1392*1.2977,2)</f>
        <v>20.68</v>
      </c>
      <c r="H1392" s="86">
        <f>TRUNC(F1392*E1392,2)</f>
        <v>350.68</v>
      </c>
      <c r="I1392" s="87">
        <f>TRUNC(E1392*G1392,2)</f>
        <v>454.96</v>
      </c>
      <c r="J1392" s="87"/>
      <c r="K1392" s="84"/>
    </row>
    <row r="1393" spans="1:11" s="34" customFormat="1" ht="15">
      <c r="A1393" s="30"/>
      <c r="B1393" s="43" t="s">
        <v>1268</v>
      </c>
      <c r="C1393" s="45" t="s">
        <v>1269</v>
      </c>
      <c r="D1393" s="46" t="s">
        <v>10</v>
      </c>
      <c r="E1393" s="44">
        <v>1</v>
      </c>
      <c r="F1393" s="31">
        <f>TRUNC(1.66,2)</f>
        <v>1.66</v>
      </c>
      <c r="G1393" s="32">
        <f>TRUNC(E1393*F1393,2)</f>
        <v>1.66</v>
      </c>
      <c r="H1393" s="32"/>
      <c r="I1393" s="33"/>
      <c r="J1393" s="33"/>
      <c r="K1393" s="44"/>
    </row>
    <row r="1394" spans="1:11" s="34" customFormat="1" ht="30">
      <c r="A1394" s="30"/>
      <c r="B1394" s="43" t="s">
        <v>93</v>
      </c>
      <c r="C1394" s="45" t="s">
        <v>94</v>
      </c>
      <c r="D1394" s="46" t="s">
        <v>4</v>
      </c>
      <c r="E1394" s="44">
        <v>0.721</v>
      </c>
      <c r="F1394" s="31">
        <f>TRUNC(19.81,2)</f>
        <v>19.81</v>
      </c>
      <c r="G1394" s="32">
        <f>TRUNC(E1394*F1394,2)</f>
        <v>14.28</v>
      </c>
      <c r="H1394" s="32"/>
      <c r="I1394" s="33"/>
      <c r="J1394" s="33"/>
      <c r="K1394" s="44"/>
    </row>
    <row r="1395" spans="1:11" s="34" customFormat="1" ht="15">
      <c r="A1395" s="30"/>
      <c r="B1395" s="43"/>
      <c r="C1395" s="45"/>
      <c r="D1395" s="46"/>
      <c r="E1395" s="44" t="s">
        <v>5</v>
      </c>
      <c r="F1395" s="31"/>
      <c r="G1395" s="32">
        <f>TRUNC(SUM(G1393:G1394),2)</f>
        <v>15.94</v>
      </c>
      <c r="H1395" s="32"/>
      <c r="I1395" s="33"/>
      <c r="J1395" s="33"/>
      <c r="K1395" s="44"/>
    </row>
    <row r="1396" spans="1:11" s="88" customFormat="1" ht="45">
      <c r="A1396" s="80" t="s">
        <v>1706</v>
      </c>
      <c r="B1396" s="81" t="s">
        <v>1270</v>
      </c>
      <c r="C1396" s="82" t="s">
        <v>1271</v>
      </c>
      <c r="D1396" s="83" t="s">
        <v>10</v>
      </c>
      <c r="E1396" s="84">
        <v>1</v>
      </c>
      <c r="F1396" s="85">
        <f>TRUNC(G1401,2)</f>
        <v>89.72</v>
      </c>
      <c r="G1396" s="86">
        <f>TRUNC(F1396*1.2977,2)</f>
        <v>116.42</v>
      </c>
      <c r="H1396" s="86">
        <f>TRUNC(F1396*E1396,2)</f>
        <v>89.72</v>
      </c>
      <c r="I1396" s="87">
        <f>TRUNC(E1396*G1396,2)</f>
        <v>116.42</v>
      </c>
      <c r="J1396" s="87"/>
      <c r="K1396" s="84"/>
    </row>
    <row r="1397" spans="1:11" s="34" customFormat="1" ht="30">
      <c r="A1397" s="30"/>
      <c r="B1397" s="43" t="s">
        <v>1272</v>
      </c>
      <c r="C1397" s="45" t="s">
        <v>1273</v>
      </c>
      <c r="D1397" s="46" t="s">
        <v>10</v>
      </c>
      <c r="E1397" s="44">
        <v>1</v>
      </c>
      <c r="F1397" s="31">
        <f>TRUNC(45.19,2)</f>
        <v>45.19</v>
      </c>
      <c r="G1397" s="32">
        <f>TRUNC(E1397*F1397,2)</f>
        <v>45.19</v>
      </c>
      <c r="H1397" s="32"/>
      <c r="I1397" s="33"/>
      <c r="J1397" s="33"/>
      <c r="K1397" s="44"/>
    </row>
    <row r="1398" spans="1:11" s="34" customFormat="1" ht="15">
      <c r="A1398" s="30"/>
      <c r="B1398" s="43" t="s">
        <v>480</v>
      </c>
      <c r="C1398" s="45" t="s">
        <v>481</v>
      </c>
      <c r="D1398" s="46" t="s">
        <v>4</v>
      </c>
      <c r="E1398" s="44">
        <v>0.88</v>
      </c>
      <c r="F1398" s="31">
        <f>TRUNC(26.87,2)</f>
        <v>26.87</v>
      </c>
      <c r="G1398" s="32">
        <f>TRUNC(E1398*F1398,2)</f>
        <v>23.64</v>
      </c>
      <c r="H1398" s="32"/>
      <c r="I1398" s="33"/>
      <c r="J1398" s="33"/>
      <c r="K1398" s="44"/>
    </row>
    <row r="1399" spans="1:11" s="34" customFormat="1" ht="15">
      <c r="A1399" s="30"/>
      <c r="B1399" s="43" t="s">
        <v>482</v>
      </c>
      <c r="C1399" s="45" t="s">
        <v>483</v>
      </c>
      <c r="D1399" s="46" t="s">
        <v>4</v>
      </c>
      <c r="E1399" s="44">
        <v>0.88</v>
      </c>
      <c r="F1399" s="31">
        <f>TRUNC(21,2)</f>
        <v>21</v>
      </c>
      <c r="G1399" s="32">
        <f>TRUNC(E1399*F1399,2)</f>
        <v>18.48</v>
      </c>
      <c r="H1399" s="32"/>
      <c r="I1399" s="33"/>
      <c r="J1399" s="33"/>
      <c r="K1399" s="44"/>
    </row>
    <row r="1400" spans="1:11" s="34" customFormat="1" ht="45">
      <c r="A1400" s="30"/>
      <c r="B1400" s="43" t="s">
        <v>484</v>
      </c>
      <c r="C1400" s="45" t="s">
        <v>485</v>
      </c>
      <c r="D1400" s="46" t="s">
        <v>1</v>
      </c>
      <c r="E1400" s="44">
        <v>0.0043</v>
      </c>
      <c r="F1400" s="31">
        <f>TRUNC(561.35,2)</f>
        <v>561.35</v>
      </c>
      <c r="G1400" s="32">
        <f>TRUNC(E1400*F1400,2)</f>
        <v>2.41</v>
      </c>
      <c r="H1400" s="32"/>
      <c r="I1400" s="33"/>
      <c r="J1400" s="33"/>
      <c r="K1400" s="44"/>
    </row>
    <row r="1401" spans="1:11" s="34" customFormat="1" ht="15">
      <c r="A1401" s="30"/>
      <c r="B1401" s="43"/>
      <c r="C1401" s="45"/>
      <c r="D1401" s="46"/>
      <c r="E1401" s="44" t="s">
        <v>5</v>
      </c>
      <c r="F1401" s="31"/>
      <c r="G1401" s="32">
        <f>TRUNC(SUM(G1397:G1400),2)</f>
        <v>89.72</v>
      </c>
      <c r="H1401" s="32"/>
      <c r="I1401" s="33"/>
      <c r="J1401" s="33"/>
      <c r="K1401" s="44"/>
    </row>
    <row r="1402" spans="1:11" s="88" customFormat="1" ht="60">
      <c r="A1402" s="80" t="s">
        <v>1707</v>
      </c>
      <c r="B1402" s="81" t="s">
        <v>1274</v>
      </c>
      <c r="C1402" s="82" t="s">
        <v>1275</v>
      </c>
      <c r="D1402" s="83" t="s">
        <v>2</v>
      </c>
      <c r="E1402" s="84">
        <v>72</v>
      </c>
      <c r="F1402" s="85">
        <f>TRUNC(G1406,2)</f>
        <v>20.53</v>
      </c>
      <c r="G1402" s="86">
        <f>TRUNC(F1402*1.2977,2)</f>
        <v>26.64</v>
      </c>
      <c r="H1402" s="86">
        <f>TRUNC(F1402*E1402,2)</f>
        <v>1478.16</v>
      </c>
      <c r="I1402" s="87">
        <f>TRUNC(E1402*G1402,2)</f>
        <v>1918.08</v>
      </c>
      <c r="J1402" s="87"/>
      <c r="K1402" s="84"/>
    </row>
    <row r="1403" spans="1:11" s="34" customFormat="1" ht="30">
      <c r="A1403" s="30"/>
      <c r="B1403" s="43" t="s">
        <v>1276</v>
      </c>
      <c r="C1403" s="45" t="s">
        <v>1277</v>
      </c>
      <c r="D1403" s="46" t="s">
        <v>10</v>
      </c>
      <c r="E1403" s="44">
        <v>0.385</v>
      </c>
      <c r="F1403" s="31">
        <f>TRUNC(38.73,2)</f>
        <v>38.73</v>
      </c>
      <c r="G1403" s="32">
        <f>TRUNC(E1403*F1403,2)</f>
        <v>14.91</v>
      </c>
      <c r="H1403" s="32"/>
      <c r="I1403" s="33"/>
      <c r="J1403" s="33"/>
      <c r="K1403" s="44"/>
    </row>
    <row r="1404" spans="1:11" s="34" customFormat="1" ht="30">
      <c r="A1404" s="30"/>
      <c r="B1404" s="43" t="s">
        <v>26</v>
      </c>
      <c r="C1404" s="45" t="s">
        <v>27</v>
      </c>
      <c r="D1404" s="46" t="s">
        <v>4</v>
      </c>
      <c r="E1404" s="44">
        <v>0.1648</v>
      </c>
      <c r="F1404" s="31">
        <f>TRUNC(14.34,2)</f>
        <v>14.34</v>
      </c>
      <c r="G1404" s="32">
        <f>TRUNC(E1404*F1404,2)</f>
        <v>2.36</v>
      </c>
      <c r="H1404" s="32"/>
      <c r="I1404" s="33"/>
      <c r="J1404" s="33"/>
      <c r="K1404" s="44"/>
    </row>
    <row r="1405" spans="1:11" s="34" customFormat="1" ht="30">
      <c r="A1405" s="30"/>
      <c r="B1405" s="43" t="s">
        <v>93</v>
      </c>
      <c r="C1405" s="45" t="s">
        <v>94</v>
      </c>
      <c r="D1405" s="46" t="s">
        <v>4</v>
      </c>
      <c r="E1405" s="44">
        <v>0.1648</v>
      </c>
      <c r="F1405" s="31">
        <f>TRUNC(19.81,2)</f>
        <v>19.81</v>
      </c>
      <c r="G1405" s="32">
        <f>TRUNC(E1405*F1405,2)</f>
        <v>3.26</v>
      </c>
      <c r="H1405" s="32"/>
      <c r="I1405" s="33"/>
      <c r="J1405" s="33"/>
      <c r="K1405" s="44"/>
    </row>
    <row r="1406" spans="1:11" s="34" customFormat="1" ht="15">
      <c r="A1406" s="30"/>
      <c r="B1406" s="43"/>
      <c r="C1406" s="45"/>
      <c r="D1406" s="46"/>
      <c r="E1406" s="44" t="s">
        <v>5</v>
      </c>
      <c r="F1406" s="31"/>
      <c r="G1406" s="32">
        <f>TRUNC(SUM(G1403:G1405),2)</f>
        <v>20.53</v>
      </c>
      <c r="H1406" s="32"/>
      <c r="I1406" s="33"/>
      <c r="J1406" s="33"/>
      <c r="K1406" s="44"/>
    </row>
    <row r="1407" spans="1:11" s="88" customFormat="1" ht="60">
      <c r="A1407" s="80" t="s">
        <v>1708</v>
      </c>
      <c r="B1407" s="81" t="s">
        <v>1278</v>
      </c>
      <c r="C1407" s="82" t="s">
        <v>1279</v>
      </c>
      <c r="D1407" s="83" t="s">
        <v>2</v>
      </c>
      <c r="E1407" s="84">
        <v>45</v>
      </c>
      <c r="F1407" s="85">
        <f>TRUNC(G1417,2)</f>
        <v>72.3</v>
      </c>
      <c r="G1407" s="86">
        <f>TRUNC(F1407*1.2977,2)</f>
        <v>93.82</v>
      </c>
      <c r="H1407" s="86">
        <f>TRUNC(F1407*E1407,2)</f>
        <v>3253.5</v>
      </c>
      <c r="I1407" s="87">
        <f>TRUNC(E1407*G1407,2)</f>
        <v>4221.9</v>
      </c>
      <c r="J1407" s="87"/>
      <c r="K1407" s="84"/>
    </row>
    <row r="1408" spans="1:11" s="34" customFormat="1" ht="30">
      <c r="A1408" s="30"/>
      <c r="B1408" s="43" t="s">
        <v>1280</v>
      </c>
      <c r="C1408" s="45" t="s">
        <v>1281</v>
      </c>
      <c r="D1408" s="46" t="s">
        <v>10</v>
      </c>
      <c r="E1408" s="44">
        <v>0.7992</v>
      </c>
      <c r="F1408" s="31">
        <f>TRUNC(2.33,2)</f>
        <v>2.33</v>
      </c>
      <c r="G1408" s="32">
        <f aca="true" t="shared" si="54" ref="G1408:G1416">TRUNC(E1408*F1408,2)</f>
        <v>1.86</v>
      </c>
      <c r="H1408" s="32"/>
      <c r="I1408" s="33"/>
      <c r="J1408" s="33"/>
      <c r="K1408" s="44"/>
    </row>
    <row r="1409" spans="1:11" s="34" customFormat="1" ht="30">
      <c r="A1409" s="30"/>
      <c r="B1409" s="43" t="s">
        <v>1282</v>
      </c>
      <c r="C1409" s="45" t="s">
        <v>1283</v>
      </c>
      <c r="D1409" s="46" t="s">
        <v>10</v>
      </c>
      <c r="E1409" s="44">
        <v>0.396</v>
      </c>
      <c r="F1409" s="31">
        <f>TRUNC(54.3,2)</f>
        <v>54.3</v>
      </c>
      <c r="G1409" s="32">
        <f t="shared" si="54"/>
        <v>21.5</v>
      </c>
      <c r="H1409" s="32"/>
      <c r="I1409" s="33"/>
      <c r="J1409" s="33"/>
      <c r="K1409" s="44"/>
    </row>
    <row r="1410" spans="1:11" s="34" customFormat="1" ht="15">
      <c r="A1410" s="30"/>
      <c r="B1410" s="43" t="s">
        <v>1284</v>
      </c>
      <c r="C1410" s="45" t="s">
        <v>1285</v>
      </c>
      <c r="D1410" s="46" t="s">
        <v>10</v>
      </c>
      <c r="E1410" s="44">
        <v>3.192</v>
      </c>
      <c r="F1410" s="31">
        <f>TRUNC(0.08,2)</f>
        <v>0.08</v>
      </c>
      <c r="G1410" s="32">
        <f t="shared" si="54"/>
        <v>0.25</v>
      </c>
      <c r="H1410" s="32"/>
      <c r="I1410" s="33"/>
      <c r="J1410" s="33"/>
      <c r="K1410" s="44"/>
    </row>
    <row r="1411" spans="1:11" s="34" customFormat="1" ht="15">
      <c r="A1411" s="30"/>
      <c r="B1411" s="43" t="s">
        <v>1286</v>
      </c>
      <c r="C1411" s="45" t="s">
        <v>1287</v>
      </c>
      <c r="D1411" s="46" t="s">
        <v>10</v>
      </c>
      <c r="E1411" s="44">
        <v>1.596</v>
      </c>
      <c r="F1411" s="31">
        <f>TRUNC(1.55,2)</f>
        <v>1.55</v>
      </c>
      <c r="G1411" s="32">
        <f t="shared" si="54"/>
        <v>2.47</v>
      </c>
      <c r="H1411" s="32"/>
      <c r="I1411" s="33"/>
      <c r="J1411" s="33"/>
      <c r="K1411" s="44"/>
    </row>
    <row r="1412" spans="1:11" s="34" customFormat="1" ht="15">
      <c r="A1412" s="30"/>
      <c r="B1412" s="43" t="s">
        <v>1288</v>
      </c>
      <c r="C1412" s="45" t="s">
        <v>1289</v>
      </c>
      <c r="D1412" s="46" t="s">
        <v>10</v>
      </c>
      <c r="E1412" s="44">
        <v>0.7992</v>
      </c>
      <c r="F1412" s="31">
        <f>TRUNC(12.76,2)</f>
        <v>12.76</v>
      </c>
      <c r="G1412" s="32">
        <f t="shared" si="54"/>
        <v>10.19</v>
      </c>
      <c r="H1412" s="32"/>
      <c r="I1412" s="33"/>
      <c r="J1412" s="33"/>
      <c r="K1412" s="44"/>
    </row>
    <row r="1413" spans="1:11" s="34" customFormat="1" ht="15">
      <c r="A1413" s="30"/>
      <c r="B1413" s="43" t="s">
        <v>1290</v>
      </c>
      <c r="C1413" s="45" t="s">
        <v>1291</v>
      </c>
      <c r="D1413" s="46" t="s">
        <v>10</v>
      </c>
      <c r="E1413" s="44">
        <v>3.192</v>
      </c>
      <c r="F1413" s="31">
        <f>TRUNC(0.08,2)</f>
        <v>0.08</v>
      </c>
      <c r="G1413" s="32">
        <f t="shared" si="54"/>
        <v>0.25</v>
      </c>
      <c r="H1413" s="32"/>
      <c r="I1413" s="33"/>
      <c r="J1413" s="33"/>
      <c r="K1413" s="44"/>
    </row>
    <row r="1414" spans="1:11" s="34" customFormat="1" ht="15">
      <c r="A1414" s="30"/>
      <c r="B1414" s="43" t="s">
        <v>1292</v>
      </c>
      <c r="C1414" s="45" t="s">
        <v>1293</v>
      </c>
      <c r="D1414" s="46" t="s">
        <v>10</v>
      </c>
      <c r="E1414" s="44">
        <v>0.01596</v>
      </c>
      <c r="F1414" s="31">
        <f>TRUNC(38.8,2)</f>
        <v>38.8</v>
      </c>
      <c r="G1414" s="32">
        <f t="shared" si="54"/>
        <v>0.61</v>
      </c>
      <c r="H1414" s="32"/>
      <c r="I1414" s="33"/>
      <c r="J1414" s="33"/>
      <c r="K1414" s="44"/>
    </row>
    <row r="1415" spans="1:11" s="34" customFormat="1" ht="30">
      <c r="A1415" s="30"/>
      <c r="B1415" s="43" t="s">
        <v>26</v>
      </c>
      <c r="C1415" s="45" t="s">
        <v>27</v>
      </c>
      <c r="D1415" s="46" t="s">
        <v>4</v>
      </c>
      <c r="E1415" s="44">
        <v>1.03</v>
      </c>
      <c r="F1415" s="31">
        <f>TRUNC(14.34,2)</f>
        <v>14.34</v>
      </c>
      <c r="G1415" s="32">
        <f t="shared" si="54"/>
        <v>14.77</v>
      </c>
      <c r="H1415" s="32"/>
      <c r="I1415" s="33"/>
      <c r="J1415" s="33"/>
      <c r="K1415" s="44"/>
    </row>
    <row r="1416" spans="1:11" s="34" customFormat="1" ht="30">
      <c r="A1416" s="30"/>
      <c r="B1416" s="43" t="s">
        <v>93</v>
      </c>
      <c r="C1416" s="45" t="s">
        <v>94</v>
      </c>
      <c r="D1416" s="46" t="s">
        <v>4</v>
      </c>
      <c r="E1416" s="44">
        <v>1.03</v>
      </c>
      <c r="F1416" s="31">
        <f>TRUNC(19.81,2)</f>
        <v>19.81</v>
      </c>
      <c r="G1416" s="32">
        <f t="shared" si="54"/>
        <v>20.4</v>
      </c>
      <c r="H1416" s="32"/>
      <c r="I1416" s="33"/>
      <c r="J1416" s="33"/>
      <c r="K1416" s="44"/>
    </row>
    <row r="1417" spans="1:11" s="34" customFormat="1" ht="15">
      <c r="A1417" s="30"/>
      <c r="B1417" s="43"/>
      <c r="C1417" s="45"/>
      <c r="D1417" s="46"/>
      <c r="E1417" s="44" t="s">
        <v>5</v>
      </c>
      <c r="F1417" s="31"/>
      <c r="G1417" s="32">
        <f>TRUNC(SUM(G1408:G1416),2)</f>
        <v>72.3</v>
      </c>
      <c r="H1417" s="32"/>
      <c r="I1417" s="33"/>
      <c r="J1417" s="33"/>
      <c r="K1417" s="44"/>
    </row>
    <row r="1418" spans="1:11" s="88" customFormat="1" ht="75">
      <c r="A1418" s="80" t="s">
        <v>1709</v>
      </c>
      <c r="B1418" s="81" t="s">
        <v>1294</v>
      </c>
      <c r="C1418" s="82" t="s">
        <v>1295</v>
      </c>
      <c r="D1418" s="83" t="s">
        <v>10</v>
      </c>
      <c r="E1418" s="84">
        <v>3</v>
      </c>
      <c r="F1418" s="85">
        <f>TRUNC(1320.9716343,2)</f>
        <v>1320.97</v>
      </c>
      <c r="G1418" s="86">
        <f>TRUNC(F1418*1.2977,2)</f>
        <v>1714.22</v>
      </c>
      <c r="H1418" s="86">
        <f>TRUNC(F1418*E1418,2)</f>
        <v>3962.91</v>
      </c>
      <c r="I1418" s="87">
        <f>TRUNC(E1418*G1418,2)</f>
        <v>5142.66</v>
      </c>
      <c r="J1418" s="87"/>
      <c r="K1418" s="84"/>
    </row>
    <row r="1419" spans="1:11" s="34" customFormat="1" ht="30">
      <c r="A1419" s="30"/>
      <c r="B1419" s="43" t="s">
        <v>1296</v>
      </c>
      <c r="C1419" s="45" t="s">
        <v>1297</v>
      </c>
      <c r="D1419" s="46" t="s">
        <v>10</v>
      </c>
      <c r="E1419" s="44">
        <v>3.1500000000000004</v>
      </c>
      <c r="F1419" s="31">
        <f>TRUNC(6.56,2)</f>
        <v>6.56</v>
      </c>
      <c r="G1419" s="32">
        <f aca="true" t="shared" si="55" ref="G1419:G1429">TRUNC(E1419*F1419,2)</f>
        <v>20.66</v>
      </c>
      <c r="H1419" s="32"/>
      <c r="I1419" s="33"/>
      <c r="J1419" s="33"/>
      <c r="K1419" s="44"/>
    </row>
    <row r="1420" spans="1:11" s="34" customFormat="1" ht="15">
      <c r="A1420" s="30"/>
      <c r="B1420" s="43" t="s">
        <v>1298</v>
      </c>
      <c r="C1420" s="45" t="s">
        <v>1299</v>
      </c>
      <c r="D1420" s="46" t="s">
        <v>10</v>
      </c>
      <c r="E1420" s="44">
        <v>6.300000000000001</v>
      </c>
      <c r="F1420" s="31">
        <f>TRUNC(1.75,2)</f>
        <v>1.75</v>
      </c>
      <c r="G1420" s="32">
        <f t="shared" si="55"/>
        <v>11.02</v>
      </c>
      <c r="H1420" s="32"/>
      <c r="I1420" s="33"/>
      <c r="J1420" s="33"/>
      <c r="K1420" s="44"/>
    </row>
    <row r="1421" spans="1:11" s="34" customFormat="1" ht="30">
      <c r="A1421" s="30"/>
      <c r="B1421" s="43" t="s">
        <v>1185</v>
      </c>
      <c r="C1421" s="45" t="s">
        <v>1186</v>
      </c>
      <c r="D1421" s="46" t="s">
        <v>10</v>
      </c>
      <c r="E1421" s="44">
        <v>1.05</v>
      </c>
      <c r="F1421" s="31">
        <f>TRUNC(87.68,2)</f>
        <v>87.68</v>
      </c>
      <c r="G1421" s="32">
        <f t="shared" si="55"/>
        <v>92.06</v>
      </c>
      <c r="H1421" s="32"/>
      <c r="I1421" s="33"/>
      <c r="J1421" s="33"/>
      <c r="K1421" s="44"/>
    </row>
    <row r="1422" spans="1:11" s="34" customFormat="1" ht="15">
      <c r="A1422" s="30"/>
      <c r="B1422" s="43" t="s">
        <v>1300</v>
      </c>
      <c r="C1422" s="45" t="s">
        <v>1301</v>
      </c>
      <c r="D1422" s="46" t="s">
        <v>10</v>
      </c>
      <c r="E1422" s="44">
        <v>3.1500000000000004</v>
      </c>
      <c r="F1422" s="31">
        <f>TRUNC(49.14,2)</f>
        <v>49.14</v>
      </c>
      <c r="G1422" s="32">
        <f t="shared" si="55"/>
        <v>154.79</v>
      </c>
      <c r="H1422" s="32"/>
      <c r="I1422" s="33"/>
      <c r="J1422" s="33"/>
      <c r="K1422" s="44"/>
    </row>
    <row r="1423" spans="1:11" s="34" customFormat="1" ht="30">
      <c r="A1423" s="30"/>
      <c r="B1423" s="43" t="s">
        <v>1302</v>
      </c>
      <c r="C1423" s="45" t="s">
        <v>1303</v>
      </c>
      <c r="D1423" s="46" t="s">
        <v>10</v>
      </c>
      <c r="E1423" s="44">
        <v>1.05</v>
      </c>
      <c r="F1423" s="31">
        <f>TRUNC(9.33,2)</f>
        <v>9.33</v>
      </c>
      <c r="G1423" s="32">
        <f t="shared" si="55"/>
        <v>9.79</v>
      </c>
      <c r="H1423" s="32"/>
      <c r="I1423" s="33"/>
      <c r="J1423" s="33"/>
      <c r="K1423" s="44"/>
    </row>
    <row r="1424" spans="1:11" s="34" customFormat="1" ht="30">
      <c r="A1424" s="30"/>
      <c r="B1424" s="43" t="s">
        <v>1304</v>
      </c>
      <c r="C1424" s="45" t="s">
        <v>1305</v>
      </c>
      <c r="D1424" s="46" t="s">
        <v>10</v>
      </c>
      <c r="E1424" s="44">
        <v>1.05</v>
      </c>
      <c r="F1424" s="31">
        <f>TRUNC(102.62,2)</f>
        <v>102.62</v>
      </c>
      <c r="G1424" s="32">
        <f t="shared" si="55"/>
        <v>107.75</v>
      </c>
      <c r="H1424" s="32"/>
      <c r="I1424" s="33"/>
      <c r="J1424" s="33"/>
      <c r="K1424" s="44"/>
    </row>
    <row r="1425" spans="1:11" s="34" customFormat="1" ht="30">
      <c r="A1425" s="30"/>
      <c r="B1425" s="43" t="s">
        <v>1306</v>
      </c>
      <c r="C1425" s="45" t="s">
        <v>1307</v>
      </c>
      <c r="D1425" s="46" t="s">
        <v>3</v>
      </c>
      <c r="E1425" s="44">
        <v>4.473</v>
      </c>
      <c r="F1425" s="31">
        <f>TRUNC(78.0191,2)</f>
        <v>78.01</v>
      </c>
      <c r="G1425" s="32">
        <f t="shared" si="55"/>
        <v>348.93</v>
      </c>
      <c r="H1425" s="32"/>
      <c r="I1425" s="33"/>
      <c r="J1425" s="33"/>
      <c r="K1425" s="44"/>
    </row>
    <row r="1426" spans="1:11" s="34" customFormat="1" ht="30">
      <c r="A1426" s="30"/>
      <c r="B1426" s="43" t="s">
        <v>111</v>
      </c>
      <c r="C1426" s="45" t="s">
        <v>112</v>
      </c>
      <c r="D1426" s="46" t="s">
        <v>3</v>
      </c>
      <c r="E1426" s="44">
        <v>26.25</v>
      </c>
      <c r="F1426" s="31">
        <f>TRUNC(8.11,2)</f>
        <v>8.11</v>
      </c>
      <c r="G1426" s="32">
        <f t="shared" si="55"/>
        <v>212.88</v>
      </c>
      <c r="H1426" s="32"/>
      <c r="I1426" s="33"/>
      <c r="J1426" s="33"/>
      <c r="K1426" s="44"/>
    </row>
    <row r="1427" spans="1:11" s="34" customFormat="1" ht="30">
      <c r="A1427" s="30"/>
      <c r="B1427" s="43" t="s">
        <v>26</v>
      </c>
      <c r="C1427" s="45" t="s">
        <v>27</v>
      </c>
      <c r="D1427" s="46" t="s">
        <v>4</v>
      </c>
      <c r="E1427" s="44">
        <v>8.24</v>
      </c>
      <c r="F1427" s="31">
        <f>TRUNC(14.34,2)</f>
        <v>14.34</v>
      </c>
      <c r="G1427" s="32">
        <f t="shared" si="55"/>
        <v>118.16</v>
      </c>
      <c r="H1427" s="32"/>
      <c r="I1427" s="33"/>
      <c r="J1427" s="33"/>
      <c r="K1427" s="44"/>
    </row>
    <row r="1428" spans="1:11" s="34" customFormat="1" ht="15">
      <c r="A1428" s="30"/>
      <c r="B1428" s="43" t="s">
        <v>239</v>
      </c>
      <c r="C1428" s="45" t="s">
        <v>240</v>
      </c>
      <c r="D1428" s="46" t="s">
        <v>4</v>
      </c>
      <c r="E1428" s="44">
        <v>4.12</v>
      </c>
      <c r="F1428" s="31">
        <f>TRUNC(19.81,2)</f>
        <v>19.81</v>
      </c>
      <c r="G1428" s="32">
        <f t="shared" si="55"/>
        <v>81.61</v>
      </c>
      <c r="H1428" s="32"/>
      <c r="I1428" s="33"/>
      <c r="J1428" s="33"/>
      <c r="K1428" s="44"/>
    </row>
    <row r="1429" spans="1:11" s="34" customFormat="1" ht="30">
      <c r="A1429" s="30"/>
      <c r="B1429" s="43" t="s">
        <v>93</v>
      </c>
      <c r="C1429" s="45" t="s">
        <v>94</v>
      </c>
      <c r="D1429" s="46" t="s">
        <v>4</v>
      </c>
      <c r="E1429" s="44">
        <v>8.24</v>
      </c>
      <c r="F1429" s="31">
        <f>TRUNC(19.81,2)</f>
        <v>19.81</v>
      </c>
      <c r="G1429" s="32">
        <f t="shared" si="55"/>
        <v>163.23</v>
      </c>
      <c r="H1429" s="32"/>
      <c r="I1429" s="33"/>
      <c r="J1429" s="33"/>
      <c r="K1429" s="44"/>
    </row>
    <row r="1430" spans="1:11" s="34" customFormat="1" ht="15">
      <c r="A1430" s="30"/>
      <c r="B1430" s="43"/>
      <c r="C1430" s="45"/>
      <c r="D1430" s="46"/>
      <c r="E1430" s="44" t="s">
        <v>5</v>
      </c>
      <c r="F1430" s="31"/>
      <c r="G1430" s="32">
        <f>TRUNC(SUM(G1419:G1429),2)</f>
        <v>1320.88</v>
      </c>
      <c r="H1430" s="32"/>
      <c r="I1430" s="33"/>
      <c r="J1430" s="33"/>
      <c r="K1430" s="44"/>
    </row>
    <row r="1431" spans="1:11" s="72" customFormat="1" ht="15">
      <c r="A1431" s="65" t="s">
        <v>1363</v>
      </c>
      <c r="B1431" s="66"/>
      <c r="C1431" s="67"/>
      <c r="D1431" s="68"/>
      <c r="E1431" s="69"/>
      <c r="F1431" s="70"/>
      <c r="G1431" s="73" t="s">
        <v>1710</v>
      </c>
      <c r="H1431" s="75">
        <f>H1418+H1407+H1402+H1396+H1392+H1382+H1370+H1366+H1362+H1351+H1345+H1338+H1328+H1319+H1310+H1306+H1302+H1298+H1294+H1287+H1283+H1279+H1275+H1271+H1267+H1261+H1255+H1249+H1243+H1237+H1231+H1226+H1221+H1216+H1211+H1205+H1199+H1190+H1185+H1180+H1174+H1168+H1388</f>
        <v>78826.63000000002</v>
      </c>
      <c r="I1431" s="75">
        <f>I1418+I1407+I1402+I1396+I1392+I1382+I1370+I1366+I1362+I1351+I1345+I1338+I1328+I1319+I1310+I1306+I1302+I1298+I1294+I1287+I1283+I1279+I1275+I1271+I1267+I1261+I1255+I1249+I1243+I1237+I1231+I1226+I1221+I1216+I1211+I1205+I1199+I1190+I1185+I1180+I1174+I1168+I1388</f>
        <v>101698.8</v>
      </c>
      <c r="J1431" s="71"/>
      <c r="K1431" s="69"/>
    </row>
    <row r="1432" spans="1:11" s="21" customFormat="1" ht="15.75">
      <c r="A1432" s="21" t="s">
        <v>1711</v>
      </c>
      <c r="B1432" s="28"/>
      <c r="C1432" s="29" t="s">
        <v>1308</v>
      </c>
      <c r="D1432" s="29"/>
      <c r="E1432" s="29"/>
      <c r="F1432" s="29"/>
      <c r="G1432" s="29"/>
      <c r="H1432" s="29"/>
      <c r="I1432" s="27"/>
      <c r="J1432" s="29"/>
      <c r="K1432" s="29"/>
    </row>
    <row r="1433" spans="1:11" s="88" customFormat="1" ht="105">
      <c r="A1433" s="80" t="s">
        <v>1712</v>
      </c>
      <c r="B1433" s="81" t="s">
        <v>1309</v>
      </c>
      <c r="C1433" s="82" t="s">
        <v>1310</v>
      </c>
      <c r="D1433" s="83" t="s">
        <v>10</v>
      </c>
      <c r="E1433" s="84">
        <v>2</v>
      </c>
      <c r="F1433" s="85">
        <f>TRUNC(G1456,2)</f>
        <v>7120.44</v>
      </c>
      <c r="G1433" s="86">
        <f>TRUNC(F1433*1.2977,2)</f>
        <v>9240.19</v>
      </c>
      <c r="H1433" s="86">
        <f>TRUNC(F1433*E1433,2)</f>
        <v>14240.88</v>
      </c>
      <c r="I1433" s="87">
        <f>TRUNC(E1433*G1433,2)</f>
        <v>18480.38</v>
      </c>
      <c r="J1433" s="87"/>
      <c r="K1433" s="84"/>
    </row>
    <row r="1434" spans="1:11" s="34" customFormat="1" ht="15">
      <c r="A1434" s="30"/>
      <c r="B1434" s="43" t="s">
        <v>718</v>
      </c>
      <c r="C1434" s="45" t="s">
        <v>719</v>
      </c>
      <c r="D1434" s="46" t="s">
        <v>2</v>
      </c>
      <c r="E1434" s="44">
        <v>17.35</v>
      </c>
      <c r="F1434" s="31">
        <f>TRUNC(9.23,2)</f>
        <v>9.23</v>
      </c>
      <c r="G1434" s="32">
        <f aca="true" t="shared" si="56" ref="G1434:G1449">TRUNC(E1434*F1434,2)</f>
        <v>160.14</v>
      </c>
      <c r="H1434" s="32"/>
      <c r="I1434" s="33"/>
      <c r="J1434" s="33"/>
      <c r="K1434" s="44"/>
    </row>
    <row r="1435" spans="1:11" s="34" customFormat="1" ht="30">
      <c r="A1435" s="30"/>
      <c r="B1435" s="43" t="s">
        <v>183</v>
      </c>
      <c r="C1435" s="45" t="s">
        <v>184</v>
      </c>
      <c r="D1435" s="46" t="s">
        <v>10</v>
      </c>
      <c r="E1435" s="44">
        <v>1</v>
      </c>
      <c r="F1435" s="31">
        <f>TRUNC(19.47,2)</f>
        <v>19.47</v>
      </c>
      <c r="G1435" s="32">
        <f t="shared" si="56"/>
        <v>19.47</v>
      </c>
      <c r="H1435" s="32"/>
      <c r="I1435" s="33"/>
      <c r="J1435" s="33"/>
      <c r="K1435" s="44"/>
    </row>
    <row r="1436" spans="1:11" s="34" customFormat="1" ht="15">
      <c r="A1436" s="30"/>
      <c r="B1436" s="43" t="s">
        <v>1311</v>
      </c>
      <c r="C1436" s="45" t="s">
        <v>1312</v>
      </c>
      <c r="D1436" s="46" t="s">
        <v>10</v>
      </c>
      <c r="E1436" s="44">
        <v>4</v>
      </c>
      <c r="F1436" s="31">
        <f>TRUNC(8.09,2)</f>
        <v>8.09</v>
      </c>
      <c r="G1436" s="32">
        <f t="shared" si="56"/>
        <v>32.36</v>
      </c>
      <c r="H1436" s="32"/>
      <c r="I1436" s="33"/>
      <c r="J1436" s="33"/>
      <c r="K1436" s="44"/>
    </row>
    <row r="1437" spans="1:11" s="34" customFormat="1" ht="15">
      <c r="A1437" s="30"/>
      <c r="B1437" s="43" t="s">
        <v>179</v>
      </c>
      <c r="C1437" s="45" t="s">
        <v>180</v>
      </c>
      <c r="D1437" s="46" t="s">
        <v>10</v>
      </c>
      <c r="E1437" s="44">
        <v>1</v>
      </c>
      <c r="F1437" s="31">
        <f>TRUNC(6.45,2)</f>
        <v>6.45</v>
      </c>
      <c r="G1437" s="32">
        <f t="shared" si="56"/>
        <v>6.45</v>
      </c>
      <c r="H1437" s="32"/>
      <c r="I1437" s="33"/>
      <c r="J1437" s="33"/>
      <c r="K1437" s="44"/>
    </row>
    <row r="1438" spans="1:11" s="34" customFormat="1" ht="15">
      <c r="A1438" s="30"/>
      <c r="B1438" s="43" t="s">
        <v>854</v>
      </c>
      <c r="C1438" s="45" t="s">
        <v>855</v>
      </c>
      <c r="D1438" s="46" t="s">
        <v>3</v>
      </c>
      <c r="E1438" s="44">
        <v>82.36</v>
      </c>
      <c r="F1438" s="31">
        <f>TRUNC(32,2)</f>
        <v>32</v>
      </c>
      <c r="G1438" s="32">
        <f t="shared" si="56"/>
        <v>2635.52</v>
      </c>
      <c r="H1438" s="32"/>
      <c r="I1438" s="33"/>
      <c r="J1438" s="33"/>
      <c r="K1438" s="44"/>
    </row>
    <row r="1439" spans="1:11" s="34" customFormat="1" ht="30">
      <c r="A1439" s="30"/>
      <c r="B1439" s="43" t="s">
        <v>26</v>
      </c>
      <c r="C1439" s="45" t="s">
        <v>27</v>
      </c>
      <c r="D1439" s="46" t="s">
        <v>4</v>
      </c>
      <c r="E1439" s="44">
        <v>9.888</v>
      </c>
      <c r="F1439" s="31">
        <f>TRUNC(14.34,2)</f>
        <v>14.34</v>
      </c>
      <c r="G1439" s="32">
        <f t="shared" si="56"/>
        <v>141.79</v>
      </c>
      <c r="H1439" s="32"/>
      <c r="I1439" s="33"/>
      <c r="J1439" s="33"/>
      <c r="K1439" s="44"/>
    </row>
    <row r="1440" spans="1:11" s="34" customFormat="1" ht="30">
      <c r="A1440" s="30"/>
      <c r="B1440" s="43" t="s">
        <v>581</v>
      </c>
      <c r="C1440" s="45" t="s">
        <v>582</v>
      </c>
      <c r="D1440" s="46" t="s">
        <v>4</v>
      </c>
      <c r="E1440" s="44">
        <v>2.3175</v>
      </c>
      <c r="F1440" s="31">
        <f>TRUNC(19.81,2)</f>
        <v>19.81</v>
      </c>
      <c r="G1440" s="32">
        <f t="shared" si="56"/>
        <v>45.9</v>
      </c>
      <c r="H1440" s="32"/>
      <c r="I1440" s="33"/>
      <c r="J1440" s="33"/>
      <c r="K1440" s="44"/>
    </row>
    <row r="1441" spans="1:11" s="34" customFormat="1" ht="30">
      <c r="A1441" s="30"/>
      <c r="B1441" s="43" t="s">
        <v>211</v>
      </c>
      <c r="C1441" s="45" t="s">
        <v>212</v>
      </c>
      <c r="D1441" s="46" t="s">
        <v>4</v>
      </c>
      <c r="E1441" s="44">
        <v>9.888</v>
      </c>
      <c r="F1441" s="31">
        <f>TRUNC(21.33,2)</f>
        <v>21.33</v>
      </c>
      <c r="G1441" s="32">
        <f t="shared" si="56"/>
        <v>210.91</v>
      </c>
      <c r="H1441" s="32"/>
      <c r="I1441" s="33"/>
      <c r="J1441" s="33"/>
      <c r="K1441" s="44"/>
    </row>
    <row r="1442" spans="1:11" s="34" customFormat="1" ht="15">
      <c r="A1442" s="30"/>
      <c r="B1442" s="43" t="s">
        <v>239</v>
      </c>
      <c r="C1442" s="45" t="s">
        <v>240</v>
      </c>
      <c r="D1442" s="46" t="s">
        <v>4</v>
      </c>
      <c r="E1442" s="44">
        <v>4.573200000000001</v>
      </c>
      <c r="F1442" s="31">
        <f>TRUNC(19.81,2)</f>
        <v>19.81</v>
      </c>
      <c r="G1442" s="32">
        <f t="shared" si="56"/>
        <v>90.59</v>
      </c>
      <c r="H1442" s="32"/>
      <c r="I1442" s="33"/>
      <c r="J1442" s="33"/>
      <c r="K1442" s="44"/>
    </row>
    <row r="1443" spans="1:11" s="34" customFormat="1" ht="30">
      <c r="A1443" s="30"/>
      <c r="B1443" s="43" t="s">
        <v>1313</v>
      </c>
      <c r="C1443" s="45" t="s">
        <v>1314</v>
      </c>
      <c r="D1443" s="46" t="s">
        <v>3</v>
      </c>
      <c r="E1443" s="44">
        <v>14.83</v>
      </c>
      <c r="F1443" s="31">
        <f>TRUNC(14.4201,2)</f>
        <v>14.42</v>
      </c>
      <c r="G1443" s="32">
        <f t="shared" si="56"/>
        <v>213.84</v>
      </c>
      <c r="H1443" s="32"/>
      <c r="I1443" s="33"/>
      <c r="J1443" s="33"/>
      <c r="K1443" s="44"/>
    </row>
    <row r="1444" spans="1:11" s="34" customFormat="1" ht="15">
      <c r="A1444" s="30"/>
      <c r="B1444" s="43" t="s">
        <v>1315</v>
      </c>
      <c r="C1444" s="45" t="s">
        <v>1316</v>
      </c>
      <c r="D1444" s="46" t="s">
        <v>1</v>
      </c>
      <c r="E1444" s="44">
        <v>0.47</v>
      </c>
      <c r="F1444" s="31">
        <f>TRUNC(258.0089,2)</f>
        <v>258</v>
      </c>
      <c r="G1444" s="32">
        <f t="shared" si="56"/>
        <v>121.26</v>
      </c>
      <c r="H1444" s="32"/>
      <c r="I1444" s="33"/>
      <c r="J1444" s="33"/>
      <c r="K1444" s="44"/>
    </row>
    <row r="1445" spans="1:11" s="34" customFormat="1" ht="15">
      <c r="A1445" s="30"/>
      <c r="B1445" s="43" t="s">
        <v>215</v>
      </c>
      <c r="C1445" s="45" t="s">
        <v>216</v>
      </c>
      <c r="D1445" s="46" t="s">
        <v>1</v>
      </c>
      <c r="E1445" s="44">
        <v>0.66</v>
      </c>
      <c r="F1445" s="31">
        <f>TRUNC(277.3833,2)</f>
        <v>277.38</v>
      </c>
      <c r="G1445" s="32">
        <f t="shared" si="56"/>
        <v>183.07</v>
      </c>
      <c r="H1445" s="32"/>
      <c r="I1445" s="33"/>
      <c r="J1445" s="33"/>
      <c r="K1445" s="44"/>
    </row>
    <row r="1446" spans="1:11" s="34" customFormat="1" ht="15">
      <c r="A1446" s="30"/>
      <c r="B1446" s="43" t="s">
        <v>217</v>
      </c>
      <c r="C1446" s="45" t="s">
        <v>218</v>
      </c>
      <c r="D1446" s="46" t="s">
        <v>1</v>
      </c>
      <c r="E1446" s="44">
        <v>0.66</v>
      </c>
      <c r="F1446" s="31">
        <f>TRUNC(72.3465,2)</f>
        <v>72.34</v>
      </c>
      <c r="G1446" s="32">
        <f t="shared" si="56"/>
        <v>47.74</v>
      </c>
      <c r="H1446" s="32"/>
      <c r="I1446" s="33"/>
      <c r="J1446" s="33"/>
      <c r="K1446" s="44"/>
    </row>
    <row r="1447" spans="1:11" s="34" customFormat="1" ht="15">
      <c r="A1447" s="30"/>
      <c r="B1447" s="43" t="s">
        <v>1317</v>
      </c>
      <c r="C1447" s="45" t="s">
        <v>1318</v>
      </c>
      <c r="D1447" s="46" t="s">
        <v>1</v>
      </c>
      <c r="E1447" s="44">
        <v>0.66</v>
      </c>
      <c r="F1447" s="31">
        <f>TRUNC(107.3549,2)</f>
        <v>107.35</v>
      </c>
      <c r="G1447" s="32">
        <f t="shared" si="56"/>
        <v>70.85</v>
      </c>
      <c r="H1447" s="32"/>
      <c r="I1447" s="33"/>
      <c r="J1447" s="33"/>
      <c r="K1447" s="44"/>
    </row>
    <row r="1448" spans="1:11" s="34" customFormat="1" ht="15">
      <c r="A1448" s="30"/>
      <c r="B1448" s="43" t="s">
        <v>1319</v>
      </c>
      <c r="C1448" s="45" t="s">
        <v>1320</v>
      </c>
      <c r="D1448" s="46" t="s">
        <v>0</v>
      </c>
      <c r="E1448" s="44">
        <v>11.31</v>
      </c>
      <c r="F1448" s="31">
        <f>TRUNC(129.6568,2)</f>
        <v>129.65</v>
      </c>
      <c r="G1448" s="32">
        <f t="shared" si="56"/>
        <v>1466.34</v>
      </c>
      <c r="H1448" s="32"/>
      <c r="I1448" s="33"/>
      <c r="J1448" s="33"/>
      <c r="K1448" s="44"/>
    </row>
    <row r="1449" spans="1:11" s="34" customFormat="1" ht="15">
      <c r="A1449" s="30"/>
      <c r="B1449" s="43" t="s">
        <v>1258</v>
      </c>
      <c r="C1449" s="45" t="s">
        <v>1259</v>
      </c>
      <c r="D1449" s="46" t="s">
        <v>0</v>
      </c>
      <c r="E1449" s="44">
        <v>7.36</v>
      </c>
      <c r="F1449" s="31">
        <f>TRUNC(25.1759,2)</f>
        <v>25.17</v>
      </c>
      <c r="G1449" s="32">
        <f t="shared" si="56"/>
        <v>185.25</v>
      </c>
      <c r="H1449" s="32"/>
      <c r="I1449" s="33"/>
      <c r="J1449" s="33"/>
      <c r="K1449" s="44"/>
    </row>
    <row r="1450" spans="1:11" s="58" customFormat="1" ht="42.75">
      <c r="A1450" s="54"/>
      <c r="B1450" s="52" t="s">
        <v>1321</v>
      </c>
      <c r="C1450" s="55" t="s">
        <v>1322</v>
      </c>
      <c r="D1450" s="56" t="s">
        <v>2</v>
      </c>
      <c r="E1450" s="57">
        <v>12</v>
      </c>
      <c r="F1450" s="53">
        <f>TRUNC(49.94545,2)</f>
        <v>49.94</v>
      </c>
      <c r="G1450" s="32">
        <f aca="true" t="shared" si="57" ref="G1450:G1455">TRUNC(E1450*F1450,2)</f>
        <v>599.28</v>
      </c>
      <c r="H1450" s="50"/>
      <c r="I1450" s="51"/>
      <c r="J1450" s="51"/>
      <c r="K1450" s="57"/>
    </row>
    <row r="1451" spans="1:11" s="58" customFormat="1" ht="15">
      <c r="A1451" s="54"/>
      <c r="B1451" s="52" t="s">
        <v>1324</v>
      </c>
      <c r="C1451" s="55" t="s">
        <v>1325</v>
      </c>
      <c r="D1451" s="56" t="s">
        <v>10</v>
      </c>
      <c r="E1451" s="57">
        <v>1</v>
      </c>
      <c r="F1451" s="53">
        <v>27.94</v>
      </c>
      <c r="G1451" s="32">
        <f t="shared" si="57"/>
        <v>27.94</v>
      </c>
      <c r="H1451" s="50"/>
      <c r="I1451" s="51"/>
      <c r="J1451" s="51"/>
      <c r="K1451" s="57"/>
    </row>
    <row r="1452" spans="1:11" s="58" customFormat="1" ht="15">
      <c r="A1452" s="54"/>
      <c r="B1452" s="52" t="s">
        <v>827</v>
      </c>
      <c r="C1452" s="55" t="s">
        <v>1326</v>
      </c>
      <c r="D1452" s="56" t="s">
        <v>10</v>
      </c>
      <c r="E1452" s="57">
        <v>1</v>
      </c>
      <c r="F1452" s="53">
        <f>G1460</f>
        <v>141.36</v>
      </c>
      <c r="G1452" s="32">
        <f t="shared" si="57"/>
        <v>141.36</v>
      </c>
      <c r="H1452" s="50"/>
      <c r="I1452" s="51"/>
      <c r="J1452" s="51"/>
      <c r="K1452" s="57"/>
    </row>
    <row r="1453" spans="1:11" s="58" customFormat="1" ht="15">
      <c r="A1453" s="54"/>
      <c r="B1453" s="52" t="s">
        <v>827</v>
      </c>
      <c r="C1453" s="55" t="s">
        <v>1330</v>
      </c>
      <c r="D1453" s="56" t="s">
        <v>10</v>
      </c>
      <c r="E1453" s="57">
        <v>1</v>
      </c>
      <c r="F1453" s="53">
        <f>G1464</f>
        <v>307</v>
      </c>
      <c r="G1453" s="32">
        <f t="shared" si="57"/>
        <v>307</v>
      </c>
      <c r="H1453" s="50"/>
      <c r="I1453" s="51"/>
      <c r="J1453" s="51"/>
      <c r="K1453" s="57"/>
    </row>
    <row r="1454" spans="1:11" s="58" customFormat="1" ht="15">
      <c r="A1454" s="54"/>
      <c r="B1454" s="52" t="s">
        <v>827</v>
      </c>
      <c r="C1454" s="55" t="s">
        <v>1334</v>
      </c>
      <c r="D1454" s="56" t="s">
        <v>10</v>
      </c>
      <c r="E1454" s="57">
        <v>1</v>
      </c>
      <c r="F1454" s="53">
        <f>G1468</f>
        <v>273.79</v>
      </c>
      <c r="G1454" s="32">
        <f t="shared" si="57"/>
        <v>273.79</v>
      </c>
      <c r="H1454" s="50"/>
      <c r="I1454" s="51"/>
      <c r="J1454" s="51"/>
      <c r="K1454" s="57"/>
    </row>
    <row r="1455" spans="1:11" s="58" customFormat="1" ht="15">
      <c r="A1455" s="54"/>
      <c r="B1455" s="52" t="s">
        <v>827</v>
      </c>
      <c r="C1455" s="55" t="s">
        <v>1357</v>
      </c>
      <c r="D1455" s="56" t="s">
        <v>10</v>
      </c>
      <c r="E1455" s="57">
        <v>1</v>
      </c>
      <c r="F1455" s="53">
        <f>G1472</f>
        <v>139.59</v>
      </c>
      <c r="G1455" s="32">
        <f t="shared" si="57"/>
        <v>139.59</v>
      </c>
      <c r="H1455" s="50"/>
      <c r="I1455" s="51"/>
      <c r="J1455" s="51"/>
      <c r="K1455" s="57"/>
    </row>
    <row r="1456" spans="1:11" s="34" customFormat="1" ht="15">
      <c r="A1456" s="30"/>
      <c r="B1456" s="43"/>
      <c r="C1456" s="45"/>
      <c r="D1456" s="46"/>
      <c r="E1456" s="57" t="s">
        <v>5</v>
      </c>
      <c r="F1456" s="53"/>
      <c r="G1456" s="50">
        <f>TRUNC(SUM(G1434:G1455),2)</f>
        <v>7120.44</v>
      </c>
      <c r="H1456" s="32"/>
      <c r="I1456" s="33"/>
      <c r="J1456" s="33"/>
      <c r="K1456" s="44"/>
    </row>
    <row r="1457" spans="1:11" s="34" customFormat="1" ht="15">
      <c r="A1457" s="30"/>
      <c r="B1457" s="52" t="s">
        <v>827</v>
      </c>
      <c r="C1457" s="55" t="s">
        <v>1327</v>
      </c>
      <c r="D1457" s="46" t="s">
        <v>10</v>
      </c>
      <c r="E1457" s="44">
        <v>1</v>
      </c>
      <c r="F1457" s="31">
        <v>141.36</v>
      </c>
      <c r="G1457" s="32">
        <f>TRUNC(E1457*F1457,2)</f>
        <v>141.36</v>
      </c>
      <c r="H1457" s="32"/>
      <c r="I1457" s="33"/>
      <c r="J1457" s="33"/>
      <c r="K1457" s="44"/>
    </row>
    <row r="1458" spans="1:11" s="34" customFormat="1" ht="15">
      <c r="A1458" s="30"/>
      <c r="B1458" s="52" t="s">
        <v>827</v>
      </c>
      <c r="C1458" s="55" t="s">
        <v>1328</v>
      </c>
      <c r="D1458" s="46" t="s">
        <v>10</v>
      </c>
      <c r="E1458" s="44">
        <v>1</v>
      </c>
      <c r="F1458" s="31">
        <v>111.3</v>
      </c>
      <c r="G1458" s="32">
        <f>TRUNC(E1458*F1458,2)</f>
        <v>111.3</v>
      </c>
      <c r="H1458" s="32"/>
      <c r="I1458" s="33"/>
      <c r="J1458" s="33"/>
      <c r="K1458" s="44"/>
    </row>
    <row r="1459" spans="1:11" s="34" customFormat="1" ht="26.25" customHeight="1">
      <c r="A1459" s="30"/>
      <c r="B1459" s="52" t="s">
        <v>827</v>
      </c>
      <c r="C1459" s="55" t="s">
        <v>1329</v>
      </c>
      <c r="D1459" s="46" t="s">
        <v>10</v>
      </c>
      <c r="E1459" s="44">
        <v>1</v>
      </c>
      <c r="F1459" s="31">
        <v>145.2</v>
      </c>
      <c r="G1459" s="32">
        <f>TRUNC(E1459*F1459,2)</f>
        <v>145.2</v>
      </c>
      <c r="H1459" s="32"/>
      <c r="I1459" s="33"/>
      <c r="J1459" s="33"/>
      <c r="K1459" s="44"/>
    </row>
    <row r="1460" spans="1:11" s="34" customFormat="1" ht="15">
      <c r="A1460" s="30"/>
      <c r="B1460" s="52"/>
      <c r="C1460" s="55"/>
      <c r="D1460" s="46"/>
      <c r="E1460" s="44" t="s">
        <v>1218</v>
      </c>
      <c r="F1460" s="59" t="s">
        <v>957</v>
      </c>
      <c r="G1460" s="32">
        <f>G1457</f>
        <v>141.36</v>
      </c>
      <c r="H1460" s="32"/>
      <c r="I1460" s="33"/>
      <c r="J1460" s="33"/>
      <c r="K1460" s="44"/>
    </row>
    <row r="1461" spans="1:11" s="34" customFormat="1" ht="28.5">
      <c r="A1461" s="30"/>
      <c r="B1461" s="52" t="s">
        <v>827</v>
      </c>
      <c r="C1461" s="55" t="s">
        <v>1331</v>
      </c>
      <c r="D1461" s="56" t="s">
        <v>10</v>
      </c>
      <c r="E1461" s="44">
        <v>1</v>
      </c>
      <c r="F1461" s="31">
        <v>307</v>
      </c>
      <c r="G1461" s="32">
        <f>TRUNC(E1461*F1461,2)</f>
        <v>307</v>
      </c>
      <c r="H1461" s="32"/>
      <c r="I1461" s="33"/>
      <c r="J1461" s="33"/>
      <c r="K1461" s="44"/>
    </row>
    <row r="1462" spans="1:11" s="34" customFormat="1" ht="28.5">
      <c r="A1462" s="30"/>
      <c r="B1462" s="52" t="s">
        <v>827</v>
      </c>
      <c r="C1462" s="55" t="s">
        <v>1332</v>
      </c>
      <c r="D1462" s="56" t="s">
        <v>10</v>
      </c>
      <c r="E1462" s="44">
        <v>1</v>
      </c>
      <c r="F1462" s="31">
        <v>276.3</v>
      </c>
      <c r="G1462" s="32">
        <f>TRUNC(E1462*F1462,2)</f>
        <v>276.3</v>
      </c>
      <c r="H1462" s="32"/>
      <c r="I1462" s="33"/>
      <c r="J1462" s="33"/>
      <c r="K1462" s="44"/>
    </row>
    <row r="1463" spans="1:11" s="34" customFormat="1" ht="28.5">
      <c r="A1463" s="30"/>
      <c r="B1463" s="52" t="s">
        <v>827</v>
      </c>
      <c r="C1463" s="55" t="s">
        <v>1333</v>
      </c>
      <c r="D1463" s="56" t="s">
        <v>10</v>
      </c>
      <c r="E1463" s="44">
        <v>1</v>
      </c>
      <c r="F1463" s="31">
        <v>328.18</v>
      </c>
      <c r="G1463" s="32">
        <f>TRUNC(E1463*F1463,2)</f>
        <v>328.18</v>
      </c>
      <c r="H1463" s="32"/>
      <c r="I1463" s="33"/>
      <c r="J1463" s="33"/>
      <c r="K1463" s="44"/>
    </row>
    <row r="1464" spans="1:11" s="34" customFormat="1" ht="15">
      <c r="A1464" s="30"/>
      <c r="B1464" s="52"/>
      <c r="C1464" s="55"/>
      <c r="D1464" s="46"/>
      <c r="E1464" s="44" t="s">
        <v>1218</v>
      </c>
      <c r="F1464" s="59" t="s">
        <v>957</v>
      </c>
      <c r="G1464" s="32">
        <f>G1461</f>
        <v>307</v>
      </c>
      <c r="H1464" s="32"/>
      <c r="I1464" s="33"/>
      <c r="J1464" s="33"/>
      <c r="K1464" s="44"/>
    </row>
    <row r="1465" spans="1:11" s="34" customFormat="1" ht="28.5">
      <c r="A1465" s="30"/>
      <c r="B1465" s="52" t="s">
        <v>827</v>
      </c>
      <c r="C1465" s="55" t="s">
        <v>1337</v>
      </c>
      <c r="D1465" s="56" t="s">
        <v>10</v>
      </c>
      <c r="E1465" s="44">
        <v>1</v>
      </c>
      <c r="F1465" s="59">
        <v>273.79</v>
      </c>
      <c r="G1465" s="32">
        <f>TRUNC(E1465*F1465,2)</f>
        <v>273.79</v>
      </c>
      <c r="H1465" s="32"/>
      <c r="I1465" s="33"/>
      <c r="J1465" s="33"/>
      <c r="K1465" s="44"/>
    </row>
    <row r="1466" spans="1:11" s="34" customFormat="1" ht="28.5">
      <c r="A1466" s="30"/>
      <c r="B1466" s="52" t="s">
        <v>827</v>
      </c>
      <c r="C1466" s="55" t="s">
        <v>1336</v>
      </c>
      <c r="D1466" s="56" t="s">
        <v>10</v>
      </c>
      <c r="E1466" s="44">
        <v>1</v>
      </c>
      <c r="F1466" s="59">
        <v>319.2</v>
      </c>
      <c r="G1466" s="32">
        <f>TRUNC(E1466*F1466,2)</f>
        <v>319.2</v>
      </c>
      <c r="H1466" s="32"/>
      <c r="I1466" s="33"/>
      <c r="J1466" s="33"/>
      <c r="K1466" s="44"/>
    </row>
    <row r="1467" spans="1:11" s="34" customFormat="1" ht="28.5">
      <c r="A1467" s="30"/>
      <c r="B1467" s="52" t="s">
        <v>827</v>
      </c>
      <c r="C1467" s="55" t="s">
        <v>1335</v>
      </c>
      <c r="D1467" s="56" t="s">
        <v>10</v>
      </c>
      <c r="E1467" s="44">
        <v>1</v>
      </c>
      <c r="F1467" s="59">
        <v>218.41</v>
      </c>
      <c r="G1467" s="32">
        <f>TRUNC(E1467*F1467,2)</f>
        <v>218.41</v>
      </c>
      <c r="H1467" s="32"/>
      <c r="I1467" s="33"/>
      <c r="J1467" s="33"/>
      <c r="K1467" s="44"/>
    </row>
    <row r="1468" spans="1:11" s="34" customFormat="1" ht="15">
      <c r="A1468" s="30"/>
      <c r="B1468" s="43"/>
      <c r="C1468" s="45"/>
      <c r="D1468" s="46"/>
      <c r="E1468" s="44" t="s">
        <v>1218</v>
      </c>
      <c r="F1468" s="59" t="s">
        <v>957</v>
      </c>
      <c r="G1468" s="32">
        <f>G1465</f>
        <v>273.79</v>
      </c>
      <c r="H1468" s="32"/>
      <c r="I1468" s="33"/>
      <c r="J1468" s="33"/>
      <c r="K1468" s="44"/>
    </row>
    <row r="1469" spans="1:11" s="34" customFormat="1" ht="27.75" customHeight="1">
      <c r="A1469" s="30"/>
      <c r="B1469" s="52" t="s">
        <v>827</v>
      </c>
      <c r="C1469" s="55" t="s">
        <v>1338</v>
      </c>
      <c r="D1469" s="56" t="s">
        <v>10</v>
      </c>
      <c r="E1469" s="44">
        <v>1</v>
      </c>
      <c r="F1469" s="59">
        <v>81.99</v>
      </c>
      <c r="G1469" s="32">
        <f>TRUNC(E1469*F1469,2)</f>
        <v>81.99</v>
      </c>
      <c r="H1469" s="32"/>
      <c r="I1469" s="33"/>
      <c r="J1469" s="33"/>
      <c r="K1469" s="44"/>
    </row>
    <row r="1470" spans="1:11" s="34" customFormat="1" ht="29.25" customHeight="1">
      <c r="A1470" s="30"/>
      <c r="B1470" s="52" t="s">
        <v>827</v>
      </c>
      <c r="C1470" s="55" t="s">
        <v>1355</v>
      </c>
      <c r="D1470" s="56" t="s">
        <v>10</v>
      </c>
      <c r="E1470" s="44">
        <v>1</v>
      </c>
      <c r="F1470" s="59">
        <v>139.59</v>
      </c>
      <c r="G1470" s="32">
        <f>TRUNC(E1470*F1470,2)</f>
        <v>139.59</v>
      </c>
      <c r="H1470" s="32"/>
      <c r="I1470" s="33"/>
      <c r="J1470" s="33"/>
      <c r="K1470" s="44"/>
    </row>
    <row r="1471" spans="1:11" s="34" customFormat="1" ht="15">
      <c r="A1471" s="30"/>
      <c r="B1471" s="52" t="s">
        <v>827</v>
      </c>
      <c r="C1471" s="55" t="s">
        <v>1356</v>
      </c>
      <c r="D1471" s="56" t="s">
        <v>10</v>
      </c>
      <c r="E1471" s="44">
        <v>1</v>
      </c>
      <c r="F1471" s="59">
        <v>395.99</v>
      </c>
      <c r="G1471" s="32">
        <f>TRUNC(E1471*F1471,2)</f>
        <v>395.99</v>
      </c>
      <c r="H1471" s="32"/>
      <c r="I1471" s="33"/>
      <c r="J1471" s="33"/>
      <c r="K1471" s="44"/>
    </row>
    <row r="1472" spans="1:11" s="34" customFormat="1" ht="15">
      <c r="A1472" s="30"/>
      <c r="B1472" s="43"/>
      <c r="C1472" s="45"/>
      <c r="D1472" s="46"/>
      <c r="E1472" s="44" t="s">
        <v>1218</v>
      </c>
      <c r="F1472" s="59" t="s">
        <v>957</v>
      </c>
      <c r="G1472" s="32">
        <f>G1470</f>
        <v>139.59</v>
      </c>
      <c r="H1472" s="32"/>
      <c r="I1472" s="33"/>
      <c r="J1472" s="33"/>
      <c r="K1472" s="44"/>
    </row>
    <row r="1473" spans="1:11" s="72" customFormat="1" ht="15">
      <c r="A1473" s="65" t="s">
        <v>1363</v>
      </c>
      <c r="B1473" s="66"/>
      <c r="C1473" s="67"/>
      <c r="D1473" s="68"/>
      <c r="E1473" s="69"/>
      <c r="F1473" s="70"/>
      <c r="G1473" s="73" t="s">
        <v>1713</v>
      </c>
      <c r="H1473" s="75">
        <f>H1433</f>
        <v>14240.88</v>
      </c>
      <c r="I1473" s="75">
        <f>I1433</f>
        <v>18480.38</v>
      </c>
      <c r="J1473" s="71"/>
      <c r="K1473" s="69"/>
    </row>
    <row r="1474" spans="1:11" s="21" customFormat="1" ht="15.75">
      <c r="A1474" s="21" t="s">
        <v>1714</v>
      </c>
      <c r="B1474" s="28"/>
      <c r="C1474" s="29" t="s">
        <v>1343</v>
      </c>
      <c r="D1474" s="29"/>
      <c r="E1474" s="29"/>
      <c r="F1474" s="29"/>
      <c r="G1474" s="29"/>
      <c r="H1474" s="29"/>
      <c r="I1474" s="27"/>
      <c r="J1474" s="29"/>
      <c r="K1474" s="29"/>
    </row>
    <row r="1475" spans="1:11" s="88" customFormat="1" ht="30">
      <c r="A1475" s="80" t="s">
        <v>1715</v>
      </c>
      <c r="B1475" s="81" t="s">
        <v>1339</v>
      </c>
      <c r="C1475" s="82" t="s">
        <v>1340</v>
      </c>
      <c r="D1475" s="83" t="s">
        <v>10</v>
      </c>
      <c r="E1475" s="84">
        <v>4</v>
      </c>
      <c r="F1475" s="85">
        <f>TRUNC(G1480,2)</f>
        <v>212.75</v>
      </c>
      <c r="G1475" s="86">
        <f>TRUNC(F1475*1.2977,2)</f>
        <v>276.08</v>
      </c>
      <c r="H1475" s="86">
        <f>TRUNC(F1475*E1475,2)</f>
        <v>851</v>
      </c>
      <c r="I1475" s="87">
        <f>TRUNC(E1475*G1475,2)</f>
        <v>1104.32</v>
      </c>
      <c r="J1475" s="87"/>
      <c r="K1475" s="84"/>
    </row>
    <row r="1476" spans="1:11" s="34" customFormat="1" ht="30">
      <c r="A1476" s="30"/>
      <c r="B1476" s="43" t="s">
        <v>1341</v>
      </c>
      <c r="C1476" s="45" t="s">
        <v>1342</v>
      </c>
      <c r="D1476" s="46" t="s">
        <v>10</v>
      </c>
      <c r="E1476" s="44">
        <v>1</v>
      </c>
      <c r="F1476" s="59">
        <f>TRUNC(190,2)</f>
        <v>190</v>
      </c>
      <c r="G1476" s="32">
        <f>TRUNC(E1476*F1476,2)</f>
        <v>190</v>
      </c>
      <c r="H1476" s="32"/>
      <c r="I1476" s="33"/>
      <c r="J1476" s="33"/>
      <c r="K1476" s="44"/>
    </row>
    <row r="1477" spans="1:11" s="34" customFormat="1" ht="30">
      <c r="A1477" s="30"/>
      <c r="B1477" s="43" t="s">
        <v>796</v>
      </c>
      <c r="C1477" s="45" t="s">
        <v>797</v>
      </c>
      <c r="D1477" s="46" t="s">
        <v>10</v>
      </c>
      <c r="E1477" s="44">
        <v>2</v>
      </c>
      <c r="F1477" s="59">
        <f>TRUNC(0.72,2)</f>
        <v>0.72</v>
      </c>
      <c r="G1477" s="32">
        <f>TRUNC(E1477*F1477,2)</f>
        <v>1.44</v>
      </c>
      <c r="H1477" s="32"/>
      <c r="I1477" s="33"/>
      <c r="J1477" s="33"/>
      <c r="K1477" s="44"/>
    </row>
    <row r="1478" spans="1:11" s="34" customFormat="1" ht="15">
      <c r="A1478" s="30"/>
      <c r="B1478" s="43" t="s">
        <v>416</v>
      </c>
      <c r="C1478" s="45" t="s">
        <v>417</v>
      </c>
      <c r="D1478" s="46" t="s">
        <v>4</v>
      </c>
      <c r="E1478" s="44">
        <v>0.4574</v>
      </c>
      <c r="F1478" s="59">
        <f>TRUNC(26.15,2)</f>
        <v>26.15</v>
      </c>
      <c r="G1478" s="32">
        <f>TRUNC(E1478*F1478,2)</f>
        <v>11.96</v>
      </c>
      <c r="H1478" s="32"/>
      <c r="I1478" s="33"/>
      <c r="J1478" s="33"/>
      <c r="K1478" s="44"/>
    </row>
    <row r="1479" spans="1:11" s="34" customFormat="1" ht="30">
      <c r="A1479" s="30"/>
      <c r="B1479" s="43" t="s">
        <v>418</v>
      </c>
      <c r="C1479" s="45" t="s">
        <v>419</v>
      </c>
      <c r="D1479" s="46" t="s">
        <v>4</v>
      </c>
      <c r="E1479" s="44">
        <v>0.4574</v>
      </c>
      <c r="F1479" s="59">
        <f>TRUNC(20.45,2)</f>
        <v>20.45</v>
      </c>
      <c r="G1479" s="32">
        <f>TRUNC(E1479*F1479,2)</f>
        <v>9.35</v>
      </c>
      <c r="H1479" s="32"/>
      <c r="I1479" s="33"/>
      <c r="J1479" s="33"/>
      <c r="K1479" s="44"/>
    </row>
    <row r="1480" spans="1:11" s="34" customFormat="1" ht="15">
      <c r="A1480" s="30"/>
      <c r="B1480" s="43"/>
      <c r="C1480" s="45"/>
      <c r="D1480" s="46"/>
      <c r="E1480" s="44" t="s">
        <v>5</v>
      </c>
      <c r="F1480" s="59"/>
      <c r="G1480" s="32">
        <f>TRUNC(SUM(G1476:G1479),2)</f>
        <v>212.75</v>
      </c>
      <c r="H1480" s="32"/>
      <c r="I1480" s="33"/>
      <c r="J1480" s="33"/>
      <c r="K1480" s="44"/>
    </row>
    <row r="1481" spans="1:11" s="88" customFormat="1" ht="30">
      <c r="A1481" s="80" t="s">
        <v>1716</v>
      </c>
      <c r="B1481" s="81" t="s">
        <v>792</v>
      </c>
      <c r="C1481" s="82" t="s">
        <v>793</v>
      </c>
      <c r="D1481" s="83" t="s">
        <v>10</v>
      </c>
      <c r="E1481" s="84">
        <v>1</v>
      </c>
      <c r="F1481" s="85">
        <f>TRUNC(G1486,2)</f>
        <v>592.75</v>
      </c>
      <c r="G1481" s="86">
        <f>TRUNC(F1481*1.2977,2)</f>
        <v>769.21</v>
      </c>
      <c r="H1481" s="86">
        <f>TRUNC(F1481*E1481,2)</f>
        <v>592.75</v>
      </c>
      <c r="I1481" s="87">
        <f>TRUNC(E1481*G1481,2)</f>
        <v>769.21</v>
      </c>
      <c r="J1481" s="87"/>
      <c r="K1481" s="84"/>
    </row>
    <row r="1482" spans="1:11" s="34" customFormat="1" ht="30">
      <c r="A1482" s="30"/>
      <c r="B1482" s="43" t="s">
        <v>794</v>
      </c>
      <c r="C1482" s="45" t="s">
        <v>795</v>
      </c>
      <c r="D1482" s="46" t="s">
        <v>10</v>
      </c>
      <c r="E1482" s="44">
        <v>1</v>
      </c>
      <c r="F1482" s="31">
        <f>TRUNC(570,2)</f>
        <v>570</v>
      </c>
      <c r="G1482" s="32">
        <f>TRUNC(E1482*F1482,2)</f>
        <v>570</v>
      </c>
      <c r="H1482" s="32"/>
      <c r="I1482" s="33"/>
      <c r="J1482" s="33"/>
      <c r="K1482" s="44"/>
    </row>
    <row r="1483" spans="1:11" s="34" customFormat="1" ht="30">
      <c r="A1483" s="30"/>
      <c r="B1483" s="43" t="s">
        <v>796</v>
      </c>
      <c r="C1483" s="45" t="s">
        <v>797</v>
      </c>
      <c r="D1483" s="46" t="s">
        <v>10</v>
      </c>
      <c r="E1483" s="44">
        <v>2</v>
      </c>
      <c r="F1483" s="31">
        <f>TRUNC(0.72,2)</f>
        <v>0.72</v>
      </c>
      <c r="G1483" s="32">
        <f>TRUNC(E1483*F1483,2)</f>
        <v>1.44</v>
      </c>
      <c r="H1483" s="32"/>
      <c r="I1483" s="33"/>
      <c r="J1483" s="33"/>
      <c r="K1483" s="44"/>
    </row>
    <row r="1484" spans="1:11" s="34" customFormat="1" ht="15">
      <c r="A1484" s="30"/>
      <c r="B1484" s="43" t="s">
        <v>416</v>
      </c>
      <c r="C1484" s="45" t="s">
        <v>417</v>
      </c>
      <c r="D1484" s="46" t="s">
        <v>4</v>
      </c>
      <c r="E1484" s="44">
        <v>0.4574</v>
      </c>
      <c r="F1484" s="31">
        <f>TRUNC(26.15,2)</f>
        <v>26.15</v>
      </c>
      <c r="G1484" s="32">
        <f>TRUNC(E1484*F1484,2)</f>
        <v>11.96</v>
      </c>
      <c r="H1484" s="32"/>
      <c r="I1484" s="33"/>
      <c r="J1484" s="33"/>
      <c r="K1484" s="44"/>
    </row>
    <row r="1485" spans="1:11" s="34" customFormat="1" ht="30">
      <c r="A1485" s="30"/>
      <c r="B1485" s="43" t="s">
        <v>418</v>
      </c>
      <c r="C1485" s="45" t="s">
        <v>419</v>
      </c>
      <c r="D1485" s="46" t="s">
        <v>4</v>
      </c>
      <c r="E1485" s="44">
        <v>0.4574</v>
      </c>
      <c r="F1485" s="31">
        <f>TRUNC(20.45,2)</f>
        <v>20.45</v>
      </c>
      <c r="G1485" s="32">
        <f>TRUNC(E1485*F1485,2)</f>
        <v>9.35</v>
      </c>
      <c r="H1485" s="32"/>
      <c r="I1485" s="33"/>
      <c r="J1485" s="33"/>
      <c r="K1485" s="44"/>
    </row>
    <row r="1486" spans="1:11" s="34" customFormat="1" ht="15">
      <c r="A1486" s="30"/>
      <c r="B1486" s="43"/>
      <c r="C1486" s="45"/>
      <c r="D1486" s="46"/>
      <c r="E1486" s="44" t="s">
        <v>5</v>
      </c>
      <c r="F1486" s="31"/>
      <c r="G1486" s="32">
        <f>TRUNC(SUM(G1482:G1485),2)</f>
        <v>592.75</v>
      </c>
      <c r="H1486" s="32"/>
      <c r="I1486" s="33"/>
      <c r="J1486" s="33"/>
      <c r="K1486" s="44"/>
    </row>
    <row r="1487" spans="1:11" s="88" customFormat="1" ht="60">
      <c r="A1487" s="80" t="s">
        <v>1717</v>
      </c>
      <c r="B1487" s="81" t="s">
        <v>1589</v>
      </c>
      <c r="C1487" s="82" t="s">
        <v>1590</v>
      </c>
      <c r="D1487" s="83" t="s">
        <v>10</v>
      </c>
      <c r="E1487" s="84">
        <v>3</v>
      </c>
      <c r="F1487" s="85">
        <f>TRUNC(G1492,2)</f>
        <v>30.52</v>
      </c>
      <c r="G1487" s="86">
        <f>TRUNC(F1487*1.2977,2)</f>
        <v>39.6</v>
      </c>
      <c r="H1487" s="86">
        <f>TRUNC(F1487*E1487,2)</f>
        <v>91.56</v>
      </c>
      <c r="I1487" s="87">
        <f>TRUNC(E1487*G1487,2)</f>
        <v>118.8</v>
      </c>
      <c r="J1487" s="87"/>
      <c r="K1487" s="84"/>
    </row>
    <row r="1488" spans="1:11" s="34" customFormat="1" ht="15">
      <c r="A1488" s="30"/>
      <c r="B1488" s="43" t="s">
        <v>1591</v>
      </c>
      <c r="C1488" s="45" t="s">
        <v>1592</v>
      </c>
      <c r="D1488" s="46" t="s">
        <v>10</v>
      </c>
      <c r="E1488" s="44">
        <v>0.2</v>
      </c>
      <c r="F1488" s="31">
        <f>TRUNC(5.92,2)</f>
        <v>5.92</v>
      </c>
      <c r="G1488" s="32">
        <f>TRUNC(E1488*F1488,2)</f>
        <v>1.18</v>
      </c>
      <c r="H1488" s="32"/>
      <c r="I1488" s="33"/>
      <c r="J1488" s="33"/>
      <c r="K1488" s="44"/>
    </row>
    <row r="1489" spans="1:11" s="34" customFormat="1" ht="30">
      <c r="A1489" s="30"/>
      <c r="B1489" s="43" t="s">
        <v>1593</v>
      </c>
      <c r="C1489" s="45" t="s">
        <v>1594</v>
      </c>
      <c r="D1489" s="46" t="s">
        <v>10</v>
      </c>
      <c r="E1489" s="44">
        <v>0.0111</v>
      </c>
      <c r="F1489" s="31">
        <f>TRUNC(272.7,2)</f>
        <v>272.7</v>
      </c>
      <c r="G1489" s="32">
        <f>TRUNC(E1489*F1489,2)</f>
        <v>3.02</v>
      </c>
      <c r="H1489" s="32"/>
      <c r="I1489" s="33"/>
      <c r="J1489" s="33"/>
      <c r="K1489" s="44"/>
    </row>
    <row r="1490" spans="1:11" s="34" customFormat="1" ht="30">
      <c r="A1490" s="30"/>
      <c r="B1490" s="43" t="s">
        <v>26</v>
      </c>
      <c r="C1490" s="45" t="s">
        <v>27</v>
      </c>
      <c r="D1490" s="46" t="s">
        <v>4</v>
      </c>
      <c r="E1490" s="44">
        <v>0.4841</v>
      </c>
      <c r="F1490" s="31">
        <f>TRUNC(14.34,2)</f>
        <v>14.34</v>
      </c>
      <c r="G1490" s="32">
        <f>TRUNC(E1490*F1490,2)</f>
        <v>6.94</v>
      </c>
      <c r="H1490" s="32"/>
      <c r="I1490" s="33"/>
      <c r="J1490" s="33"/>
      <c r="K1490" s="44"/>
    </row>
    <row r="1491" spans="1:11" s="34" customFormat="1" ht="15">
      <c r="A1491" s="30"/>
      <c r="B1491" s="43" t="s">
        <v>407</v>
      </c>
      <c r="C1491" s="45" t="s">
        <v>408</v>
      </c>
      <c r="D1491" s="46" t="s">
        <v>4</v>
      </c>
      <c r="E1491" s="44">
        <v>0.9784999999999999</v>
      </c>
      <c r="F1491" s="31">
        <f>TRUNC(19.81,2)</f>
        <v>19.81</v>
      </c>
      <c r="G1491" s="32">
        <f>TRUNC(E1491*F1491,2)</f>
        <v>19.38</v>
      </c>
      <c r="H1491" s="32"/>
      <c r="I1491" s="33"/>
      <c r="J1491" s="33"/>
      <c r="K1491" s="44"/>
    </row>
    <row r="1492" spans="1:11" s="34" customFormat="1" ht="15">
      <c r="A1492" s="30"/>
      <c r="B1492" s="43"/>
      <c r="C1492" s="45"/>
      <c r="D1492" s="46"/>
      <c r="E1492" s="44" t="s">
        <v>5</v>
      </c>
      <c r="F1492" s="31"/>
      <c r="G1492" s="32">
        <f>TRUNC(SUM(G1488:G1491),2)</f>
        <v>30.52</v>
      </c>
      <c r="H1492" s="32"/>
      <c r="I1492" s="33"/>
      <c r="J1492" s="33"/>
      <c r="K1492" s="44"/>
    </row>
    <row r="1493" spans="1:11" s="88" customFormat="1" ht="60">
      <c r="A1493" s="80" t="s">
        <v>1718</v>
      </c>
      <c r="B1493" s="81" t="s">
        <v>1344</v>
      </c>
      <c r="C1493" s="82" t="s">
        <v>1345</v>
      </c>
      <c r="D1493" s="83" t="s">
        <v>10</v>
      </c>
      <c r="E1493" s="84">
        <v>5</v>
      </c>
      <c r="F1493" s="85">
        <f>TRUNC(G1496,2)</f>
        <v>34.98</v>
      </c>
      <c r="G1493" s="86">
        <f>TRUNC(F1493*1.2977,2)</f>
        <v>45.39</v>
      </c>
      <c r="H1493" s="86">
        <f>TRUNC(F1493*E1493,2)</f>
        <v>174.9</v>
      </c>
      <c r="I1493" s="87">
        <f>TRUNC(E1493*G1493,2)</f>
        <v>226.95</v>
      </c>
      <c r="J1493" s="87"/>
      <c r="K1493" s="84"/>
    </row>
    <row r="1494" spans="1:11" s="34" customFormat="1" ht="30">
      <c r="A1494" s="30"/>
      <c r="B1494" s="43" t="s">
        <v>1346</v>
      </c>
      <c r="C1494" s="45" t="s">
        <v>1347</v>
      </c>
      <c r="D1494" s="46" t="s">
        <v>10</v>
      </c>
      <c r="E1494" s="44">
        <v>1</v>
      </c>
      <c r="F1494" s="59">
        <f>TRUNC(30.9,2)</f>
        <v>30.9</v>
      </c>
      <c r="G1494" s="32">
        <f>TRUNC(E1494*F1494,2)</f>
        <v>30.9</v>
      </c>
      <c r="H1494" s="32"/>
      <c r="I1494" s="33"/>
      <c r="J1494" s="33"/>
      <c r="K1494" s="44"/>
    </row>
    <row r="1495" spans="1:11" s="34" customFormat="1" ht="15">
      <c r="A1495" s="30"/>
      <c r="B1495" s="43" t="s">
        <v>239</v>
      </c>
      <c r="C1495" s="45" t="s">
        <v>240</v>
      </c>
      <c r="D1495" s="46" t="s">
        <v>4</v>
      </c>
      <c r="E1495" s="44">
        <v>0.20600000000000002</v>
      </c>
      <c r="F1495" s="59">
        <f>TRUNC(19.81,2)</f>
        <v>19.81</v>
      </c>
      <c r="G1495" s="32">
        <f>TRUNC(E1495*F1495,2)</f>
        <v>4.08</v>
      </c>
      <c r="H1495" s="32"/>
      <c r="I1495" s="33"/>
      <c r="J1495" s="33"/>
      <c r="K1495" s="44"/>
    </row>
    <row r="1496" spans="1:11" s="34" customFormat="1" ht="15">
      <c r="A1496" s="30"/>
      <c r="B1496" s="43"/>
      <c r="C1496" s="45"/>
      <c r="D1496" s="46"/>
      <c r="E1496" s="44" t="s">
        <v>5</v>
      </c>
      <c r="F1496" s="59"/>
      <c r="G1496" s="32">
        <f>TRUNC(SUM(G1494:G1495),2)</f>
        <v>34.98</v>
      </c>
      <c r="H1496" s="32"/>
      <c r="I1496" s="33"/>
      <c r="J1496" s="33"/>
      <c r="K1496" s="44"/>
    </row>
    <row r="1497" spans="1:11" s="88" customFormat="1" ht="60">
      <c r="A1497" s="80" t="s">
        <v>1719</v>
      </c>
      <c r="B1497" s="81" t="s">
        <v>1344</v>
      </c>
      <c r="C1497" s="82" t="s">
        <v>1588</v>
      </c>
      <c r="D1497" s="83" t="s">
        <v>10</v>
      </c>
      <c r="E1497" s="84">
        <v>1</v>
      </c>
      <c r="F1497" s="85">
        <f>TRUNC(G1500,2)</f>
        <v>34.98</v>
      </c>
      <c r="G1497" s="86">
        <f>TRUNC(F1497*1.2977,2)</f>
        <v>45.39</v>
      </c>
      <c r="H1497" s="86">
        <f>TRUNC(F1497*E1497,2)</f>
        <v>34.98</v>
      </c>
      <c r="I1497" s="87">
        <f>TRUNC(E1497*G1497,2)</f>
        <v>45.39</v>
      </c>
      <c r="J1497" s="87"/>
      <c r="K1497" s="84"/>
    </row>
    <row r="1498" spans="1:11" s="34" customFormat="1" ht="30">
      <c r="A1498" s="30"/>
      <c r="B1498" s="43" t="s">
        <v>1346</v>
      </c>
      <c r="C1498" s="45" t="s">
        <v>1347</v>
      </c>
      <c r="D1498" s="46" t="s">
        <v>10</v>
      </c>
      <c r="E1498" s="44">
        <v>1</v>
      </c>
      <c r="F1498" s="59">
        <f>TRUNC(30.9,2)</f>
        <v>30.9</v>
      </c>
      <c r="G1498" s="32">
        <f>TRUNC(E1498*F1498,2)</f>
        <v>30.9</v>
      </c>
      <c r="H1498" s="32"/>
      <c r="I1498" s="33"/>
      <c r="J1498" s="33"/>
      <c r="K1498" s="44"/>
    </row>
    <row r="1499" spans="1:11" s="34" customFormat="1" ht="15">
      <c r="A1499" s="30"/>
      <c r="B1499" s="43" t="s">
        <v>239</v>
      </c>
      <c r="C1499" s="45" t="s">
        <v>240</v>
      </c>
      <c r="D1499" s="46" t="s">
        <v>4</v>
      </c>
      <c r="E1499" s="44">
        <v>0.20600000000000002</v>
      </c>
      <c r="F1499" s="59">
        <f>TRUNC(19.81,2)</f>
        <v>19.81</v>
      </c>
      <c r="G1499" s="32">
        <f>TRUNC(E1499*F1499,2)</f>
        <v>4.08</v>
      </c>
      <c r="H1499" s="32"/>
      <c r="I1499" s="33"/>
      <c r="J1499" s="33"/>
      <c r="K1499" s="44"/>
    </row>
    <row r="1500" spans="1:11" s="34" customFormat="1" ht="15">
      <c r="A1500" s="30"/>
      <c r="B1500" s="43"/>
      <c r="C1500" s="45"/>
      <c r="D1500" s="46"/>
      <c r="E1500" s="44" t="s">
        <v>5</v>
      </c>
      <c r="F1500" s="59"/>
      <c r="G1500" s="32">
        <f>TRUNC(SUM(G1498:G1499),2)</f>
        <v>34.98</v>
      </c>
      <c r="H1500" s="32"/>
      <c r="I1500" s="33"/>
      <c r="J1500" s="33"/>
      <c r="K1500" s="44"/>
    </row>
    <row r="1501" spans="1:11" s="88" customFormat="1" ht="75">
      <c r="A1501" s="80" t="s">
        <v>1720</v>
      </c>
      <c r="B1501" s="81" t="s">
        <v>1348</v>
      </c>
      <c r="C1501" s="82" t="s">
        <v>1349</v>
      </c>
      <c r="D1501" s="83" t="s">
        <v>10</v>
      </c>
      <c r="E1501" s="84">
        <v>5</v>
      </c>
      <c r="F1501" s="85">
        <f>TRUNC(G1504,2)</f>
        <v>48.37</v>
      </c>
      <c r="G1501" s="86">
        <f>TRUNC(F1501*1.2977,2)</f>
        <v>62.76</v>
      </c>
      <c r="H1501" s="86">
        <f>TRUNC(F1501*E1501,2)</f>
        <v>241.85</v>
      </c>
      <c r="I1501" s="87">
        <f>TRUNC(E1501*G1501,2)</f>
        <v>313.8</v>
      </c>
      <c r="J1501" s="87"/>
      <c r="K1501" s="84"/>
    </row>
    <row r="1502" spans="1:11" s="34" customFormat="1" ht="30">
      <c r="A1502" s="30"/>
      <c r="B1502" s="43" t="s">
        <v>1350</v>
      </c>
      <c r="C1502" s="45" t="s">
        <v>1351</v>
      </c>
      <c r="D1502" s="46" t="s">
        <v>10</v>
      </c>
      <c r="E1502" s="44">
        <v>1</v>
      </c>
      <c r="F1502" s="59">
        <f>TRUNC(44.29,2)</f>
        <v>44.29</v>
      </c>
      <c r="G1502" s="32">
        <f>TRUNC(E1502*F1502,2)</f>
        <v>44.29</v>
      </c>
      <c r="H1502" s="32"/>
      <c r="I1502" s="33"/>
      <c r="J1502" s="33"/>
      <c r="K1502" s="44"/>
    </row>
    <row r="1503" spans="1:11" s="34" customFormat="1" ht="15">
      <c r="A1503" s="30"/>
      <c r="B1503" s="43" t="s">
        <v>239</v>
      </c>
      <c r="C1503" s="45" t="s">
        <v>240</v>
      </c>
      <c r="D1503" s="46" t="s">
        <v>4</v>
      </c>
      <c r="E1503" s="44">
        <v>0.20600000000000002</v>
      </c>
      <c r="F1503" s="59">
        <f>TRUNC(19.81,2)</f>
        <v>19.81</v>
      </c>
      <c r="G1503" s="32">
        <f>TRUNC(E1503*F1503,2)</f>
        <v>4.08</v>
      </c>
      <c r="H1503" s="32"/>
      <c r="I1503" s="33"/>
      <c r="J1503" s="33"/>
      <c r="K1503" s="44"/>
    </row>
    <row r="1504" spans="1:11" s="34" customFormat="1" ht="15">
      <c r="A1504" s="30"/>
      <c r="B1504" s="43"/>
      <c r="C1504" s="45"/>
      <c r="D1504" s="46"/>
      <c r="E1504" s="44" t="s">
        <v>5</v>
      </c>
      <c r="F1504" s="59"/>
      <c r="G1504" s="32">
        <f>TRUNC(SUM(G1502:G1503),2)</f>
        <v>48.37</v>
      </c>
      <c r="H1504" s="32"/>
      <c r="I1504" s="33"/>
      <c r="J1504" s="33"/>
      <c r="K1504" s="44"/>
    </row>
    <row r="1505" spans="1:11" s="88" customFormat="1" ht="30">
      <c r="A1505" s="80" t="s">
        <v>1721</v>
      </c>
      <c r="B1505" s="81" t="s">
        <v>1323</v>
      </c>
      <c r="C1505" s="82" t="s">
        <v>1352</v>
      </c>
      <c r="D1505" s="83" t="s">
        <v>10</v>
      </c>
      <c r="E1505" s="84">
        <v>9</v>
      </c>
      <c r="F1505" s="85">
        <f>TRUNC(G1509,2)</f>
        <v>29</v>
      </c>
      <c r="G1505" s="86">
        <f>TRUNC(F1505*1.2977,2)</f>
        <v>37.63</v>
      </c>
      <c r="H1505" s="86">
        <f>TRUNC(F1505*E1505,2)</f>
        <v>261</v>
      </c>
      <c r="I1505" s="87">
        <f>TRUNC(E1505*G1505,2)</f>
        <v>338.67</v>
      </c>
      <c r="J1505" s="87"/>
      <c r="K1505" s="84"/>
    </row>
    <row r="1506" spans="1:11" s="34" customFormat="1" ht="30">
      <c r="A1506" s="30"/>
      <c r="B1506" s="43" t="s">
        <v>1353</v>
      </c>
      <c r="C1506" s="45" t="s">
        <v>1354</v>
      </c>
      <c r="D1506" s="46" t="s">
        <v>10</v>
      </c>
      <c r="E1506" s="44">
        <v>1</v>
      </c>
      <c r="F1506" s="59">
        <f>TRUNC(22.61,2)</f>
        <v>22.61</v>
      </c>
      <c r="G1506" s="32">
        <f>TRUNC(E1506*F1506,2)</f>
        <v>22.61</v>
      </c>
      <c r="H1506" s="32"/>
      <c r="I1506" s="33"/>
      <c r="J1506" s="33"/>
      <c r="K1506" s="44"/>
    </row>
    <row r="1507" spans="1:11" s="34" customFormat="1" ht="15">
      <c r="A1507" s="30"/>
      <c r="B1507" s="43" t="s">
        <v>480</v>
      </c>
      <c r="C1507" s="45" t="s">
        <v>481</v>
      </c>
      <c r="D1507" s="46" t="s">
        <v>4</v>
      </c>
      <c r="E1507" s="44">
        <v>0.1795</v>
      </c>
      <c r="F1507" s="59">
        <f>TRUNC(26.87,2)</f>
        <v>26.87</v>
      </c>
      <c r="G1507" s="32">
        <f>TRUNC(E1507*F1507,2)</f>
        <v>4.82</v>
      </c>
      <c r="H1507" s="32"/>
      <c r="I1507" s="33"/>
      <c r="J1507" s="33"/>
      <c r="K1507" s="44"/>
    </row>
    <row r="1508" spans="1:11" s="34" customFormat="1" ht="15">
      <c r="A1508" s="30"/>
      <c r="B1508" s="43" t="s">
        <v>482</v>
      </c>
      <c r="C1508" s="45" t="s">
        <v>483</v>
      </c>
      <c r="D1508" s="46" t="s">
        <v>4</v>
      </c>
      <c r="E1508" s="44">
        <v>0.0748</v>
      </c>
      <c r="F1508" s="59">
        <f>TRUNC(21,2)</f>
        <v>21</v>
      </c>
      <c r="G1508" s="32">
        <f>TRUNC(E1508*F1508,2)</f>
        <v>1.57</v>
      </c>
      <c r="H1508" s="32"/>
      <c r="I1508" s="33"/>
      <c r="J1508" s="33"/>
      <c r="K1508" s="44"/>
    </row>
    <row r="1509" spans="1:11" s="34" customFormat="1" ht="15">
      <c r="A1509" s="30"/>
      <c r="B1509" s="43"/>
      <c r="C1509" s="45"/>
      <c r="D1509" s="46"/>
      <c r="E1509" s="44" t="s">
        <v>5</v>
      </c>
      <c r="F1509" s="59"/>
      <c r="G1509" s="32">
        <f>TRUNC(SUM(G1506:G1508),2)</f>
        <v>29</v>
      </c>
      <c r="H1509" s="32"/>
      <c r="I1509" s="33"/>
      <c r="J1509" s="33"/>
      <c r="K1509" s="44"/>
    </row>
    <row r="1510" spans="1:11" s="72" customFormat="1" ht="15">
      <c r="A1510" s="65" t="s">
        <v>1363</v>
      </c>
      <c r="B1510" s="66"/>
      <c r="C1510" s="67"/>
      <c r="D1510" s="68"/>
      <c r="E1510" s="69"/>
      <c r="F1510" s="70"/>
      <c r="G1510" s="73" t="s">
        <v>1456</v>
      </c>
      <c r="H1510" s="75">
        <f>H1505+H1501+H1493+H1481+H1475+H1497+H1487</f>
        <v>2248.04</v>
      </c>
      <c r="I1510" s="75">
        <f>I1505+I1501+I1493+I1481+I1475+I1497+I1487</f>
        <v>2917.14</v>
      </c>
      <c r="J1510" s="71"/>
      <c r="K1510" s="69"/>
    </row>
    <row r="1511" spans="1:11" s="21" customFormat="1" ht="15.75">
      <c r="A1511" s="21" t="s">
        <v>1722</v>
      </c>
      <c r="B1511" s="28"/>
      <c r="C1511" s="29" t="s">
        <v>1463</v>
      </c>
      <c r="D1511" s="29"/>
      <c r="E1511" s="29"/>
      <c r="F1511" s="29"/>
      <c r="G1511" s="29"/>
      <c r="H1511" s="29"/>
      <c r="I1511" s="27"/>
      <c r="J1511" s="29"/>
      <c r="K1511" s="29"/>
    </row>
    <row r="1512" spans="1:10" s="88" customFormat="1" ht="45">
      <c r="A1512" s="97" t="s">
        <v>1723</v>
      </c>
      <c r="B1512" s="81" t="s">
        <v>567</v>
      </c>
      <c r="C1512" s="82" t="s">
        <v>568</v>
      </c>
      <c r="D1512" s="83" t="s">
        <v>0</v>
      </c>
      <c r="E1512" s="84">
        <v>803.15</v>
      </c>
      <c r="F1512" s="86">
        <f>TRUNC(G1516,2)</f>
        <v>62.47</v>
      </c>
      <c r="G1512" s="86">
        <f>TRUNC(F1512*1.2882,2)</f>
        <v>80.47</v>
      </c>
      <c r="H1512" s="86">
        <f>TRUNC(F1512*E1512,2)</f>
        <v>50172.78</v>
      </c>
      <c r="I1512" s="87">
        <f>TRUNC(E1512*G1512,2)</f>
        <v>64629.48</v>
      </c>
      <c r="J1512" s="98"/>
    </row>
    <row r="1513" spans="1:11" s="34" customFormat="1" ht="15">
      <c r="A1513" s="30"/>
      <c r="B1513" s="43" t="s">
        <v>569</v>
      </c>
      <c r="C1513" s="45" t="s">
        <v>570</v>
      </c>
      <c r="D1513" s="46" t="s">
        <v>10</v>
      </c>
      <c r="E1513" s="44">
        <v>16</v>
      </c>
      <c r="F1513" s="31">
        <f>TRUNC(1.5,2)</f>
        <v>1.5</v>
      </c>
      <c r="G1513" s="32">
        <f>TRUNC(E1513*F1513,2)</f>
        <v>24</v>
      </c>
      <c r="H1513" s="32"/>
      <c r="I1513" s="33"/>
      <c r="J1513" s="33"/>
      <c r="K1513" s="44"/>
    </row>
    <row r="1514" spans="1:11" s="34" customFormat="1" ht="30">
      <c r="A1514" s="30"/>
      <c r="B1514" s="43" t="s">
        <v>26</v>
      </c>
      <c r="C1514" s="45" t="s">
        <v>27</v>
      </c>
      <c r="D1514" s="46" t="s">
        <v>4</v>
      </c>
      <c r="E1514" s="44">
        <v>1.545</v>
      </c>
      <c r="F1514" s="31">
        <f>TRUNC(14.34,2)</f>
        <v>14.34</v>
      </c>
      <c r="G1514" s="32">
        <f>TRUNC(E1514*F1514,2)</f>
        <v>22.15</v>
      </c>
      <c r="H1514" s="32"/>
      <c r="I1514" s="33"/>
      <c r="J1514" s="33"/>
      <c r="K1514" s="44"/>
    </row>
    <row r="1515" spans="1:11" s="34" customFormat="1" ht="15">
      <c r="A1515" s="30"/>
      <c r="B1515" s="43" t="s">
        <v>239</v>
      </c>
      <c r="C1515" s="45" t="s">
        <v>240</v>
      </c>
      <c r="D1515" s="46" t="s">
        <v>4</v>
      </c>
      <c r="E1515" s="44">
        <v>0.8240000000000001</v>
      </c>
      <c r="F1515" s="31">
        <f>TRUNC(19.81,2)</f>
        <v>19.81</v>
      </c>
      <c r="G1515" s="32">
        <f>TRUNC(E1515*F1515,2)</f>
        <v>16.32</v>
      </c>
      <c r="H1515" s="32"/>
      <c r="I1515" s="33"/>
      <c r="J1515" s="33"/>
      <c r="K1515" s="44"/>
    </row>
    <row r="1516" spans="1:11" s="34" customFormat="1" ht="15">
      <c r="A1516" s="30"/>
      <c r="B1516" s="43"/>
      <c r="C1516" s="45"/>
      <c r="D1516" s="46"/>
      <c r="E1516" s="44" t="s">
        <v>5</v>
      </c>
      <c r="F1516" s="31"/>
      <c r="G1516" s="32">
        <f>TRUNC(SUM(G1513:G1515),2)</f>
        <v>62.47</v>
      </c>
      <c r="H1516" s="32"/>
      <c r="I1516" s="33"/>
      <c r="J1516" s="33"/>
      <c r="K1516" s="44"/>
    </row>
    <row r="1517" spans="1:10" s="88" customFormat="1" ht="45">
      <c r="A1517" s="97" t="s">
        <v>1724</v>
      </c>
      <c r="B1517" s="81" t="s">
        <v>584</v>
      </c>
      <c r="C1517" s="82" t="s">
        <v>585</v>
      </c>
      <c r="D1517" s="83" t="s">
        <v>2</v>
      </c>
      <c r="E1517" s="84">
        <v>220.46</v>
      </c>
      <c r="F1517" s="86">
        <f>TRUNC(G1523,2)</f>
        <v>25.18</v>
      </c>
      <c r="G1517" s="86">
        <f>TRUNC(F1517*1.2882,2)</f>
        <v>32.43</v>
      </c>
      <c r="H1517" s="86">
        <f>TRUNC(F1517*E1517,2)</f>
        <v>5551.18</v>
      </c>
      <c r="I1517" s="87">
        <f>TRUNC(E1517*G1517,2)</f>
        <v>7149.51</v>
      </c>
      <c r="J1517" s="98"/>
    </row>
    <row r="1518" spans="1:11" s="34" customFormat="1" ht="15">
      <c r="A1518" s="30"/>
      <c r="B1518" s="43" t="s">
        <v>586</v>
      </c>
      <c r="C1518" s="45" t="s">
        <v>587</v>
      </c>
      <c r="D1518" s="46" t="s">
        <v>10</v>
      </c>
      <c r="E1518" s="44">
        <v>3</v>
      </c>
      <c r="F1518" s="31">
        <f>TRUNC(2.1,2)</f>
        <v>2.1</v>
      </c>
      <c r="G1518" s="32">
        <f>TRUNC(E1518*F1518,2)</f>
        <v>6.3</v>
      </c>
      <c r="H1518" s="32"/>
      <c r="I1518" s="33"/>
      <c r="J1518" s="33"/>
      <c r="K1518" s="44"/>
    </row>
    <row r="1519" spans="1:11" s="34" customFormat="1" ht="15">
      <c r="A1519" s="30"/>
      <c r="B1519" s="43" t="s">
        <v>348</v>
      </c>
      <c r="C1519" s="45" t="s">
        <v>349</v>
      </c>
      <c r="D1519" s="46" t="s">
        <v>3</v>
      </c>
      <c r="E1519" s="44">
        <v>0.86</v>
      </c>
      <c r="F1519" s="31">
        <f>TRUNC(0.47,2)</f>
        <v>0.47</v>
      </c>
      <c r="G1519" s="32">
        <f>TRUNC(E1519*F1519,2)</f>
        <v>0.4</v>
      </c>
      <c r="H1519" s="32"/>
      <c r="I1519" s="33"/>
      <c r="J1519" s="33"/>
      <c r="K1519" s="44"/>
    </row>
    <row r="1520" spans="1:11" s="34" customFormat="1" ht="15">
      <c r="A1520" s="30"/>
      <c r="B1520" s="43" t="s">
        <v>350</v>
      </c>
      <c r="C1520" s="45" t="s">
        <v>351</v>
      </c>
      <c r="D1520" s="46" t="s">
        <v>1</v>
      </c>
      <c r="E1520" s="44">
        <v>0.002</v>
      </c>
      <c r="F1520" s="31">
        <f>TRUNC(80,2)</f>
        <v>80</v>
      </c>
      <c r="G1520" s="32">
        <f>TRUNC(E1520*F1520,2)</f>
        <v>0.16</v>
      </c>
      <c r="H1520" s="32"/>
      <c r="I1520" s="33"/>
      <c r="J1520" s="33"/>
      <c r="K1520" s="44"/>
    </row>
    <row r="1521" spans="1:11" s="34" customFormat="1" ht="30">
      <c r="A1521" s="30"/>
      <c r="B1521" s="43" t="s">
        <v>26</v>
      </c>
      <c r="C1521" s="45" t="s">
        <v>27</v>
      </c>
      <c r="D1521" s="46" t="s">
        <v>4</v>
      </c>
      <c r="E1521" s="44">
        <v>0.5665000000000001</v>
      </c>
      <c r="F1521" s="31">
        <f>TRUNC(14.34,2)</f>
        <v>14.34</v>
      </c>
      <c r="G1521" s="32">
        <f>TRUNC(E1521*F1521,2)</f>
        <v>8.12</v>
      </c>
      <c r="H1521" s="32"/>
      <c r="I1521" s="33"/>
      <c r="J1521" s="33"/>
      <c r="K1521" s="44"/>
    </row>
    <row r="1522" spans="1:11" s="34" customFormat="1" ht="15">
      <c r="A1522" s="30"/>
      <c r="B1522" s="43" t="s">
        <v>239</v>
      </c>
      <c r="C1522" s="45" t="s">
        <v>240</v>
      </c>
      <c r="D1522" s="46" t="s">
        <v>4</v>
      </c>
      <c r="E1522" s="44">
        <v>0.515</v>
      </c>
      <c r="F1522" s="31">
        <f>TRUNC(19.81,2)</f>
        <v>19.81</v>
      </c>
      <c r="G1522" s="32">
        <f>TRUNC(E1522*F1522,2)</f>
        <v>10.2</v>
      </c>
      <c r="H1522" s="32"/>
      <c r="I1522" s="33"/>
      <c r="J1522" s="33"/>
      <c r="K1522" s="44"/>
    </row>
    <row r="1523" spans="1:11" s="34" customFormat="1" ht="15">
      <c r="A1523" s="30"/>
      <c r="B1523" s="43"/>
      <c r="C1523" s="45"/>
      <c r="D1523" s="46"/>
      <c r="E1523" s="44" t="s">
        <v>5</v>
      </c>
      <c r="F1523" s="31"/>
      <c r="G1523" s="32">
        <f>TRUNC(SUM(G1518:G1522),2)</f>
        <v>25.18</v>
      </c>
      <c r="H1523" s="32"/>
      <c r="I1523" s="33"/>
      <c r="J1523" s="33"/>
      <c r="K1523" s="44"/>
    </row>
    <row r="1524" spans="1:10" s="88" customFormat="1" ht="75">
      <c r="A1524" s="97" t="s">
        <v>1725</v>
      </c>
      <c r="B1524" s="81" t="s">
        <v>571</v>
      </c>
      <c r="C1524" s="82" t="s">
        <v>572</v>
      </c>
      <c r="D1524" s="83" t="s">
        <v>0</v>
      </c>
      <c r="E1524" s="84">
        <v>803.15</v>
      </c>
      <c r="F1524" s="86">
        <f>TRUNC(G1532,2)</f>
        <v>114.83</v>
      </c>
      <c r="G1524" s="86">
        <f>TRUNC(F1524*1.2882,2)</f>
        <v>147.92</v>
      </c>
      <c r="H1524" s="86">
        <f>TRUNC(F1524*E1524,2)</f>
        <v>92225.71</v>
      </c>
      <c r="I1524" s="87">
        <f>TRUNC(E1524*G1524,2)</f>
        <v>118801.94</v>
      </c>
      <c r="J1524" s="98"/>
    </row>
    <row r="1525" spans="1:11" s="34" customFormat="1" ht="15">
      <c r="A1525" s="30"/>
      <c r="B1525" s="43" t="s">
        <v>573</v>
      </c>
      <c r="C1525" s="45" t="s">
        <v>574</v>
      </c>
      <c r="D1525" s="46" t="s">
        <v>2</v>
      </c>
      <c r="E1525" s="44">
        <v>2.82</v>
      </c>
      <c r="F1525" s="31">
        <f>TRUNC(12.26,2)</f>
        <v>12.26</v>
      </c>
      <c r="G1525" s="32">
        <f aca="true" t="shared" si="58" ref="G1525:G1531">TRUNC(E1525*F1525,2)</f>
        <v>34.57</v>
      </c>
      <c r="H1525" s="32"/>
      <c r="I1525" s="33"/>
      <c r="J1525" s="33"/>
      <c r="K1525" s="44"/>
    </row>
    <row r="1526" spans="1:11" s="34" customFormat="1" ht="15">
      <c r="A1526" s="30"/>
      <c r="B1526" s="43" t="s">
        <v>575</v>
      </c>
      <c r="C1526" s="45" t="s">
        <v>576</v>
      </c>
      <c r="D1526" s="46" t="s">
        <v>2</v>
      </c>
      <c r="E1526" s="44">
        <v>4.24</v>
      </c>
      <c r="F1526" s="31">
        <f>TRUNC(4.25,2)</f>
        <v>4.25</v>
      </c>
      <c r="G1526" s="32">
        <f t="shared" si="58"/>
        <v>18.02</v>
      </c>
      <c r="H1526" s="32"/>
      <c r="I1526" s="33"/>
      <c r="J1526" s="33"/>
      <c r="K1526" s="44"/>
    </row>
    <row r="1527" spans="1:11" s="34" customFormat="1" ht="15">
      <c r="A1527" s="30"/>
      <c r="B1527" s="43" t="s">
        <v>577</v>
      </c>
      <c r="C1527" s="45" t="s">
        <v>578</v>
      </c>
      <c r="D1527" s="46" t="s">
        <v>2</v>
      </c>
      <c r="E1527" s="44">
        <v>0.2</v>
      </c>
      <c r="F1527" s="31">
        <f>TRUNC(22.9,2)</f>
        <v>22.9</v>
      </c>
      <c r="G1527" s="32">
        <f t="shared" si="58"/>
        <v>4.58</v>
      </c>
      <c r="H1527" s="32"/>
      <c r="I1527" s="33"/>
      <c r="J1527" s="33"/>
      <c r="K1527" s="44"/>
    </row>
    <row r="1528" spans="1:11" s="34" customFormat="1" ht="15">
      <c r="A1528" s="30"/>
      <c r="B1528" s="43" t="s">
        <v>579</v>
      </c>
      <c r="C1528" s="45" t="s">
        <v>580</v>
      </c>
      <c r="D1528" s="46" t="s">
        <v>2</v>
      </c>
      <c r="E1528" s="44">
        <v>0.4</v>
      </c>
      <c r="F1528" s="31">
        <f>TRUNC(37.08,2)</f>
        <v>37.08</v>
      </c>
      <c r="G1528" s="32">
        <f t="shared" si="58"/>
        <v>14.83</v>
      </c>
      <c r="H1528" s="32"/>
      <c r="I1528" s="33"/>
      <c r="J1528" s="33"/>
      <c r="K1528" s="44"/>
    </row>
    <row r="1529" spans="1:11" s="34" customFormat="1" ht="30">
      <c r="A1529" s="30"/>
      <c r="B1529" s="43" t="s">
        <v>63</v>
      </c>
      <c r="C1529" s="45" t="s">
        <v>64</v>
      </c>
      <c r="D1529" s="46" t="s">
        <v>3</v>
      </c>
      <c r="E1529" s="44">
        <v>0.04</v>
      </c>
      <c r="F1529" s="31">
        <f>TRUNC(15.94,2)</f>
        <v>15.94</v>
      </c>
      <c r="G1529" s="32">
        <f t="shared" si="58"/>
        <v>0.63</v>
      </c>
      <c r="H1529" s="32"/>
      <c r="I1529" s="33"/>
      <c r="J1529" s="33"/>
      <c r="K1529" s="44"/>
    </row>
    <row r="1530" spans="1:11" s="34" customFormat="1" ht="30">
      <c r="A1530" s="30"/>
      <c r="B1530" s="43" t="s">
        <v>26</v>
      </c>
      <c r="C1530" s="45" t="s">
        <v>27</v>
      </c>
      <c r="D1530" s="46" t="s">
        <v>4</v>
      </c>
      <c r="E1530" s="44">
        <v>1.236</v>
      </c>
      <c r="F1530" s="31">
        <f>TRUNC(14.34,2)</f>
        <v>14.34</v>
      </c>
      <c r="G1530" s="32">
        <f t="shared" si="58"/>
        <v>17.72</v>
      </c>
      <c r="H1530" s="32"/>
      <c r="I1530" s="33"/>
      <c r="J1530" s="33"/>
      <c r="K1530" s="44"/>
    </row>
    <row r="1531" spans="1:11" s="34" customFormat="1" ht="30">
      <c r="A1531" s="30"/>
      <c r="B1531" s="43" t="s">
        <v>581</v>
      </c>
      <c r="C1531" s="45" t="s">
        <v>582</v>
      </c>
      <c r="D1531" s="46" t="s">
        <v>4</v>
      </c>
      <c r="E1531" s="44">
        <v>1.236</v>
      </c>
      <c r="F1531" s="31">
        <f>TRUNC(19.81,2)</f>
        <v>19.81</v>
      </c>
      <c r="G1531" s="32">
        <f t="shared" si="58"/>
        <v>24.48</v>
      </c>
      <c r="H1531" s="32"/>
      <c r="I1531" s="33"/>
      <c r="J1531" s="33"/>
      <c r="K1531" s="44"/>
    </row>
    <row r="1532" spans="1:11" s="34" customFormat="1" ht="15">
      <c r="A1532" s="30"/>
      <c r="B1532" s="43"/>
      <c r="C1532" s="45"/>
      <c r="D1532" s="46"/>
      <c r="E1532" s="44" t="s">
        <v>5</v>
      </c>
      <c r="F1532" s="31"/>
      <c r="G1532" s="32">
        <f>TRUNC(SUM(G1525:G1531),2)</f>
        <v>114.83</v>
      </c>
      <c r="H1532" s="32"/>
      <c r="I1532" s="33"/>
      <c r="J1532" s="33"/>
      <c r="K1532" s="44"/>
    </row>
    <row r="1533" spans="1:10" s="88" customFormat="1" ht="30">
      <c r="A1533" s="97" t="s">
        <v>1726</v>
      </c>
      <c r="B1533" s="81" t="s">
        <v>583</v>
      </c>
      <c r="C1533" s="82" t="s">
        <v>1555</v>
      </c>
      <c r="D1533" s="83" t="s">
        <v>10</v>
      </c>
      <c r="E1533" s="84">
        <v>29</v>
      </c>
      <c r="F1533" s="86">
        <f>TRUNC(G1541,2)</f>
        <v>1241.75</v>
      </c>
      <c r="G1533" s="86">
        <f>TRUNC(F1533*1.2882,2)</f>
        <v>1599.62</v>
      </c>
      <c r="H1533" s="86">
        <f>TRUNC(F1533*E1533,2)</f>
        <v>36010.75</v>
      </c>
      <c r="I1533" s="87">
        <f>TRUNC(E1533*G1533,2)</f>
        <v>46388.98</v>
      </c>
      <c r="J1533" s="98"/>
    </row>
    <row r="1534" spans="1:11" s="34" customFormat="1" ht="15">
      <c r="A1534" s="30"/>
      <c r="B1534" s="43" t="s">
        <v>577</v>
      </c>
      <c r="C1534" s="45" t="s">
        <v>578</v>
      </c>
      <c r="D1534" s="46" t="s">
        <v>2</v>
      </c>
      <c r="E1534" s="44">
        <v>2</v>
      </c>
      <c r="F1534" s="31">
        <f>TRUNC(22.9,2)</f>
        <v>22.9</v>
      </c>
      <c r="G1534" s="32">
        <f aca="true" t="shared" si="59" ref="G1534:G1540">TRUNC(E1534*F1534,2)</f>
        <v>45.8</v>
      </c>
      <c r="H1534" s="32"/>
      <c r="I1534" s="33"/>
      <c r="J1534" s="33"/>
      <c r="K1534" s="44"/>
    </row>
    <row r="1535" spans="1:11" s="34" customFormat="1" ht="15">
      <c r="A1535" s="30"/>
      <c r="B1535" s="43" t="s">
        <v>579</v>
      </c>
      <c r="C1535" s="45" t="s">
        <v>580</v>
      </c>
      <c r="D1535" s="46" t="s">
        <v>2</v>
      </c>
      <c r="E1535" s="44">
        <v>4.5</v>
      </c>
      <c r="F1535" s="31">
        <f>TRUNC(37.08,2)</f>
        <v>37.08</v>
      </c>
      <c r="G1535" s="32">
        <f t="shared" si="59"/>
        <v>166.86</v>
      </c>
      <c r="H1535" s="32"/>
      <c r="I1535" s="33"/>
      <c r="J1535" s="33"/>
      <c r="K1535" s="44"/>
    </row>
    <row r="1536" spans="1:11" s="34" customFormat="1" ht="15">
      <c r="A1536" s="30"/>
      <c r="B1536" s="43" t="s">
        <v>77</v>
      </c>
      <c r="C1536" s="45" t="s">
        <v>78</v>
      </c>
      <c r="D1536" s="46" t="s">
        <v>2</v>
      </c>
      <c r="E1536" s="44">
        <v>5.5</v>
      </c>
      <c r="F1536" s="31">
        <f>TRUNC(54.1,2)</f>
        <v>54.1</v>
      </c>
      <c r="G1536" s="32">
        <f t="shared" si="59"/>
        <v>297.55</v>
      </c>
      <c r="H1536" s="32"/>
      <c r="I1536" s="33"/>
      <c r="J1536" s="33"/>
      <c r="K1536" s="44"/>
    </row>
    <row r="1537" spans="1:11" s="34" customFormat="1" ht="30">
      <c r="A1537" s="30"/>
      <c r="B1537" s="43" t="s">
        <v>63</v>
      </c>
      <c r="C1537" s="45" t="s">
        <v>64</v>
      </c>
      <c r="D1537" s="46" t="s">
        <v>3</v>
      </c>
      <c r="E1537" s="44">
        <v>1</v>
      </c>
      <c r="F1537" s="31">
        <f>TRUNC(15.94,2)</f>
        <v>15.94</v>
      </c>
      <c r="G1537" s="32">
        <f t="shared" si="59"/>
        <v>15.94</v>
      </c>
      <c r="H1537" s="32"/>
      <c r="I1537" s="33"/>
      <c r="J1537" s="33"/>
      <c r="K1537" s="44"/>
    </row>
    <row r="1538" spans="1:11" s="34" customFormat="1" ht="30">
      <c r="A1538" s="30"/>
      <c r="B1538" s="43" t="s">
        <v>111</v>
      </c>
      <c r="C1538" s="45" t="s">
        <v>112</v>
      </c>
      <c r="D1538" s="46" t="s">
        <v>3</v>
      </c>
      <c r="E1538" s="44">
        <v>6</v>
      </c>
      <c r="F1538" s="31">
        <f>TRUNC(8.11,2)</f>
        <v>8.11</v>
      </c>
      <c r="G1538" s="32">
        <f t="shared" si="59"/>
        <v>48.66</v>
      </c>
      <c r="H1538" s="32"/>
      <c r="I1538" s="33"/>
      <c r="J1538" s="33"/>
      <c r="K1538" s="44"/>
    </row>
    <row r="1539" spans="1:11" s="34" customFormat="1" ht="30">
      <c r="A1539" s="30"/>
      <c r="B1539" s="43" t="s">
        <v>26</v>
      </c>
      <c r="C1539" s="45" t="s">
        <v>27</v>
      </c>
      <c r="D1539" s="46" t="s">
        <v>4</v>
      </c>
      <c r="E1539" s="44">
        <v>12.36</v>
      </c>
      <c r="F1539" s="31">
        <f>TRUNC(14.34,2)</f>
        <v>14.34</v>
      </c>
      <c r="G1539" s="32">
        <f t="shared" si="59"/>
        <v>177.24</v>
      </c>
      <c r="H1539" s="32"/>
      <c r="I1539" s="33"/>
      <c r="J1539" s="33"/>
      <c r="K1539" s="44"/>
    </row>
    <row r="1540" spans="1:11" s="34" customFormat="1" ht="30">
      <c r="A1540" s="30"/>
      <c r="B1540" s="43" t="s">
        <v>581</v>
      </c>
      <c r="C1540" s="45" t="s">
        <v>582</v>
      </c>
      <c r="D1540" s="46" t="s">
        <v>4</v>
      </c>
      <c r="E1540" s="44">
        <v>24.72</v>
      </c>
      <c r="F1540" s="31">
        <f>TRUNC(19.81,2)</f>
        <v>19.81</v>
      </c>
      <c r="G1540" s="32">
        <f t="shared" si="59"/>
        <v>489.7</v>
      </c>
      <c r="H1540" s="32"/>
      <c r="I1540" s="33"/>
      <c r="J1540" s="33"/>
      <c r="K1540" s="44"/>
    </row>
    <row r="1541" spans="1:11" s="34" customFormat="1" ht="15">
      <c r="A1541" s="30"/>
      <c r="B1541" s="43"/>
      <c r="C1541" s="45"/>
      <c r="D1541" s="46"/>
      <c r="E1541" s="44" t="s">
        <v>5</v>
      </c>
      <c r="F1541" s="31"/>
      <c r="G1541" s="32">
        <f>TRUNC(SUM(G1534:G1540),2)</f>
        <v>1241.75</v>
      </c>
      <c r="H1541" s="32"/>
      <c r="I1541" s="33"/>
      <c r="J1541" s="33"/>
      <c r="K1541" s="44"/>
    </row>
    <row r="1542" spans="1:10" s="88" customFormat="1" ht="45">
      <c r="A1542" s="97" t="s">
        <v>1727</v>
      </c>
      <c r="B1542" s="81" t="s">
        <v>588</v>
      </c>
      <c r="C1542" s="82" t="s">
        <v>589</v>
      </c>
      <c r="D1542" s="83" t="s">
        <v>0</v>
      </c>
      <c r="E1542" s="84">
        <v>317.66</v>
      </c>
      <c r="F1542" s="86">
        <f>TRUNC(G1546,2)</f>
        <v>21.89</v>
      </c>
      <c r="G1542" s="86">
        <f>TRUNC(F1542*1.2882,2)</f>
        <v>28.19</v>
      </c>
      <c r="H1542" s="86">
        <f>TRUNC(F1542*E1542,2)</f>
        <v>6953.57</v>
      </c>
      <c r="I1542" s="87">
        <f>TRUNC(E1542*G1542,2)</f>
        <v>8954.83</v>
      </c>
      <c r="J1542" s="98"/>
    </row>
    <row r="1543" spans="1:11" s="34" customFormat="1" ht="15">
      <c r="A1543" s="30"/>
      <c r="B1543" s="43" t="s">
        <v>590</v>
      </c>
      <c r="C1543" s="45" t="s">
        <v>591</v>
      </c>
      <c r="D1543" s="46" t="s">
        <v>3</v>
      </c>
      <c r="E1543" s="44">
        <v>1.2</v>
      </c>
      <c r="F1543" s="31">
        <f>TRUNC(13.62,2)</f>
        <v>13.62</v>
      </c>
      <c r="G1543" s="32">
        <f>TRUNC(E1543*F1543,2)</f>
        <v>16.34</v>
      </c>
      <c r="H1543" s="32"/>
      <c r="I1543" s="33"/>
      <c r="J1543" s="33"/>
      <c r="K1543" s="44"/>
    </row>
    <row r="1544" spans="1:11" s="34" customFormat="1" ht="30">
      <c r="A1544" s="30"/>
      <c r="B1544" s="43" t="s">
        <v>26</v>
      </c>
      <c r="C1544" s="45" t="s">
        <v>27</v>
      </c>
      <c r="D1544" s="46" t="s">
        <v>4</v>
      </c>
      <c r="E1544" s="44">
        <v>0.10300000000000001</v>
      </c>
      <c r="F1544" s="31">
        <f>TRUNC(14.34,2)</f>
        <v>14.34</v>
      </c>
      <c r="G1544" s="32">
        <f>TRUNC(E1544*F1544,2)</f>
        <v>1.47</v>
      </c>
      <c r="H1544" s="32"/>
      <c r="I1544" s="33"/>
      <c r="J1544" s="33"/>
      <c r="K1544" s="44"/>
    </row>
    <row r="1545" spans="1:11" s="34" customFormat="1" ht="15">
      <c r="A1545" s="30"/>
      <c r="B1545" s="43" t="s">
        <v>239</v>
      </c>
      <c r="C1545" s="45" t="s">
        <v>240</v>
      </c>
      <c r="D1545" s="46" t="s">
        <v>4</v>
      </c>
      <c r="E1545" s="44">
        <v>0.20600000000000002</v>
      </c>
      <c r="F1545" s="31">
        <f>TRUNC(19.81,2)</f>
        <v>19.81</v>
      </c>
      <c r="G1545" s="32">
        <f>TRUNC(E1545*F1545,2)</f>
        <v>4.08</v>
      </c>
      <c r="H1545" s="32"/>
      <c r="I1545" s="33"/>
      <c r="J1545" s="33"/>
      <c r="K1545" s="44"/>
    </row>
    <row r="1546" spans="1:11" s="34" customFormat="1" ht="15">
      <c r="A1546" s="30"/>
      <c r="B1546" s="43"/>
      <c r="C1546" s="45"/>
      <c r="D1546" s="46"/>
      <c r="E1546" s="44" t="s">
        <v>5</v>
      </c>
      <c r="F1546" s="31"/>
      <c r="G1546" s="32">
        <f>TRUNC(SUM(G1543:G1545),2)</f>
        <v>21.89</v>
      </c>
      <c r="H1546" s="32"/>
      <c r="I1546" s="33"/>
      <c r="J1546" s="33"/>
      <c r="K1546" s="44"/>
    </row>
    <row r="1547" spans="1:10" s="88" customFormat="1" ht="60">
      <c r="A1547" s="97" t="s">
        <v>1728</v>
      </c>
      <c r="B1547" s="81" t="s">
        <v>378</v>
      </c>
      <c r="C1547" s="82" t="s">
        <v>1556</v>
      </c>
      <c r="D1547" s="83" t="s">
        <v>2</v>
      </c>
      <c r="E1547" s="84">
        <v>182.2</v>
      </c>
      <c r="F1547" s="86">
        <f>TRUNC(G1554,2)</f>
        <v>99.34</v>
      </c>
      <c r="G1547" s="86">
        <f>TRUNC(F1547*1.2882,2)</f>
        <v>127.96</v>
      </c>
      <c r="H1547" s="86">
        <f>TRUNC(F1547*E1547,2)</f>
        <v>18099.74</v>
      </c>
      <c r="I1547" s="87">
        <f>TRUNC(E1547*G1547,2)</f>
        <v>23314.31</v>
      </c>
      <c r="J1547" s="98"/>
    </row>
    <row r="1548" spans="1:11" s="34" customFormat="1" ht="15">
      <c r="A1548" s="30"/>
      <c r="B1548" s="43" t="s">
        <v>379</v>
      </c>
      <c r="C1548" s="45" t="s">
        <v>380</v>
      </c>
      <c r="D1548" s="46" t="s">
        <v>2</v>
      </c>
      <c r="E1548" s="44">
        <v>1.05</v>
      </c>
      <c r="F1548" s="31">
        <f>TRUNC(74.98,2)</f>
        <v>74.98</v>
      </c>
      <c r="G1548" s="32">
        <f aca="true" t="shared" si="60" ref="G1548:G1553">TRUNC(E1548*F1548,2)</f>
        <v>78.72</v>
      </c>
      <c r="H1548" s="32"/>
      <c r="I1548" s="33"/>
      <c r="J1548" s="33"/>
      <c r="K1548" s="44"/>
    </row>
    <row r="1549" spans="1:11" s="34" customFormat="1" ht="15">
      <c r="A1549" s="30"/>
      <c r="B1549" s="43" t="s">
        <v>374</v>
      </c>
      <c r="C1549" s="45" t="s">
        <v>375</v>
      </c>
      <c r="D1549" s="46" t="s">
        <v>3</v>
      </c>
      <c r="E1549" s="44">
        <v>1</v>
      </c>
      <c r="F1549" s="31">
        <f>TRUNC(1.4,2)</f>
        <v>1.4</v>
      </c>
      <c r="G1549" s="32">
        <f t="shared" si="60"/>
        <v>1.4</v>
      </c>
      <c r="H1549" s="32"/>
      <c r="I1549" s="33"/>
      <c r="J1549" s="33"/>
      <c r="K1549" s="44"/>
    </row>
    <row r="1550" spans="1:11" s="34" customFormat="1" ht="30">
      <c r="A1550" s="30"/>
      <c r="B1550" s="43" t="s">
        <v>26</v>
      </c>
      <c r="C1550" s="45" t="s">
        <v>27</v>
      </c>
      <c r="D1550" s="46" t="s">
        <v>4</v>
      </c>
      <c r="E1550" s="44">
        <v>0.4635</v>
      </c>
      <c r="F1550" s="31">
        <f>TRUNC(14.34,2)</f>
        <v>14.34</v>
      </c>
      <c r="G1550" s="32">
        <f t="shared" si="60"/>
        <v>6.64</v>
      </c>
      <c r="H1550" s="32"/>
      <c r="I1550" s="33"/>
      <c r="J1550" s="33"/>
      <c r="K1550" s="44"/>
    </row>
    <row r="1551" spans="1:11" s="34" customFormat="1" ht="30">
      <c r="A1551" s="30"/>
      <c r="B1551" s="43" t="s">
        <v>352</v>
      </c>
      <c r="C1551" s="45" t="s">
        <v>353</v>
      </c>
      <c r="D1551" s="46" t="s">
        <v>4</v>
      </c>
      <c r="E1551" s="44">
        <v>0.41200000000000003</v>
      </c>
      <c r="F1551" s="31">
        <f>TRUNC(19.81,2)</f>
        <v>19.81</v>
      </c>
      <c r="G1551" s="32">
        <f t="shared" si="60"/>
        <v>8.16</v>
      </c>
      <c r="H1551" s="32"/>
      <c r="I1551" s="33"/>
      <c r="J1551" s="33"/>
      <c r="K1551" s="44"/>
    </row>
    <row r="1552" spans="1:11" s="34" customFormat="1" ht="15">
      <c r="A1552" s="30"/>
      <c r="B1552" s="43" t="s">
        <v>381</v>
      </c>
      <c r="C1552" s="45" t="s">
        <v>382</v>
      </c>
      <c r="D1552" s="46" t="s">
        <v>1</v>
      </c>
      <c r="E1552" s="44">
        <v>0.01</v>
      </c>
      <c r="F1552" s="31">
        <f>TRUNC(385.1122,2)</f>
        <v>385.11</v>
      </c>
      <c r="G1552" s="32">
        <f t="shared" si="60"/>
        <v>3.85</v>
      </c>
      <c r="H1552" s="32"/>
      <c r="I1552" s="33"/>
      <c r="J1552" s="33"/>
      <c r="K1552" s="44"/>
    </row>
    <row r="1553" spans="1:11" s="34" customFormat="1" ht="15">
      <c r="A1553" s="30"/>
      <c r="B1553" s="43" t="s">
        <v>383</v>
      </c>
      <c r="C1553" s="45" t="s">
        <v>384</v>
      </c>
      <c r="D1553" s="46" t="s">
        <v>1</v>
      </c>
      <c r="E1553" s="44">
        <v>0.0008</v>
      </c>
      <c r="F1553" s="31">
        <f>TRUNC(720.4318,2)</f>
        <v>720.43</v>
      </c>
      <c r="G1553" s="32">
        <f t="shared" si="60"/>
        <v>0.57</v>
      </c>
      <c r="H1553" s="32"/>
      <c r="I1553" s="33"/>
      <c r="J1553" s="33"/>
      <c r="K1553" s="44"/>
    </row>
    <row r="1554" spans="1:11" s="34" customFormat="1" ht="15">
      <c r="A1554" s="30"/>
      <c r="B1554" s="43"/>
      <c r="C1554" s="45"/>
      <c r="D1554" s="46"/>
      <c r="E1554" s="44" t="s">
        <v>5</v>
      </c>
      <c r="F1554" s="31"/>
      <c r="G1554" s="32">
        <f>TRUNC(SUM(G1548:G1553),2)</f>
        <v>99.34</v>
      </c>
      <c r="H1554" s="32"/>
      <c r="I1554" s="33"/>
      <c r="J1554" s="33"/>
      <c r="K1554" s="44"/>
    </row>
    <row r="1555" spans="1:11" s="72" customFormat="1" ht="15">
      <c r="A1555" s="65" t="s">
        <v>1363</v>
      </c>
      <c r="B1555" s="66"/>
      <c r="C1555" s="67"/>
      <c r="D1555" s="68"/>
      <c r="E1555" s="69"/>
      <c r="F1555" s="70"/>
      <c r="G1555" s="73" t="s">
        <v>1729</v>
      </c>
      <c r="H1555" s="75">
        <f>H1542+H1533+H1524+H1517+H1512+H1547</f>
        <v>209013.72999999998</v>
      </c>
      <c r="I1555" s="75">
        <f>I1542+I1533+I1524+I1517+I1512+I1547</f>
        <v>269239.05000000005</v>
      </c>
      <c r="J1555" s="71"/>
      <c r="K1555" s="69"/>
    </row>
    <row r="1556" spans="1:11" s="21" customFormat="1" ht="15.75">
      <c r="A1556" s="21" t="s">
        <v>1730</v>
      </c>
      <c r="B1556" s="28"/>
      <c r="C1556" s="29" t="s">
        <v>1554</v>
      </c>
      <c r="D1556" s="29"/>
      <c r="E1556" s="29"/>
      <c r="F1556" s="29"/>
      <c r="G1556" s="29"/>
      <c r="H1556" s="29"/>
      <c r="I1556" s="27"/>
      <c r="J1556" s="29"/>
      <c r="K1556" s="29"/>
    </row>
    <row r="1557" spans="1:10" s="88" customFormat="1" ht="75">
      <c r="A1557" s="97" t="s">
        <v>1731</v>
      </c>
      <c r="B1557" s="81" t="s">
        <v>604</v>
      </c>
      <c r="C1557" s="82" t="s">
        <v>605</v>
      </c>
      <c r="D1557" s="83" t="s">
        <v>2</v>
      </c>
      <c r="E1557" s="84">
        <v>33.6</v>
      </c>
      <c r="F1557" s="86">
        <f>TRUNC(G1565,2)</f>
        <v>100.97</v>
      </c>
      <c r="G1557" s="86">
        <f>TRUNC(F1557*1.2882,2)</f>
        <v>130.06</v>
      </c>
      <c r="H1557" s="86">
        <f>TRUNC(F1557*E1557,2)</f>
        <v>3392.59</v>
      </c>
      <c r="I1557" s="87">
        <f>TRUNC(E1557*G1557,2)</f>
        <v>4370.01</v>
      </c>
      <c r="J1557" s="98"/>
    </row>
    <row r="1558" spans="1:11" s="34" customFormat="1" ht="30">
      <c r="A1558" s="30"/>
      <c r="B1558" s="43" t="s">
        <v>26</v>
      </c>
      <c r="C1558" s="45" t="s">
        <v>27</v>
      </c>
      <c r="D1558" s="46" t="s">
        <v>4</v>
      </c>
      <c r="E1558" s="44">
        <v>0.3399</v>
      </c>
      <c r="F1558" s="31">
        <f>TRUNC(14.34,2)</f>
        <v>14.34</v>
      </c>
      <c r="G1558" s="32">
        <f aca="true" t="shared" si="61" ref="G1558:G1564">TRUNC(E1558*F1558,2)</f>
        <v>4.87</v>
      </c>
      <c r="H1558" s="32"/>
      <c r="I1558" s="33"/>
      <c r="J1558" s="33"/>
      <c r="K1558" s="44"/>
    </row>
    <row r="1559" spans="1:11" s="34" customFormat="1" ht="15">
      <c r="A1559" s="30"/>
      <c r="B1559" s="43" t="s">
        <v>598</v>
      </c>
      <c r="C1559" s="45" t="s">
        <v>599</v>
      </c>
      <c r="D1559" s="46" t="s">
        <v>4</v>
      </c>
      <c r="E1559" s="44">
        <v>0.11330000000000001</v>
      </c>
      <c r="F1559" s="31">
        <f>TRUNC(19.81,2)</f>
        <v>19.81</v>
      </c>
      <c r="G1559" s="32">
        <f t="shared" si="61"/>
        <v>2.24</v>
      </c>
      <c r="H1559" s="32"/>
      <c r="I1559" s="33"/>
      <c r="J1559" s="33"/>
      <c r="K1559" s="44"/>
    </row>
    <row r="1560" spans="1:11" s="34" customFormat="1" ht="15">
      <c r="A1560" s="30"/>
      <c r="B1560" s="43" t="s">
        <v>600</v>
      </c>
      <c r="C1560" s="45" t="s">
        <v>601</v>
      </c>
      <c r="D1560" s="46" t="s">
        <v>0</v>
      </c>
      <c r="E1560" s="44">
        <v>1.0230000000000001</v>
      </c>
      <c r="F1560" s="31">
        <f>TRUNC(63.1912,2)</f>
        <v>63.19</v>
      </c>
      <c r="G1560" s="32">
        <f t="shared" si="61"/>
        <v>64.64</v>
      </c>
      <c r="H1560" s="32"/>
      <c r="I1560" s="33"/>
      <c r="J1560" s="33"/>
      <c r="K1560" s="44"/>
    </row>
    <row r="1561" spans="1:11" s="34" customFormat="1" ht="15">
      <c r="A1561" s="30"/>
      <c r="B1561" s="43" t="s">
        <v>219</v>
      </c>
      <c r="C1561" s="45" t="s">
        <v>220</v>
      </c>
      <c r="D1561" s="46" t="s">
        <v>1</v>
      </c>
      <c r="E1561" s="44">
        <v>0.06820000000000001</v>
      </c>
      <c r="F1561" s="31">
        <f>TRUNC(65.3829,2)</f>
        <v>65.38</v>
      </c>
      <c r="G1561" s="32">
        <f t="shared" si="61"/>
        <v>4.45</v>
      </c>
      <c r="H1561" s="32"/>
      <c r="I1561" s="33"/>
      <c r="J1561" s="33"/>
      <c r="K1561" s="44"/>
    </row>
    <row r="1562" spans="1:11" s="34" customFormat="1" ht="15">
      <c r="A1562" s="30"/>
      <c r="B1562" s="43" t="s">
        <v>217</v>
      </c>
      <c r="C1562" s="45" t="s">
        <v>218</v>
      </c>
      <c r="D1562" s="46" t="s">
        <v>1</v>
      </c>
      <c r="E1562" s="44">
        <v>0.06820000000000001</v>
      </c>
      <c r="F1562" s="31">
        <f>TRUNC(72.3465,2)</f>
        <v>72.34</v>
      </c>
      <c r="G1562" s="32">
        <f t="shared" si="61"/>
        <v>4.93</v>
      </c>
      <c r="H1562" s="32"/>
      <c r="I1562" s="33"/>
      <c r="J1562" s="33"/>
      <c r="K1562" s="44"/>
    </row>
    <row r="1563" spans="1:11" s="34" customFormat="1" ht="15">
      <c r="A1563" s="30"/>
      <c r="B1563" s="43" t="s">
        <v>215</v>
      </c>
      <c r="C1563" s="45" t="s">
        <v>216</v>
      </c>
      <c r="D1563" s="46" t="s">
        <v>1</v>
      </c>
      <c r="E1563" s="44">
        <v>0.06820000000000001</v>
      </c>
      <c r="F1563" s="31">
        <f>TRUNC(277.3833,2)</f>
        <v>277.38</v>
      </c>
      <c r="G1563" s="32">
        <f t="shared" si="61"/>
        <v>18.91</v>
      </c>
      <c r="H1563" s="32"/>
      <c r="I1563" s="33"/>
      <c r="J1563" s="33"/>
      <c r="K1563" s="44"/>
    </row>
    <row r="1564" spans="1:11" s="34" customFormat="1" ht="15">
      <c r="A1564" s="30"/>
      <c r="B1564" s="43" t="s">
        <v>602</v>
      </c>
      <c r="C1564" s="45" t="s">
        <v>603</v>
      </c>
      <c r="D1564" s="46" t="s">
        <v>1</v>
      </c>
      <c r="E1564" s="44">
        <v>0.0027500000000000003</v>
      </c>
      <c r="F1564" s="31">
        <f>TRUNC(340.5402,2)</f>
        <v>340.54</v>
      </c>
      <c r="G1564" s="32">
        <f t="shared" si="61"/>
        <v>0.93</v>
      </c>
      <c r="H1564" s="32"/>
      <c r="I1564" s="33"/>
      <c r="J1564" s="33"/>
      <c r="K1564" s="44"/>
    </row>
    <row r="1565" spans="1:11" s="34" customFormat="1" ht="15">
      <c r="A1565" s="30"/>
      <c r="B1565" s="43"/>
      <c r="C1565" s="45"/>
      <c r="D1565" s="46"/>
      <c r="E1565" s="44" t="s">
        <v>5</v>
      </c>
      <c r="F1565" s="31"/>
      <c r="G1565" s="32">
        <f>TRUNC(SUM(G1558:G1564),2)</f>
        <v>100.97</v>
      </c>
      <c r="H1565" s="32"/>
      <c r="I1565" s="33"/>
      <c r="J1565" s="33"/>
      <c r="K1565" s="44"/>
    </row>
    <row r="1566" spans="1:10" s="88" customFormat="1" ht="45">
      <c r="A1566" s="97" t="s">
        <v>1732</v>
      </c>
      <c r="B1566" s="81" t="s">
        <v>1496</v>
      </c>
      <c r="C1566" s="82" t="s">
        <v>1485</v>
      </c>
      <c r="D1566" s="83" t="s">
        <v>1</v>
      </c>
      <c r="E1566" s="84">
        <v>6.27</v>
      </c>
      <c r="F1566" s="86">
        <f>TRUNC(G1573,2)</f>
        <v>685.83</v>
      </c>
      <c r="G1566" s="86">
        <f>TRUNC(F1566*1.2882,2)</f>
        <v>883.48</v>
      </c>
      <c r="H1566" s="86">
        <f>TRUNC(F1566*E1566,2)</f>
        <v>4300.15</v>
      </c>
      <c r="I1566" s="87">
        <f>TRUNC(E1566*G1566,2)</f>
        <v>5539.41</v>
      </c>
      <c r="J1566" s="98"/>
    </row>
    <row r="1567" spans="1:11" s="34" customFormat="1" ht="15">
      <c r="A1567" s="30"/>
      <c r="B1567" s="43" t="s">
        <v>1486</v>
      </c>
      <c r="C1567" s="45" t="s">
        <v>1487</v>
      </c>
      <c r="D1567" s="46" t="s">
        <v>2</v>
      </c>
      <c r="E1567" s="44">
        <v>2</v>
      </c>
      <c r="F1567" s="31">
        <f>TRUNC(2.14,2)</f>
        <v>2.14</v>
      </c>
      <c r="G1567" s="32">
        <f aca="true" t="shared" si="62" ref="G1567:G1572">TRUNC(E1567*F1567,2)</f>
        <v>4.28</v>
      </c>
      <c r="H1567" s="32"/>
      <c r="I1567" s="33"/>
      <c r="J1567" s="33"/>
      <c r="K1567" s="44"/>
    </row>
    <row r="1568" spans="1:11" s="34" customFormat="1" ht="30">
      <c r="A1568" s="30"/>
      <c r="B1568" s="43" t="s">
        <v>1488</v>
      </c>
      <c r="C1568" s="45" t="s">
        <v>1489</v>
      </c>
      <c r="D1568" s="46" t="s">
        <v>2</v>
      </c>
      <c r="E1568" s="44">
        <v>2.5</v>
      </c>
      <c r="F1568" s="31">
        <f>TRUNC(9.1,2)</f>
        <v>9.1</v>
      </c>
      <c r="G1568" s="32">
        <f t="shared" si="62"/>
        <v>22.75</v>
      </c>
      <c r="H1568" s="32"/>
      <c r="I1568" s="33"/>
      <c r="J1568" s="33"/>
      <c r="K1568" s="44"/>
    </row>
    <row r="1569" spans="1:11" s="34" customFormat="1" ht="15">
      <c r="A1569" s="30"/>
      <c r="B1569" s="43" t="s">
        <v>283</v>
      </c>
      <c r="C1569" s="45" t="s">
        <v>32</v>
      </c>
      <c r="D1569" s="46" t="s">
        <v>4</v>
      </c>
      <c r="E1569" s="44">
        <v>4.239</v>
      </c>
      <c r="F1569" s="31">
        <f>TRUNC(21.13,2)</f>
        <v>21.13</v>
      </c>
      <c r="G1569" s="32">
        <f t="shared" si="62"/>
        <v>89.57</v>
      </c>
      <c r="H1569" s="32"/>
      <c r="I1569" s="33"/>
      <c r="J1569" s="33"/>
      <c r="K1569" s="44"/>
    </row>
    <row r="1570" spans="1:11" s="34" customFormat="1" ht="15">
      <c r="A1570" s="30"/>
      <c r="B1570" s="43" t="s">
        <v>306</v>
      </c>
      <c r="C1570" s="45" t="s">
        <v>307</v>
      </c>
      <c r="D1570" s="46" t="s">
        <v>4</v>
      </c>
      <c r="E1570" s="44">
        <v>1.983</v>
      </c>
      <c r="F1570" s="31">
        <f>TRUNC(26.76,2)</f>
        <v>26.76</v>
      </c>
      <c r="G1570" s="32">
        <f t="shared" si="62"/>
        <v>53.06</v>
      </c>
      <c r="H1570" s="32"/>
      <c r="I1570" s="33"/>
      <c r="J1570" s="33"/>
      <c r="K1570" s="44"/>
    </row>
    <row r="1571" spans="1:11" s="34" customFormat="1" ht="15">
      <c r="A1571" s="30"/>
      <c r="B1571" s="43" t="s">
        <v>260</v>
      </c>
      <c r="C1571" s="45" t="s">
        <v>261</v>
      </c>
      <c r="D1571" s="46" t="s">
        <v>4</v>
      </c>
      <c r="E1571" s="44">
        <v>2.256</v>
      </c>
      <c r="F1571" s="31">
        <f>TRUNC(26.52,2)</f>
        <v>26.52</v>
      </c>
      <c r="G1571" s="32">
        <f t="shared" si="62"/>
        <v>59.82</v>
      </c>
      <c r="H1571" s="32"/>
      <c r="I1571" s="33"/>
      <c r="J1571" s="33"/>
      <c r="K1571" s="44"/>
    </row>
    <row r="1572" spans="1:11" s="34" customFormat="1" ht="30">
      <c r="A1572" s="30"/>
      <c r="B1572" s="43" t="s">
        <v>1490</v>
      </c>
      <c r="C1572" s="45" t="s">
        <v>1491</v>
      </c>
      <c r="D1572" s="46" t="s">
        <v>1</v>
      </c>
      <c r="E1572" s="44">
        <v>1.213</v>
      </c>
      <c r="F1572" s="31">
        <f>TRUNC(376.22,2)</f>
        <v>376.22</v>
      </c>
      <c r="G1572" s="32">
        <f t="shared" si="62"/>
        <v>456.35</v>
      </c>
      <c r="H1572" s="32"/>
      <c r="I1572" s="33"/>
      <c r="J1572" s="33"/>
      <c r="K1572" s="44"/>
    </row>
    <row r="1573" spans="1:11" s="34" customFormat="1" ht="15">
      <c r="A1573" s="30"/>
      <c r="B1573" s="43"/>
      <c r="C1573" s="45"/>
      <c r="D1573" s="46"/>
      <c r="E1573" s="44" t="s">
        <v>5</v>
      </c>
      <c r="F1573" s="31"/>
      <c r="G1573" s="32">
        <f>TRUNC(SUM(G1567:G1572),2)</f>
        <v>685.83</v>
      </c>
      <c r="H1573" s="32"/>
      <c r="I1573" s="33"/>
      <c r="J1573" s="33"/>
      <c r="K1573" s="44"/>
    </row>
    <row r="1574" spans="1:10" s="88" customFormat="1" ht="30">
      <c r="A1574" s="97" t="s">
        <v>1733</v>
      </c>
      <c r="B1574" s="81" t="s">
        <v>1495</v>
      </c>
      <c r="C1574" s="82" t="s">
        <v>1492</v>
      </c>
      <c r="D1574" s="83" t="s">
        <v>0</v>
      </c>
      <c r="E1574" s="84">
        <v>125.48</v>
      </c>
      <c r="F1574" s="86">
        <f>TRUNC(G1578,2)</f>
        <v>17.89</v>
      </c>
      <c r="G1574" s="86">
        <f>TRUNC(F1574*1.2882,2)</f>
        <v>23.04</v>
      </c>
      <c r="H1574" s="86">
        <f>TRUNC(F1574*E1574,2)</f>
        <v>2244.83</v>
      </c>
      <c r="I1574" s="87">
        <f>TRUNC(E1574*G1574,2)</f>
        <v>2891.05</v>
      </c>
      <c r="J1574" s="98"/>
    </row>
    <row r="1575" spans="1:11" s="34" customFormat="1" ht="15">
      <c r="A1575" s="30"/>
      <c r="B1575" s="43" t="s">
        <v>283</v>
      </c>
      <c r="C1575" s="45" t="s">
        <v>32</v>
      </c>
      <c r="D1575" s="46" t="s">
        <v>4</v>
      </c>
      <c r="E1575" s="44">
        <v>0.0741</v>
      </c>
      <c r="F1575" s="31">
        <f>TRUNC(21.13,2)</f>
        <v>21.13</v>
      </c>
      <c r="G1575" s="32">
        <f>TRUNC(E1575*F1575,2)</f>
        <v>1.56</v>
      </c>
      <c r="H1575" s="32"/>
      <c r="I1575" s="33"/>
      <c r="J1575" s="33"/>
      <c r="K1575" s="44"/>
    </row>
    <row r="1576" spans="1:11" s="34" customFormat="1" ht="15">
      <c r="A1576" s="30"/>
      <c r="B1576" s="43" t="s">
        <v>306</v>
      </c>
      <c r="C1576" s="45" t="s">
        <v>307</v>
      </c>
      <c r="D1576" s="46" t="s">
        <v>4</v>
      </c>
      <c r="E1576" s="44">
        <v>0.2718</v>
      </c>
      <c r="F1576" s="31">
        <f>TRUNC(26.76,2)</f>
        <v>26.76</v>
      </c>
      <c r="G1576" s="32">
        <f>TRUNC(E1576*F1576,2)</f>
        <v>7.27</v>
      </c>
      <c r="H1576" s="32"/>
      <c r="I1576" s="33"/>
      <c r="J1576" s="33"/>
      <c r="K1576" s="44"/>
    </row>
    <row r="1577" spans="1:11" s="58" customFormat="1" ht="42.75">
      <c r="A1577" s="54"/>
      <c r="B1577" s="52" t="s">
        <v>1493</v>
      </c>
      <c r="C1577" s="55" t="s">
        <v>1494</v>
      </c>
      <c r="D1577" s="56" t="s">
        <v>1</v>
      </c>
      <c r="E1577" s="57">
        <v>0.03</v>
      </c>
      <c r="F1577" s="53">
        <f>TRUNC(302.15,2)</f>
        <v>302.15</v>
      </c>
      <c r="G1577" s="50">
        <f>TRUNC(E1577*F1577,2)</f>
        <v>9.06</v>
      </c>
      <c r="H1577" s="50"/>
      <c r="I1577" s="51"/>
      <c r="J1577" s="51">
        <v>0.0565</v>
      </c>
      <c r="K1577" s="57">
        <v>5</v>
      </c>
    </row>
    <row r="1578" spans="1:11" s="34" customFormat="1" ht="15">
      <c r="A1578" s="30"/>
      <c r="B1578" s="43"/>
      <c r="C1578" s="45"/>
      <c r="D1578" s="46"/>
      <c r="E1578" s="44" t="s">
        <v>5</v>
      </c>
      <c r="F1578" s="31"/>
      <c r="G1578" s="32">
        <f>TRUNC(SUM(G1575:G1577),2)</f>
        <v>17.89</v>
      </c>
      <c r="H1578" s="32"/>
      <c r="I1578" s="33"/>
      <c r="J1578" s="33">
        <f>(J1577*K1578)/K1577</f>
        <v>0.0339</v>
      </c>
      <c r="K1578" s="44">
        <v>3</v>
      </c>
    </row>
    <row r="1579" spans="1:10" s="88" customFormat="1" ht="60">
      <c r="A1579" s="97" t="s">
        <v>1734</v>
      </c>
      <c r="B1579" s="81" t="s">
        <v>1512</v>
      </c>
      <c r="C1579" s="82" t="s">
        <v>1513</v>
      </c>
      <c r="D1579" s="83" t="s">
        <v>0</v>
      </c>
      <c r="E1579" s="84">
        <v>125.48</v>
      </c>
      <c r="F1579" s="86">
        <f>TRUNC(G1588,2)</f>
        <v>71.56</v>
      </c>
      <c r="G1579" s="86">
        <f>TRUNC(F1579*1.2882,2)</f>
        <v>92.18</v>
      </c>
      <c r="H1579" s="86">
        <f>TRUNC(F1579*E1579,2)</f>
        <v>8979.34</v>
      </c>
      <c r="I1579" s="87">
        <f>TRUNC(E1579*G1579,2)</f>
        <v>11566.74</v>
      </c>
      <c r="J1579" s="98"/>
    </row>
    <row r="1580" spans="1:11" s="34" customFormat="1" ht="15">
      <c r="A1580" s="30"/>
      <c r="B1580" s="43" t="s">
        <v>718</v>
      </c>
      <c r="C1580" s="45" t="s">
        <v>719</v>
      </c>
      <c r="D1580" s="46" t="s">
        <v>2</v>
      </c>
      <c r="E1580" s="44">
        <v>1</v>
      </c>
      <c r="F1580" s="31">
        <f>TRUNC(9.23,2)</f>
        <v>9.23</v>
      </c>
      <c r="G1580" s="32">
        <f aca="true" t="shared" si="63" ref="G1580:G1587">TRUNC(E1580*F1580,2)</f>
        <v>9.23</v>
      </c>
      <c r="H1580" s="32"/>
      <c r="I1580" s="33"/>
      <c r="J1580" s="33"/>
      <c r="K1580" s="44"/>
    </row>
    <row r="1581" spans="1:11" s="34" customFormat="1" ht="30">
      <c r="A1581" s="30"/>
      <c r="B1581" s="43" t="s">
        <v>26</v>
      </c>
      <c r="C1581" s="45" t="s">
        <v>27</v>
      </c>
      <c r="D1581" s="46" t="s">
        <v>4</v>
      </c>
      <c r="E1581" s="44">
        <v>0.927</v>
      </c>
      <c r="F1581" s="31">
        <f>TRUNC(14.34,2)</f>
        <v>14.34</v>
      </c>
      <c r="G1581" s="32">
        <f t="shared" si="63"/>
        <v>13.29</v>
      </c>
      <c r="H1581" s="32"/>
      <c r="I1581" s="33"/>
      <c r="J1581" s="33"/>
      <c r="K1581" s="44"/>
    </row>
    <row r="1582" spans="1:11" s="34" customFormat="1" ht="15">
      <c r="A1582" s="30"/>
      <c r="B1582" s="43" t="s">
        <v>239</v>
      </c>
      <c r="C1582" s="45" t="s">
        <v>240</v>
      </c>
      <c r="D1582" s="46" t="s">
        <v>4</v>
      </c>
      <c r="E1582" s="44">
        <v>0.309</v>
      </c>
      <c r="F1582" s="31">
        <f>TRUNC(19.81,2)</f>
        <v>19.81</v>
      </c>
      <c r="G1582" s="32">
        <f t="shared" si="63"/>
        <v>6.12</v>
      </c>
      <c r="H1582" s="32"/>
      <c r="I1582" s="33"/>
      <c r="J1582" s="33"/>
      <c r="K1582" s="44"/>
    </row>
    <row r="1583" spans="1:11" s="34" customFormat="1" ht="30">
      <c r="A1583" s="30"/>
      <c r="B1583" s="43" t="s">
        <v>581</v>
      </c>
      <c r="C1583" s="45" t="s">
        <v>582</v>
      </c>
      <c r="D1583" s="46" t="s">
        <v>4</v>
      </c>
      <c r="E1583" s="44">
        <v>0.618</v>
      </c>
      <c r="F1583" s="31">
        <f>TRUNC(19.81,2)</f>
        <v>19.81</v>
      </c>
      <c r="G1583" s="32">
        <f t="shared" si="63"/>
        <v>12.24</v>
      </c>
      <c r="H1583" s="32"/>
      <c r="I1583" s="33"/>
      <c r="J1583" s="33"/>
      <c r="K1583" s="44"/>
    </row>
    <row r="1584" spans="1:11" s="34" customFormat="1" ht="15">
      <c r="A1584" s="30"/>
      <c r="B1584" s="43" t="s">
        <v>1514</v>
      </c>
      <c r="C1584" s="45" t="s">
        <v>1515</v>
      </c>
      <c r="D1584" s="46" t="s">
        <v>1</v>
      </c>
      <c r="E1584" s="44">
        <v>0.05</v>
      </c>
      <c r="F1584" s="31">
        <f>TRUNC(97.0477,2)</f>
        <v>97.04</v>
      </c>
      <c r="G1584" s="32">
        <f t="shared" si="63"/>
        <v>4.85</v>
      </c>
      <c r="H1584" s="32"/>
      <c r="I1584" s="33"/>
      <c r="J1584" s="33"/>
      <c r="K1584" s="44"/>
    </row>
    <row r="1585" spans="1:11" s="34" customFormat="1" ht="15">
      <c r="A1585" s="30"/>
      <c r="B1585" s="43" t="s">
        <v>217</v>
      </c>
      <c r="C1585" s="45" t="s">
        <v>218</v>
      </c>
      <c r="D1585" s="46" t="s">
        <v>1</v>
      </c>
      <c r="E1585" s="44">
        <v>0.05</v>
      </c>
      <c r="F1585" s="31">
        <f>TRUNC(72.3465,2)</f>
        <v>72.34</v>
      </c>
      <c r="G1585" s="32">
        <f t="shared" si="63"/>
        <v>3.61</v>
      </c>
      <c r="H1585" s="32"/>
      <c r="I1585" s="33"/>
      <c r="J1585" s="33"/>
      <c r="K1585" s="44"/>
    </row>
    <row r="1586" spans="1:11" s="34" customFormat="1" ht="15">
      <c r="A1586" s="30"/>
      <c r="B1586" s="43" t="s">
        <v>213</v>
      </c>
      <c r="C1586" s="45" t="s">
        <v>214</v>
      </c>
      <c r="D1586" s="46" t="s">
        <v>1</v>
      </c>
      <c r="E1586" s="44">
        <v>0.05</v>
      </c>
      <c r="F1586" s="31">
        <f>TRUNC(258.9348,2)</f>
        <v>258.93</v>
      </c>
      <c r="G1586" s="32">
        <f t="shared" si="63"/>
        <v>12.94</v>
      </c>
      <c r="H1586" s="32"/>
      <c r="I1586" s="33"/>
      <c r="J1586" s="33"/>
      <c r="K1586" s="44"/>
    </row>
    <row r="1587" spans="1:11" s="34" customFormat="1" ht="15">
      <c r="A1587" s="30"/>
      <c r="B1587" s="43" t="s">
        <v>1516</v>
      </c>
      <c r="C1587" s="45" t="s">
        <v>1517</v>
      </c>
      <c r="D1587" s="46" t="s">
        <v>1</v>
      </c>
      <c r="E1587" s="44">
        <v>0.03</v>
      </c>
      <c r="F1587" s="31">
        <f>TRUNC(309.3761,2)</f>
        <v>309.37</v>
      </c>
      <c r="G1587" s="32">
        <f t="shared" si="63"/>
        <v>9.28</v>
      </c>
      <c r="H1587" s="32"/>
      <c r="I1587" s="33"/>
      <c r="J1587" s="33"/>
      <c r="K1587" s="44"/>
    </row>
    <row r="1588" spans="1:11" s="34" customFormat="1" ht="15">
      <c r="A1588" s="30"/>
      <c r="B1588" s="43"/>
      <c r="C1588" s="45"/>
      <c r="D1588" s="46"/>
      <c r="E1588" s="44" t="s">
        <v>5</v>
      </c>
      <c r="F1588" s="31"/>
      <c r="G1588" s="32">
        <f>TRUNC(SUM(G1580:G1587),2)</f>
        <v>71.56</v>
      </c>
      <c r="H1588" s="32"/>
      <c r="I1588" s="33"/>
      <c r="J1588" s="33"/>
      <c r="K1588" s="44"/>
    </row>
    <row r="1589" spans="1:10" s="88" customFormat="1" ht="30">
      <c r="A1589" s="97" t="s">
        <v>1735</v>
      </c>
      <c r="B1589" s="81" t="s">
        <v>1497</v>
      </c>
      <c r="C1589" s="82" t="s">
        <v>1498</v>
      </c>
      <c r="D1589" s="83" t="s">
        <v>0</v>
      </c>
      <c r="E1589" s="84">
        <v>46.74</v>
      </c>
      <c r="F1589" s="86">
        <f>TRUNC(G1599,2)</f>
        <v>86.35</v>
      </c>
      <c r="G1589" s="86">
        <f>TRUNC(F1589*1.2882,2)</f>
        <v>111.23</v>
      </c>
      <c r="H1589" s="86">
        <f>TRUNC(F1589*E1589,2)</f>
        <v>4035.99</v>
      </c>
      <c r="I1589" s="87">
        <f>TRUNC(E1589*G1589,2)</f>
        <v>5198.89</v>
      </c>
      <c r="J1589" s="98"/>
    </row>
    <row r="1590" spans="1:11" s="34" customFormat="1" ht="45">
      <c r="A1590" s="30"/>
      <c r="B1590" s="43" t="s">
        <v>1499</v>
      </c>
      <c r="C1590" s="45" t="s">
        <v>1500</v>
      </c>
      <c r="D1590" s="46" t="s">
        <v>0</v>
      </c>
      <c r="E1590" s="44">
        <v>1.0131</v>
      </c>
      <c r="F1590" s="31">
        <f>TRUNC(63.08,2)</f>
        <v>63.08</v>
      </c>
      <c r="G1590" s="32">
        <f aca="true" t="shared" si="64" ref="G1590:G1598">TRUNC(E1590*F1590,2)</f>
        <v>63.9</v>
      </c>
      <c r="H1590" s="32"/>
      <c r="I1590" s="33"/>
      <c r="J1590" s="33"/>
      <c r="K1590" s="44"/>
    </row>
    <row r="1591" spans="1:11" s="34" customFormat="1" ht="15">
      <c r="A1591" s="30"/>
      <c r="B1591" s="43" t="s">
        <v>1501</v>
      </c>
      <c r="C1591" s="45" t="s">
        <v>48</v>
      </c>
      <c r="D1591" s="46" t="s">
        <v>1</v>
      </c>
      <c r="E1591" s="44">
        <v>0.0109</v>
      </c>
      <c r="F1591" s="31">
        <f>TRUNC(61.24,2)</f>
        <v>61.24</v>
      </c>
      <c r="G1591" s="32">
        <f t="shared" si="64"/>
        <v>0.66</v>
      </c>
      <c r="H1591" s="32"/>
      <c r="I1591" s="33"/>
      <c r="J1591" s="33"/>
      <c r="K1591" s="44"/>
    </row>
    <row r="1592" spans="1:11" s="34" customFormat="1" ht="30">
      <c r="A1592" s="30"/>
      <c r="B1592" s="43" t="s">
        <v>1502</v>
      </c>
      <c r="C1592" s="45" t="s">
        <v>41</v>
      </c>
      <c r="D1592" s="46" t="s">
        <v>1</v>
      </c>
      <c r="E1592" s="44">
        <v>0.0568</v>
      </c>
      <c r="F1592" s="31">
        <f>TRUNC(67.66,2)</f>
        <v>67.66</v>
      </c>
      <c r="G1592" s="32">
        <f t="shared" si="64"/>
        <v>3.84</v>
      </c>
      <c r="H1592" s="32"/>
      <c r="I1592" s="33"/>
      <c r="J1592" s="33"/>
      <c r="K1592" s="44"/>
    </row>
    <row r="1593" spans="1:11" s="34" customFormat="1" ht="15">
      <c r="A1593" s="30"/>
      <c r="B1593" s="43" t="s">
        <v>283</v>
      </c>
      <c r="C1593" s="45" t="s">
        <v>32</v>
      </c>
      <c r="D1593" s="46" t="s">
        <v>4</v>
      </c>
      <c r="E1593" s="44">
        <v>0.3638</v>
      </c>
      <c r="F1593" s="31">
        <f>TRUNC(21.13,2)</f>
        <v>21.13</v>
      </c>
      <c r="G1593" s="32">
        <f t="shared" si="64"/>
        <v>7.68</v>
      </c>
      <c r="H1593" s="32"/>
      <c r="I1593" s="33"/>
      <c r="J1593" s="33"/>
      <c r="K1593" s="44"/>
    </row>
    <row r="1594" spans="1:11" s="34" customFormat="1" ht="15">
      <c r="A1594" s="30"/>
      <c r="B1594" s="43" t="s">
        <v>1503</v>
      </c>
      <c r="C1594" s="45" t="s">
        <v>39</v>
      </c>
      <c r="D1594" s="46" t="s">
        <v>4</v>
      </c>
      <c r="E1594" s="44">
        <v>0.3638</v>
      </c>
      <c r="F1594" s="31">
        <f>TRUNC(26.62,2)</f>
        <v>26.62</v>
      </c>
      <c r="G1594" s="32">
        <f t="shared" si="64"/>
        <v>9.68</v>
      </c>
      <c r="H1594" s="32"/>
      <c r="I1594" s="33"/>
      <c r="J1594" s="33"/>
      <c r="K1594" s="44"/>
    </row>
    <row r="1595" spans="1:11" s="34" customFormat="1" ht="45">
      <c r="A1595" s="30"/>
      <c r="B1595" s="43" t="s">
        <v>1504</v>
      </c>
      <c r="C1595" s="45" t="s">
        <v>1505</v>
      </c>
      <c r="D1595" s="46" t="s">
        <v>38</v>
      </c>
      <c r="E1595" s="44">
        <v>0.1685</v>
      </c>
      <c r="F1595" s="31">
        <f>TRUNC(0.76,2)</f>
        <v>0.76</v>
      </c>
      <c r="G1595" s="32">
        <f t="shared" si="64"/>
        <v>0.12</v>
      </c>
      <c r="H1595" s="32"/>
      <c r="I1595" s="33"/>
      <c r="J1595" s="33"/>
      <c r="K1595" s="44"/>
    </row>
    <row r="1596" spans="1:11" s="34" customFormat="1" ht="45">
      <c r="A1596" s="30"/>
      <c r="B1596" s="43" t="s">
        <v>1506</v>
      </c>
      <c r="C1596" s="45" t="s">
        <v>1507</v>
      </c>
      <c r="D1596" s="46" t="s">
        <v>21</v>
      </c>
      <c r="E1596" s="44">
        <v>0.0135</v>
      </c>
      <c r="F1596" s="31">
        <f>TRUNC(23.31,2)</f>
        <v>23.31</v>
      </c>
      <c r="G1596" s="32">
        <f t="shared" si="64"/>
        <v>0.31</v>
      </c>
      <c r="H1596" s="32"/>
      <c r="I1596" s="33"/>
      <c r="J1596" s="33"/>
      <c r="K1596" s="44"/>
    </row>
    <row r="1597" spans="1:11" s="34" customFormat="1" ht="30">
      <c r="A1597" s="30"/>
      <c r="B1597" s="43" t="s">
        <v>1508</v>
      </c>
      <c r="C1597" s="45" t="s">
        <v>1509</v>
      </c>
      <c r="D1597" s="46" t="s">
        <v>38</v>
      </c>
      <c r="E1597" s="44">
        <v>0.1751</v>
      </c>
      <c r="F1597" s="31">
        <f>TRUNC(0.52,2)</f>
        <v>0.52</v>
      </c>
      <c r="G1597" s="32">
        <f t="shared" si="64"/>
        <v>0.09</v>
      </c>
      <c r="H1597" s="32"/>
      <c r="I1597" s="33"/>
      <c r="J1597" s="33"/>
      <c r="K1597" s="44"/>
    </row>
    <row r="1598" spans="1:11" s="34" customFormat="1" ht="30">
      <c r="A1598" s="30"/>
      <c r="B1598" s="43" t="s">
        <v>1510</v>
      </c>
      <c r="C1598" s="45" t="s">
        <v>1511</v>
      </c>
      <c r="D1598" s="46" t="s">
        <v>21</v>
      </c>
      <c r="E1598" s="44">
        <v>0.0069</v>
      </c>
      <c r="F1598" s="31">
        <f>TRUNC(10.17,2)</f>
        <v>10.17</v>
      </c>
      <c r="G1598" s="32">
        <f t="shared" si="64"/>
        <v>0.07</v>
      </c>
      <c r="H1598" s="32"/>
      <c r="I1598" s="33"/>
      <c r="J1598" s="33"/>
      <c r="K1598" s="44"/>
    </row>
    <row r="1599" spans="1:11" s="34" customFormat="1" ht="15">
      <c r="A1599" s="30"/>
      <c r="B1599" s="43"/>
      <c r="C1599" s="45"/>
      <c r="D1599" s="46"/>
      <c r="E1599" s="44" t="s">
        <v>5</v>
      </c>
      <c r="F1599" s="31"/>
      <c r="G1599" s="32">
        <f>TRUNC(SUM(G1590:G1598),2)</f>
        <v>86.35</v>
      </c>
      <c r="H1599" s="32"/>
      <c r="I1599" s="33"/>
      <c r="J1599" s="33"/>
      <c r="K1599" s="44"/>
    </row>
    <row r="1600" spans="1:10" s="88" customFormat="1" ht="60">
      <c r="A1600" s="97" t="s">
        <v>1736</v>
      </c>
      <c r="B1600" s="81" t="s">
        <v>536</v>
      </c>
      <c r="C1600" s="82" t="s">
        <v>537</v>
      </c>
      <c r="D1600" s="83" t="s">
        <v>10</v>
      </c>
      <c r="E1600" s="84">
        <v>3</v>
      </c>
      <c r="F1600" s="86">
        <f>TRUNC(G1605,2)</f>
        <v>1235.36</v>
      </c>
      <c r="G1600" s="86">
        <f>TRUNC(F1600*1.2882,2)</f>
        <v>1591.39</v>
      </c>
      <c r="H1600" s="86">
        <f>TRUNC(F1600*E1600,2)</f>
        <v>3706.08</v>
      </c>
      <c r="I1600" s="87">
        <f>TRUNC(E1600*G1600,2)</f>
        <v>4774.17</v>
      </c>
      <c r="J1600" s="98"/>
    </row>
    <row r="1601" spans="1:11" s="34" customFormat="1" ht="15">
      <c r="A1601" s="30"/>
      <c r="B1601" s="43" t="s">
        <v>538</v>
      </c>
      <c r="C1601" s="45" t="s">
        <v>539</v>
      </c>
      <c r="D1601" s="46" t="s">
        <v>2</v>
      </c>
      <c r="E1601" s="44">
        <v>10.296</v>
      </c>
      <c r="F1601" s="31">
        <f>TRUNC(84.25,2)</f>
        <v>84.25</v>
      </c>
      <c r="G1601" s="32">
        <f>TRUNC(E1601*F1601,2)</f>
        <v>867.43</v>
      </c>
      <c r="H1601" s="32"/>
      <c r="I1601" s="33"/>
      <c r="J1601" s="33"/>
      <c r="K1601" s="37"/>
    </row>
    <row r="1602" spans="1:11" s="34" customFormat="1" ht="30">
      <c r="A1602" s="30"/>
      <c r="B1602" s="43" t="s">
        <v>26</v>
      </c>
      <c r="C1602" s="45" t="s">
        <v>27</v>
      </c>
      <c r="D1602" s="46" t="s">
        <v>4</v>
      </c>
      <c r="E1602" s="44">
        <v>8.24</v>
      </c>
      <c r="F1602" s="31">
        <f>TRUNC(14.34,2)</f>
        <v>14.34</v>
      </c>
      <c r="G1602" s="32">
        <f>TRUNC(E1602*F1602,2)</f>
        <v>118.16</v>
      </c>
      <c r="H1602" s="32"/>
      <c r="I1602" s="33"/>
      <c r="J1602" s="33"/>
      <c r="K1602" s="37"/>
    </row>
    <row r="1603" spans="1:11" s="34" customFormat="1" ht="15">
      <c r="A1603" s="30"/>
      <c r="B1603" s="43" t="s">
        <v>239</v>
      </c>
      <c r="C1603" s="45" t="s">
        <v>240</v>
      </c>
      <c r="D1603" s="46" t="s">
        <v>4</v>
      </c>
      <c r="E1603" s="44">
        <v>8.24</v>
      </c>
      <c r="F1603" s="31">
        <f>TRUNC(19.81,2)</f>
        <v>19.81</v>
      </c>
      <c r="G1603" s="32">
        <f>TRUNC(E1603*F1603,2)</f>
        <v>163.23</v>
      </c>
      <c r="H1603" s="32"/>
      <c r="I1603" s="33"/>
      <c r="J1603" s="33"/>
      <c r="K1603" s="37"/>
    </row>
    <row r="1604" spans="1:11" s="34" customFormat="1" ht="15">
      <c r="A1604" s="30"/>
      <c r="B1604" s="43" t="s">
        <v>215</v>
      </c>
      <c r="C1604" s="45" t="s">
        <v>216</v>
      </c>
      <c r="D1604" s="46" t="s">
        <v>1</v>
      </c>
      <c r="E1604" s="44">
        <v>0.31200000000000006</v>
      </c>
      <c r="F1604" s="31">
        <f>TRUNC(277.3833,2)</f>
        <v>277.38</v>
      </c>
      <c r="G1604" s="32">
        <f>TRUNC(E1604*F1604,2)</f>
        <v>86.54</v>
      </c>
      <c r="H1604" s="32"/>
      <c r="I1604" s="33"/>
      <c r="J1604" s="33"/>
      <c r="K1604" s="37"/>
    </row>
    <row r="1605" spans="1:11" s="34" customFormat="1" ht="15">
      <c r="A1605" s="30"/>
      <c r="B1605" s="43"/>
      <c r="C1605" s="45"/>
      <c r="D1605" s="46"/>
      <c r="E1605" s="44" t="s">
        <v>5</v>
      </c>
      <c r="F1605" s="31"/>
      <c r="G1605" s="32">
        <f>TRUNC(SUM(G1601:G1604),2)</f>
        <v>1235.36</v>
      </c>
      <c r="H1605" s="32"/>
      <c r="I1605" s="33"/>
      <c r="J1605" s="33"/>
      <c r="K1605" s="37"/>
    </row>
    <row r="1606" spans="1:10" s="88" customFormat="1" ht="45">
      <c r="A1606" s="97" t="s">
        <v>2434</v>
      </c>
      <c r="B1606" s="81" t="s">
        <v>2423</v>
      </c>
      <c r="C1606" s="82" t="s">
        <v>2424</v>
      </c>
      <c r="D1606" s="83" t="s">
        <v>0</v>
      </c>
      <c r="E1606" s="84">
        <v>207.8</v>
      </c>
      <c r="F1606" s="86">
        <f>TRUNC(10.71086,2)</f>
        <v>10.71</v>
      </c>
      <c r="G1606" s="86">
        <f>TRUNC(F1606*1.2882,2)</f>
        <v>13.79</v>
      </c>
      <c r="H1606" s="86">
        <f>TRUNC(F1606*E1606,2)</f>
        <v>2225.53</v>
      </c>
      <c r="I1606" s="87">
        <f>TRUNC(E1606*G1606,2)</f>
        <v>2865.56</v>
      </c>
      <c r="J1606" s="98"/>
    </row>
    <row r="1607" spans="1:11" s="34" customFormat="1" ht="15">
      <c r="A1607" s="30"/>
      <c r="B1607" s="43" t="s">
        <v>2425</v>
      </c>
      <c r="C1607" s="45" t="s">
        <v>2426</v>
      </c>
      <c r="D1607" s="46" t="s">
        <v>0</v>
      </c>
      <c r="E1607" s="44">
        <v>1.02</v>
      </c>
      <c r="F1607" s="31">
        <f>TRUNC(6.5,2)</f>
        <v>6.5</v>
      </c>
      <c r="G1607" s="32">
        <f>TRUNC(E1607*F1607,2)</f>
        <v>6.63</v>
      </c>
      <c r="H1607" s="32"/>
      <c r="I1607" s="33"/>
      <c r="J1607" s="33"/>
      <c r="K1607" s="37"/>
    </row>
    <row r="1608" spans="1:11" s="34" customFormat="1" ht="30">
      <c r="A1608" s="30"/>
      <c r="B1608" s="43" t="s">
        <v>2427</v>
      </c>
      <c r="C1608" s="45" t="s">
        <v>2428</v>
      </c>
      <c r="D1608" s="46" t="s">
        <v>4</v>
      </c>
      <c r="E1608" s="44">
        <v>0.3605</v>
      </c>
      <c r="F1608" s="31">
        <f>TRUNC(11.32,2)</f>
        <v>11.32</v>
      </c>
      <c r="G1608" s="32">
        <f>TRUNC(E1608*F1608,2)</f>
        <v>4.08</v>
      </c>
      <c r="H1608" s="32"/>
      <c r="I1608" s="33"/>
      <c r="J1608" s="33"/>
      <c r="K1608" s="37"/>
    </row>
    <row r="1609" spans="1:11" s="34" customFormat="1" ht="15">
      <c r="A1609" s="30"/>
      <c r="B1609" s="43"/>
      <c r="C1609" s="45"/>
      <c r="D1609" s="46"/>
      <c r="E1609" s="44" t="s">
        <v>5</v>
      </c>
      <c r="F1609" s="31"/>
      <c r="G1609" s="32">
        <f>TRUNC(SUM(G1607:G1608),2)</f>
        <v>10.71</v>
      </c>
      <c r="H1609" s="32"/>
      <c r="I1609" s="33"/>
      <c r="J1609" s="33"/>
      <c r="K1609" s="37"/>
    </row>
    <row r="1610" spans="1:10" s="88" customFormat="1" ht="60">
      <c r="A1610" s="97" t="s">
        <v>2435</v>
      </c>
      <c r="B1610" s="81" t="s">
        <v>2433</v>
      </c>
      <c r="C1610" s="82" t="s">
        <v>2430</v>
      </c>
      <c r="D1610" s="83" t="s">
        <v>0</v>
      </c>
      <c r="E1610" s="84">
        <v>10</v>
      </c>
      <c r="F1610" s="86">
        <f>TRUNC(13.2,2)</f>
        <v>13.2</v>
      </c>
      <c r="G1610" s="86">
        <f>TRUNC(F1610*1.2882,2)</f>
        <v>17</v>
      </c>
      <c r="H1610" s="86">
        <f>TRUNC(F1610*E1610,2)</f>
        <v>132</v>
      </c>
      <c r="I1610" s="87">
        <f>TRUNC(E1610*G1610,2)</f>
        <v>170</v>
      </c>
      <c r="J1610" s="98"/>
    </row>
    <row r="1611" spans="1:11" s="34" customFormat="1" ht="15">
      <c r="A1611" s="30"/>
      <c r="B1611" s="43" t="s">
        <v>2431</v>
      </c>
      <c r="C1611" s="45" t="s">
        <v>2432</v>
      </c>
      <c r="D1611" s="46" t="s">
        <v>10</v>
      </c>
      <c r="E1611" s="44">
        <v>12</v>
      </c>
      <c r="F1611" s="31">
        <f>TRUNC(1.1,2)</f>
        <v>1.1</v>
      </c>
      <c r="G1611" s="32">
        <f>TRUNC(E1611*F1611,2)</f>
        <v>13.2</v>
      </c>
      <c r="H1611" s="32"/>
      <c r="I1611" s="33"/>
      <c r="J1611" s="33"/>
      <c r="K1611" s="37"/>
    </row>
    <row r="1612" spans="1:11" s="34" customFormat="1" ht="15">
      <c r="A1612" s="30"/>
      <c r="B1612" s="43"/>
      <c r="C1612" s="45"/>
      <c r="D1612" s="46"/>
      <c r="E1612" s="44" t="s">
        <v>5</v>
      </c>
      <c r="F1612" s="31"/>
      <c r="G1612" s="32">
        <f>TRUNC(SUM(G1611:G1611),2)</f>
        <v>13.2</v>
      </c>
      <c r="H1612" s="32"/>
      <c r="I1612" s="33"/>
      <c r="J1612" s="33"/>
      <c r="K1612" s="37"/>
    </row>
    <row r="1613" spans="1:10" s="88" customFormat="1" ht="45">
      <c r="A1613" s="97" t="s">
        <v>2461</v>
      </c>
      <c r="B1613" s="81" t="s">
        <v>2463</v>
      </c>
      <c r="C1613" s="82" t="s">
        <v>2462</v>
      </c>
      <c r="D1613" s="83" t="s">
        <v>0</v>
      </c>
      <c r="E1613" s="84">
        <v>14.38</v>
      </c>
      <c r="F1613" s="86">
        <f>TRUNC(G1621,2)</f>
        <v>103.58</v>
      </c>
      <c r="G1613" s="86">
        <f>TRUNC(F1613*1.2882,2)</f>
        <v>133.43</v>
      </c>
      <c r="H1613" s="86">
        <f>TRUNC(F1613*E1613,2)</f>
        <v>1489.48</v>
      </c>
      <c r="I1613" s="87">
        <f>TRUNC(E1613*G1613,2)</f>
        <v>1918.72</v>
      </c>
      <c r="J1613" s="98"/>
    </row>
    <row r="1614" spans="1:11" s="34" customFormat="1" ht="30">
      <c r="A1614" s="30"/>
      <c r="B1614" s="43" t="s">
        <v>2451</v>
      </c>
      <c r="C1614" s="45" t="s">
        <v>2452</v>
      </c>
      <c r="D1614" s="46" t="s">
        <v>1</v>
      </c>
      <c r="E1614" s="44">
        <v>0.14</v>
      </c>
      <c r="F1614" s="31">
        <f>TRUNC(310,2)</f>
        <v>310</v>
      </c>
      <c r="G1614" s="32">
        <f aca="true" t="shared" si="65" ref="G1614:G1620">TRUNC(E1614*F1614,2)</f>
        <v>43.4</v>
      </c>
      <c r="H1614" s="32"/>
      <c r="I1614" s="33"/>
      <c r="J1614" s="33"/>
      <c r="K1614" s="37"/>
    </row>
    <row r="1615" spans="1:11" s="34" customFormat="1" ht="30">
      <c r="A1615" s="30"/>
      <c r="B1615" s="43" t="s">
        <v>2453</v>
      </c>
      <c r="C1615" s="45" t="s">
        <v>2454</v>
      </c>
      <c r="D1615" s="46" t="s">
        <v>0</v>
      </c>
      <c r="E1615" s="44">
        <v>1.1224</v>
      </c>
      <c r="F1615" s="31">
        <f>TRUNC(40.75,2)</f>
        <v>40.75</v>
      </c>
      <c r="G1615" s="32">
        <f t="shared" si="65"/>
        <v>45.73</v>
      </c>
      <c r="H1615" s="32"/>
      <c r="I1615" s="33"/>
      <c r="J1615" s="33"/>
      <c r="K1615" s="37"/>
    </row>
    <row r="1616" spans="1:11" s="34" customFormat="1" ht="15">
      <c r="A1616" s="30"/>
      <c r="B1616" s="43" t="s">
        <v>1486</v>
      </c>
      <c r="C1616" s="45" t="s">
        <v>1487</v>
      </c>
      <c r="D1616" s="46" t="s">
        <v>2</v>
      </c>
      <c r="E1616" s="44">
        <v>0.45</v>
      </c>
      <c r="F1616" s="31">
        <f>TRUNC(2.14,2)</f>
        <v>2.14</v>
      </c>
      <c r="G1616" s="32">
        <f t="shared" si="65"/>
        <v>0.96</v>
      </c>
      <c r="H1616" s="32"/>
      <c r="I1616" s="33"/>
      <c r="J1616" s="33"/>
      <c r="K1616" s="37"/>
    </row>
    <row r="1617" spans="1:11" s="34" customFormat="1" ht="15">
      <c r="A1617" s="30"/>
      <c r="B1617" s="43" t="s">
        <v>2455</v>
      </c>
      <c r="C1617" s="45" t="s">
        <v>2456</v>
      </c>
      <c r="D1617" s="46" t="s">
        <v>0</v>
      </c>
      <c r="E1617" s="44">
        <v>1.128</v>
      </c>
      <c r="F1617" s="31">
        <f>TRUNC(1.23,2)</f>
        <v>1.23</v>
      </c>
      <c r="G1617" s="32">
        <f t="shared" si="65"/>
        <v>1.38</v>
      </c>
      <c r="H1617" s="32"/>
      <c r="I1617" s="33"/>
      <c r="J1617" s="33"/>
      <c r="K1617" s="37"/>
    </row>
    <row r="1618" spans="1:11" s="34" customFormat="1" ht="15">
      <c r="A1618" s="30"/>
      <c r="B1618" s="43" t="s">
        <v>283</v>
      </c>
      <c r="C1618" s="45" t="s">
        <v>32</v>
      </c>
      <c r="D1618" s="46" t="s">
        <v>4</v>
      </c>
      <c r="E1618" s="44">
        <v>0.2537</v>
      </c>
      <c r="F1618" s="31">
        <f>TRUNC(21.13,2)</f>
        <v>21.13</v>
      </c>
      <c r="G1618" s="32">
        <f t="shared" si="65"/>
        <v>5.36</v>
      </c>
      <c r="H1618" s="32"/>
      <c r="I1618" s="33"/>
      <c r="J1618" s="33"/>
      <c r="K1618" s="37"/>
    </row>
    <row r="1619" spans="1:11" s="34" customFormat="1" ht="15">
      <c r="A1619" s="30"/>
      <c r="B1619" s="43" t="s">
        <v>306</v>
      </c>
      <c r="C1619" s="45" t="s">
        <v>307</v>
      </c>
      <c r="D1619" s="46" t="s">
        <v>4</v>
      </c>
      <c r="E1619" s="44">
        <v>0.1183</v>
      </c>
      <c r="F1619" s="31">
        <f>TRUNC(26.76,2)</f>
        <v>26.76</v>
      </c>
      <c r="G1619" s="32">
        <f t="shared" si="65"/>
        <v>3.16</v>
      </c>
      <c r="H1619" s="32"/>
      <c r="I1619" s="33"/>
      <c r="J1619" s="33"/>
      <c r="K1619" s="37"/>
    </row>
    <row r="1620" spans="1:11" s="34" customFormat="1" ht="15">
      <c r="A1620" s="30"/>
      <c r="B1620" s="43" t="s">
        <v>260</v>
      </c>
      <c r="C1620" s="45" t="s">
        <v>261</v>
      </c>
      <c r="D1620" s="46" t="s">
        <v>4</v>
      </c>
      <c r="E1620" s="44">
        <v>0.1354</v>
      </c>
      <c r="F1620" s="31">
        <f>TRUNC(26.52,2)</f>
        <v>26.52</v>
      </c>
      <c r="G1620" s="32">
        <f t="shared" si="65"/>
        <v>3.59</v>
      </c>
      <c r="H1620" s="32"/>
      <c r="I1620" s="33"/>
      <c r="J1620" s="33"/>
      <c r="K1620" s="37"/>
    </row>
    <row r="1621" spans="1:11" s="34" customFormat="1" ht="15">
      <c r="A1621" s="30"/>
      <c r="B1621" s="43"/>
      <c r="C1621" s="45"/>
      <c r="D1621" s="46"/>
      <c r="E1621" s="44" t="s">
        <v>5</v>
      </c>
      <c r="F1621" s="31"/>
      <c r="G1621" s="32">
        <f>TRUNC(SUM(G1614:G1620),2)</f>
        <v>103.58</v>
      </c>
      <c r="H1621" s="32"/>
      <c r="I1621" s="33"/>
      <c r="J1621" s="33"/>
      <c r="K1621" s="37"/>
    </row>
    <row r="1622" spans="1:11" s="72" customFormat="1" ht="15">
      <c r="A1622" s="65" t="s">
        <v>1363</v>
      </c>
      <c r="B1622" s="66"/>
      <c r="C1622" s="67"/>
      <c r="D1622" s="68"/>
      <c r="E1622" s="69"/>
      <c r="F1622" s="70"/>
      <c r="G1622" s="73" t="s">
        <v>1737</v>
      </c>
      <c r="H1622" s="75">
        <f>H1600+H1589+H1579+H1574+H1566+H1557+H1606+H1610+H1613</f>
        <v>30505.989999999998</v>
      </c>
      <c r="I1622" s="75">
        <f>I1600+I1589+I1579+I1574+I1566+I1557+I1606+I1610+I1613</f>
        <v>39294.55</v>
      </c>
      <c r="J1622" s="71"/>
      <c r="K1622" s="69"/>
    </row>
    <row r="1623" spans="1:11" s="21" customFormat="1" ht="15.75">
      <c r="A1623" s="21" t="s">
        <v>1738</v>
      </c>
      <c r="B1623" s="28"/>
      <c r="C1623" s="29" t="s">
        <v>1518</v>
      </c>
      <c r="D1623" s="29"/>
      <c r="E1623" s="29"/>
      <c r="F1623" s="29"/>
      <c r="G1623" s="29"/>
      <c r="H1623" s="29"/>
      <c r="I1623" s="27"/>
      <c r="J1623" s="29"/>
      <c r="K1623" s="29"/>
    </row>
    <row r="1624" spans="1:10" s="88" customFormat="1" ht="60">
      <c r="A1624" s="97" t="s">
        <v>1739</v>
      </c>
      <c r="B1624" s="81" t="s">
        <v>1560</v>
      </c>
      <c r="C1624" s="82" t="s">
        <v>1557</v>
      </c>
      <c r="D1624" s="83" t="s">
        <v>0</v>
      </c>
      <c r="E1624" s="84">
        <v>53.74</v>
      </c>
      <c r="F1624" s="86">
        <f>TRUNC(G1628,2)</f>
        <v>419.22</v>
      </c>
      <c r="G1624" s="86">
        <f>TRUNC(F1624*1.2882,2)</f>
        <v>540.03</v>
      </c>
      <c r="H1624" s="86">
        <f>TRUNC(F1624*E1624,2)</f>
        <v>22528.88</v>
      </c>
      <c r="I1624" s="87">
        <f>TRUNC(E1624*G1624,2)</f>
        <v>29021.21</v>
      </c>
      <c r="J1624" s="98"/>
    </row>
    <row r="1625" spans="1:11" s="34" customFormat="1" ht="60">
      <c r="A1625" s="30"/>
      <c r="B1625" s="52" t="s">
        <v>827</v>
      </c>
      <c r="C1625" s="45" t="s">
        <v>1561</v>
      </c>
      <c r="D1625" s="46" t="s">
        <v>0</v>
      </c>
      <c r="E1625" s="44">
        <v>1</v>
      </c>
      <c r="F1625" s="31">
        <f>TRUNC(G1632,2)</f>
        <v>296.15</v>
      </c>
      <c r="G1625" s="32">
        <f>TRUNC(E1625*F1625,2)</f>
        <v>296.15</v>
      </c>
      <c r="H1625" s="32"/>
      <c r="I1625" s="33"/>
      <c r="J1625" s="33"/>
      <c r="K1625" s="37"/>
    </row>
    <row r="1626" spans="1:11" s="34" customFormat="1" ht="30">
      <c r="A1626" s="30"/>
      <c r="B1626" s="43" t="s">
        <v>26</v>
      </c>
      <c r="C1626" s="45" t="s">
        <v>27</v>
      </c>
      <c r="D1626" s="46" t="s">
        <v>4</v>
      </c>
      <c r="E1626" s="44">
        <v>3.4505000000000003</v>
      </c>
      <c r="F1626" s="31">
        <f>TRUNC(14.34,2)</f>
        <v>14.34</v>
      </c>
      <c r="G1626" s="32">
        <f>TRUNC(E1626*F1626,2)</f>
        <v>49.48</v>
      </c>
      <c r="H1626" s="32"/>
      <c r="I1626" s="33"/>
      <c r="J1626" s="33"/>
      <c r="K1626" s="37"/>
    </row>
    <row r="1627" spans="1:11" s="34" customFormat="1" ht="30">
      <c r="A1627" s="30"/>
      <c r="B1627" s="43" t="s">
        <v>211</v>
      </c>
      <c r="C1627" s="45" t="s">
        <v>212</v>
      </c>
      <c r="D1627" s="46" t="s">
        <v>4</v>
      </c>
      <c r="E1627" s="44">
        <v>3.4505000000000003</v>
      </c>
      <c r="F1627" s="31">
        <f>TRUNC(21.33,2)</f>
        <v>21.33</v>
      </c>
      <c r="G1627" s="32">
        <f>TRUNC(E1627*F1627,2)</f>
        <v>73.59</v>
      </c>
      <c r="H1627" s="32"/>
      <c r="I1627" s="33"/>
      <c r="J1627" s="33"/>
      <c r="K1627" s="37"/>
    </row>
    <row r="1628" spans="1:11" s="34" customFormat="1" ht="15">
      <c r="A1628" s="30"/>
      <c r="B1628" s="43"/>
      <c r="C1628" s="45"/>
      <c r="D1628" s="46"/>
      <c r="E1628" s="44" t="s">
        <v>5</v>
      </c>
      <c r="F1628" s="31"/>
      <c r="G1628" s="32">
        <f>TRUNC(SUM(G1625:G1627),2)</f>
        <v>419.22</v>
      </c>
      <c r="H1628" s="32"/>
      <c r="I1628" s="33"/>
      <c r="J1628" s="33"/>
      <c r="K1628" s="37"/>
    </row>
    <row r="1629" spans="1:11" s="34" customFormat="1" ht="75">
      <c r="A1629" s="30"/>
      <c r="B1629" s="52" t="s">
        <v>827</v>
      </c>
      <c r="C1629" s="45" t="s">
        <v>1564</v>
      </c>
      <c r="D1629" s="46" t="s">
        <v>0</v>
      </c>
      <c r="E1629" s="44">
        <v>1</v>
      </c>
      <c r="F1629" s="31">
        <v>347.3</v>
      </c>
      <c r="G1629" s="32">
        <f>TRUNC(E1629*F1629,2)</f>
        <v>347.3</v>
      </c>
      <c r="H1629" s="32"/>
      <c r="I1629" s="33"/>
      <c r="J1629" s="33"/>
      <c r="K1629" s="37"/>
    </row>
    <row r="1630" spans="1:11" s="34" customFormat="1" ht="75">
      <c r="A1630" s="30"/>
      <c r="B1630" s="52" t="s">
        <v>827</v>
      </c>
      <c r="C1630" s="45" t="s">
        <v>1558</v>
      </c>
      <c r="D1630" s="46" t="s">
        <v>0</v>
      </c>
      <c r="E1630" s="44">
        <v>1</v>
      </c>
      <c r="F1630" s="31">
        <v>265.87</v>
      </c>
      <c r="G1630" s="32">
        <f>TRUNC(E1630*F1630,2)</f>
        <v>265.87</v>
      </c>
      <c r="H1630" s="32"/>
      <c r="I1630" s="33"/>
      <c r="J1630" s="33"/>
      <c r="K1630" s="37"/>
    </row>
    <row r="1631" spans="1:11" s="34" customFormat="1" ht="75">
      <c r="A1631" s="30"/>
      <c r="B1631" s="52" t="s">
        <v>827</v>
      </c>
      <c r="C1631" s="45" t="s">
        <v>1563</v>
      </c>
      <c r="D1631" s="46" t="s">
        <v>0</v>
      </c>
      <c r="E1631" s="44">
        <v>1</v>
      </c>
      <c r="F1631" s="31">
        <v>296.15</v>
      </c>
      <c r="G1631" s="32">
        <f>TRUNC(E1631*F1631,2)</f>
        <v>296.15</v>
      </c>
      <c r="H1631" s="32"/>
      <c r="I1631" s="33"/>
      <c r="J1631" s="33"/>
      <c r="K1631" s="37"/>
    </row>
    <row r="1632" spans="1:11" s="34" customFormat="1" ht="15">
      <c r="A1632" s="30"/>
      <c r="B1632" s="43"/>
      <c r="C1632" s="45"/>
      <c r="D1632" s="46"/>
      <c r="E1632" s="44"/>
      <c r="F1632" s="31" t="s">
        <v>1559</v>
      </c>
      <c r="G1632" s="32">
        <f>G1631</f>
        <v>296.15</v>
      </c>
      <c r="H1632" s="32"/>
      <c r="I1632" s="33"/>
      <c r="J1632" s="33"/>
      <c r="K1632" s="37"/>
    </row>
    <row r="1633" spans="1:10" s="88" customFormat="1" ht="30">
      <c r="A1633" s="97" t="s">
        <v>1740</v>
      </c>
      <c r="B1633" s="81" t="s">
        <v>1560</v>
      </c>
      <c r="C1633" s="82" t="s">
        <v>1562</v>
      </c>
      <c r="D1633" s="83" t="s">
        <v>0</v>
      </c>
      <c r="E1633" s="84">
        <v>11.56</v>
      </c>
      <c r="F1633" s="86">
        <f>TRUNC(G1637,2)</f>
        <v>952.23</v>
      </c>
      <c r="G1633" s="86">
        <f>TRUNC(F1633*1.2882,2)</f>
        <v>1226.66</v>
      </c>
      <c r="H1633" s="86">
        <f>TRUNC(F1633*E1633,2)</f>
        <v>11007.77</v>
      </c>
      <c r="I1633" s="87">
        <f>TRUNC(E1633*G1633,2)</f>
        <v>14180.18</v>
      </c>
      <c r="J1633" s="98"/>
    </row>
    <row r="1634" spans="1:11" s="34" customFormat="1" ht="30">
      <c r="A1634" s="30"/>
      <c r="B1634" s="43" t="s">
        <v>827</v>
      </c>
      <c r="C1634" s="45" t="s">
        <v>1567</v>
      </c>
      <c r="D1634" s="46" t="s">
        <v>0</v>
      </c>
      <c r="E1634" s="44">
        <v>1</v>
      </c>
      <c r="F1634" s="31">
        <f>TRUNC(G1641,2)</f>
        <v>829.16</v>
      </c>
      <c r="G1634" s="32">
        <f>TRUNC(E1634*F1634,2)</f>
        <v>829.16</v>
      </c>
      <c r="H1634" s="32"/>
      <c r="I1634" s="33"/>
      <c r="J1634" s="33"/>
      <c r="K1634" s="37"/>
    </row>
    <row r="1635" spans="1:11" s="34" customFormat="1" ht="45">
      <c r="A1635" s="30"/>
      <c r="B1635" s="43" t="s">
        <v>26</v>
      </c>
      <c r="C1635" s="45" t="s">
        <v>1565</v>
      </c>
      <c r="D1635" s="46" t="s">
        <v>4</v>
      </c>
      <c r="E1635" s="44">
        <v>3.4505000000000003</v>
      </c>
      <c r="F1635" s="31">
        <f>TRUNC(14.34,2)</f>
        <v>14.34</v>
      </c>
      <c r="G1635" s="32">
        <f>TRUNC(E1635*F1635,2)</f>
        <v>49.48</v>
      </c>
      <c r="H1635" s="32"/>
      <c r="I1635" s="33"/>
      <c r="J1635" s="33"/>
      <c r="K1635" s="37"/>
    </row>
    <row r="1636" spans="1:11" s="34" customFormat="1" ht="30">
      <c r="A1636" s="30"/>
      <c r="B1636" s="43" t="s">
        <v>211</v>
      </c>
      <c r="C1636" s="45" t="s">
        <v>212</v>
      </c>
      <c r="D1636" s="46" t="s">
        <v>4</v>
      </c>
      <c r="E1636" s="44">
        <v>3.4505000000000003</v>
      </c>
      <c r="F1636" s="31">
        <f>TRUNC(21.33,2)</f>
        <v>21.33</v>
      </c>
      <c r="G1636" s="32">
        <f>TRUNC(E1636*F1636,2)</f>
        <v>73.59</v>
      </c>
      <c r="H1636" s="32"/>
      <c r="I1636" s="33"/>
      <c r="J1636" s="33"/>
      <c r="K1636" s="37"/>
    </row>
    <row r="1637" spans="1:11" s="34" customFormat="1" ht="15">
      <c r="A1637" s="30"/>
      <c r="B1637" s="43"/>
      <c r="C1637" s="45"/>
      <c r="D1637" s="46"/>
      <c r="E1637" s="44" t="s">
        <v>5</v>
      </c>
      <c r="F1637" s="31"/>
      <c r="G1637" s="32">
        <f>TRUNC(SUM(G1634:G1636),2)</f>
        <v>952.23</v>
      </c>
      <c r="H1637" s="32"/>
      <c r="I1637" s="33"/>
      <c r="J1637" s="33"/>
      <c r="K1637" s="37"/>
    </row>
    <row r="1638" spans="1:11" s="34" customFormat="1" ht="30">
      <c r="A1638" s="30"/>
      <c r="B1638" s="52" t="s">
        <v>827</v>
      </c>
      <c r="C1638" s="45" t="s">
        <v>1562</v>
      </c>
      <c r="D1638" s="46" t="s">
        <v>0</v>
      </c>
      <c r="E1638" s="44">
        <v>1</v>
      </c>
      <c r="F1638" s="31">
        <v>829.16</v>
      </c>
      <c r="G1638" s="32">
        <f>TRUNC(E1638*F1638,2)</f>
        <v>829.16</v>
      </c>
      <c r="H1638" s="32"/>
      <c r="I1638" s="33"/>
      <c r="J1638" s="33"/>
      <c r="K1638" s="37"/>
    </row>
    <row r="1639" spans="1:11" s="34" customFormat="1" ht="30">
      <c r="A1639" s="30"/>
      <c r="B1639" s="52" t="s">
        <v>827</v>
      </c>
      <c r="C1639" s="45" t="s">
        <v>1562</v>
      </c>
      <c r="D1639" s="46" t="s">
        <v>0</v>
      </c>
      <c r="E1639" s="44">
        <v>1</v>
      </c>
      <c r="F1639" s="31">
        <v>941</v>
      </c>
      <c r="G1639" s="32">
        <f>TRUNC(E1639*F1639,2)</f>
        <v>941</v>
      </c>
      <c r="H1639" s="32"/>
      <c r="I1639" s="33"/>
      <c r="J1639" s="33"/>
      <c r="K1639" s="37"/>
    </row>
    <row r="1640" spans="1:11" s="34" customFormat="1" ht="45">
      <c r="A1640" s="30"/>
      <c r="B1640" s="52" t="s">
        <v>827</v>
      </c>
      <c r="C1640" s="45" t="s">
        <v>1566</v>
      </c>
      <c r="D1640" s="46" t="s">
        <v>0</v>
      </c>
      <c r="E1640" s="44">
        <v>1</v>
      </c>
      <c r="F1640" s="31">
        <v>808.67</v>
      </c>
      <c r="G1640" s="32">
        <f>TRUNC(E1640*F1640,2)</f>
        <v>808.67</v>
      </c>
      <c r="H1640" s="32"/>
      <c r="I1640" s="33"/>
      <c r="J1640" s="33"/>
      <c r="K1640" s="37"/>
    </row>
    <row r="1641" spans="1:11" s="34" customFormat="1" ht="15">
      <c r="A1641" s="30"/>
      <c r="B1641" s="43"/>
      <c r="C1641" s="45"/>
      <c r="D1641" s="46"/>
      <c r="E1641" s="44"/>
      <c r="F1641" s="31" t="s">
        <v>1559</v>
      </c>
      <c r="G1641" s="32">
        <f>G1638</f>
        <v>829.16</v>
      </c>
      <c r="H1641" s="32"/>
      <c r="I1641" s="33"/>
      <c r="J1641" s="33"/>
      <c r="K1641" s="37"/>
    </row>
    <row r="1642" spans="1:11" s="72" customFormat="1" ht="15">
      <c r="A1642" s="65" t="s">
        <v>1363</v>
      </c>
      <c r="B1642" s="66"/>
      <c r="C1642" s="67"/>
      <c r="D1642" s="68"/>
      <c r="E1642" s="69"/>
      <c r="F1642" s="70"/>
      <c r="G1642" s="73" t="s">
        <v>1741</v>
      </c>
      <c r="H1642" s="75">
        <f>H1633+H1624</f>
        <v>33536.65</v>
      </c>
      <c r="I1642" s="75">
        <f>I1633+I1624</f>
        <v>43201.39</v>
      </c>
      <c r="J1642" s="71"/>
      <c r="K1642" s="69"/>
    </row>
    <row r="1643" spans="1:11" s="21" customFormat="1" ht="15.75">
      <c r="A1643" s="21" t="s">
        <v>1742</v>
      </c>
      <c r="B1643" s="28"/>
      <c r="C1643" s="29" t="s">
        <v>1519</v>
      </c>
      <c r="D1643" s="29"/>
      <c r="E1643" s="29"/>
      <c r="F1643" s="29"/>
      <c r="G1643" s="29"/>
      <c r="H1643" s="29"/>
      <c r="I1643" s="27"/>
      <c r="J1643" s="29"/>
      <c r="K1643" s="29"/>
    </row>
    <row r="1644" spans="1:10" s="88" customFormat="1" ht="60">
      <c r="A1644" s="97" t="s">
        <v>1743</v>
      </c>
      <c r="B1644" s="81" t="s">
        <v>57</v>
      </c>
      <c r="C1644" s="82" t="s">
        <v>45</v>
      </c>
      <c r="D1644" s="83" t="s">
        <v>10</v>
      </c>
      <c r="E1644" s="84">
        <v>15</v>
      </c>
      <c r="F1644" s="86">
        <f>TRUNC(G1647,2)</f>
        <v>258.86</v>
      </c>
      <c r="G1644" s="86">
        <f>TRUNC(F1644*1.2882,2)</f>
        <v>333.46</v>
      </c>
      <c r="H1644" s="86">
        <f>TRUNC(F1644*E1644,2)</f>
        <v>3882.9</v>
      </c>
      <c r="I1644" s="87">
        <f>TRUNC(E1644*G1644,2)</f>
        <v>5001.9</v>
      </c>
      <c r="J1644" s="98"/>
    </row>
    <row r="1645" spans="1:11" s="34" customFormat="1" ht="30">
      <c r="A1645" s="30"/>
      <c r="B1645" s="43" t="s">
        <v>26</v>
      </c>
      <c r="C1645" s="45" t="s">
        <v>27</v>
      </c>
      <c r="D1645" s="46" t="s">
        <v>4</v>
      </c>
      <c r="E1645" s="44">
        <v>0.618</v>
      </c>
      <c r="F1645" s="31">
        <f>TRUNC(14.34,2)</f>
        <v>14.34</v>
      </c>
      <c r="G1645" s="32">
        <f>TRUNC(E1645*F1645,2)</f>
        <v>8.86</v>
      </c>
      <c r="H1645" s="32"/>
      <c r="I1645" s="33"/>
      <c r="J1645" s="33"/>
      <c r="K1645" s="37"/>
    </row>
    <row r="1646" spans="1:11" s="34" customFormat="1" ht="30">
      <c r="A1646" s="30"/>
      <c r="B1646" s="43" t="s">
        <v>46</v>
      </c>
      <c r="C1646" s="45" t="s">
        <v>47</v>
      </c>
      <c r="D1646" s="46" t="s">
        <v>10</v>
      </c>
      <c r="E1646" s="44">
        <v>1</v>
      </c>
      <c r="F1646" s="31">
        <f>TRUNC(250,2)</f>
        <v>250</v>
      </c>
      <c r="G1646" s="32">
        <f>TRUNC(E1646*F1646,2)</f>
        <v>250</v>
      </c>
      <c r="H1646" s="32"/>
      <c r="I1646" s="33"/>
      <c r="J1646" s="33"/>
      <c r="K1646" s="37"/>
    </row>
    <row r="1647" spans="1:11" s="34" customFormat="1" ht="15">
      <c r="A1647" s="30"/>
      <c r="B1647" s="43"/>
      <c r="C1647" s="45"/>
      <c r="D1647" s="46"/>
      <c r="E1647" s="44" t="s">
        <v>5</v>
      </c>
      <c r="F1647" s="31"/>
      <c r="G1647" s="32">
        <f>TRUNC(SUM(G1645:G1646),2)</f>
        <v>258.86</v>
      </c>
      <c r="H1647" s="32"/>
      <c r="I1647" s="33"/>
      <c r="J1647" s="33"/>
      <c r="K1647" s="37"/>
    </row>
    <row r="1648" spans="1:11" s="72" customFormat="1" ht="15">
      <c r="A1648" s="65" t="s">
        <v>1363</v>
      </c>
      <c r="B1648" s="66"/>
      <c r="C1648" s="67"/>
      <c r="D1648" s="68"/>
      <c r="E1648" s="69"/>
      <c r="F1648" s="70"/>
      <c r="G1648" s="73" t="s">
        <v>1741</v>
      </c>
      <c r="H1648" s="75">
        <f>H1644</f>
        <v>3882.9</v>
      </c>
      <c r="I1648" s="75">
        <f>I1644</f>
        <v>5001.9</v>
      </c>
      <c r="J1648" s="71"/>
      <c r="K1648" s="69"/>
    </row>
    <row r="1649" spans="1:11" s="42" customFormat="1" ht="15.75">
      <c r="A1649" s="38" t="s">
        <v>22</v>
      </c>
      <c r="B1649" s="39"/>
      <c r="C1649" s="40"/>
      <c r="D1649" s="39"/>
      <c r="E1649" s="39"/>
      <c r="F1649" s="39" t="s">
        <v>44</v>
      </c>
      <c r="G1649" s="39"/>
      <c r="H1649" s="41">
        <f>H139+H166+H284+H446+H546+H570+H1166+H1431+H1473+H1510+H1555+H1622+H1642+H1648</f>
        <v>1440401.64</v>
      </c>
      <c r="I1649" s="41">
        <f>I139+I166+I284+I446+I546+I570+I1166+I1431+I1473+I1510+I1555+I1622+I1642+I1648</f>
        <v>1855244.8899999997</v>
      </c>
      <c r="J1649" s="39"/>
      <c r="K1649" s="39"/>
    </row>
    <row r="1650" spans="2:9" s="35" customFormat="1" ht="15">
      <c r="B1650" s="43"/>
      <c r="F1650" s="36"/>
      <c r="G1650" s="32"/>
      <c r="H1650" s="32"/>
      <c r="I1650" s="33"/>
    </row>
    <row r="1651" spans="2:9" s="35" customFormat="1" ht="15">
      <c r="B1651" s="43"/>
      <c r="F1651" s="36"/>
      <c r="G1651" s="32"/>
      <c r="H1651" s="32"/>
      <c r="I1651" s="33"/>
    </row>
    <row r="1652" spans="2:9" s="35" customFormat="1" ht="15">
      <c r="B1652" s="43"/>
      <c r="F1652" s="36"/>
      <c r="G1652" s="32"/>
      <c r="H1652" s="32"/>
      <c r="I1652" s="33"/>
    </row>
    <row r="1653" spans="2:9" s="35" customFormat="1" ht="15">
      <c r="B1653" s="43"/>
      <c r="F1653" s="36"/>
      <c r="G1653" s="32"/>
      <c r="H1653" s="32"/>
      <c r="I1653" s="33"/>
    </row>
    <row r="1654" spans="2:9" s="35" customFormat="1" ht="15">
      <c r="B1654" s="43"/>
      <c r="F1654" s="36"/>
      <c r="G1654" s="32"/>
      <c r="H1654" s="32"/>
      <c r="I1654" s="33"/>
    </row>
    <row r="1655" spans="2:9" s="35" customFormat="1" ht="15">
      <c r="B1655" s="43"/>
      <c r="F1655" s="36"/>
      <c r="G1655" s="32"/>
      <c r="H1655" s="32"/>
      <c r="I1655" s="33"/>
    </row>
    <row r="1656" spans="2:9" s="35" customFormat="1" ht="15">
      <c r="B1656" s="43"/>
      <c r="F1656" s="36"/>
      <c r="G1656" s="32"/>
      <c r="H1656" s="32"/>
      <c r="I1656" s="33"/>
    </row>
    <row r="1657" spans="2:9" s="35" customFormat="1" ht="42.75">
      <c r="B1657" s="43" t="s">
        <v>550</v>
      </c>
      <c r="C1657" s="35" t="s">
        <v>551</v>
      </c>
      <c r="D1657" s="35" t="s">
        <v>10</v>
      </c>
      <c r="E1657" s="35">
        <v>1</v>
      </c>
      <c r="F1657" s="36">
        <f>TRUNC(264.77125,2)</f>
        <v>264.77</v>
      </c>
      <c r="G1657" s="32">
        <f aca="true" t="shared" si="66" ref="G1657:G1663">TRUNC(E1657*F1657,2)</f>
        <v>264.77</v>
      </c>
      <c r="H1657" s="32"/>
      <c r="I1657" s="33"/>
    </row>
    <row r="1658" spans="2:9" s="48" customFormat="1" ht="30">
      <c r="B1658" s="43" t="s">
        <v>554</v>
      </c>
      <c r="C1658" s="48" t="s">
        <v>555</v>
      </c>
      <c r="D1658" s="48" t="s">
        <v>10</v>
      </c>
      <c r="E1658" s="48">
        <v>1</v>
      </c>
      <c r="F1658" s="49">
        <v>27.61</v>
      </c>
      <c r="G1658" s="50">
        <f t="shared" si="66"/>
        <v>27.61</v>
      </c>
      <c r="H1658" s="50"/>
      <c r="I1658" s="51"/>
    </row>
    <row r="1659" spans="2:9" s="35" customFormat="1" ht="28.5">
      <c r="B1659" s="43" t="s">
        <v>542</v>
      </c>
      <c r="C1659" s="35" t="s">
        <v>543</v>
      </c>
      <c r="D1659" s="35" t="s">
        <v>10</v>
      </c>
      <c r="E1659" s="35">
        <v>19.8</v>
      </c>
      <c r="F1659" s="36">
        <f>TRUNC(0.08,2)</f>
        <v>0.08</v>
      </c>
      <c r="G1659" s="32">
        <f t="shared" si="66"/>
        <v>1.58</v>
      </c>
      <c r="H1659" s="32"/>
      <c r="I1659" s="33"/>
    </row>
    <row r="1660" spans="2:9" s="35" customFormat="1" ht="42.75">
      <c r="B1660" s="43" t="s">
        <v>552</v>
      </c>
      <c r="C1660" s="35" t="s">
        <v>553</v>
      </c>
      <c r="D1660" s="35" t="s">
        <v>10</v>
      </c>
      <c r="E1660" s="35">
        <v>1</v>
      </c>
      <c r="F1660" s="36">
        <f>TRUNC(139.18,2)</f>
        <v>139.18</v>
      </c>
      <c r="G1660" s="32">
        <f t="shared" si="66"/>
        <v>139.18</v>
      </c>
      <c r="H1660" s="32"/>
      <c r="I1660" s="33"/>
    </row>
    <row r="1661" spans="2:9" s="35" customFormat="1" ht="28.5">
      <c r="B1661" s="43" t="s">
        <v>546</v>
      </c>
      <c r="C1661" s="35" t="s">
        <v>547</v>
      </c>
      <c r="D1661" s="35" t="s">
        <v>10</v>
      </c>
      <c r="E1661" s="35">
        <v>3</v>
      </c>
      <c r="F1661" s="36">
        <f>TRUNC(24.83,2)</f>
        <v>24.83</v>
      </c>
      <c r="G1661" s="32">
        <f t="shared" si="66"/>
        <v>74.49</v>
      </c>
      <c r="H1661" s="32"/>
      <c r="I1661" s="33"/>
    </row>
    <row r="1662" spans="2:9" s="35" customFormat="1" ht="15">
      <c r="B1662" s="43" t="s">
        <v>283</v>
      </c>
      <c r="C1662" s="35" t="s">
        <v>32</v>
      </c>
      <c r="D1662" s="35" t="s">
        <v>4</v>
      </c>
      <c r="E1662" s="35">
        <v>0.641</v>
      </c>
      <c r="F1662" s="36">
        <f>TRUNC(21.13,2)</f>
        <v>21.13</v>
      </c>
      <c r="G1662" s="32">
        <f t="shared" si="66"/>
        <v>13.54</v>
      </c>
      <c r="H1662" s="32"/>
      <c r="I1662" s="33"/>
    </row>
    <row r="1663" spans="2:9" s="35" customFormat="1" ht="15">
      <c r="B1663" s="43" t="s">
        <v>548</v>
      </c>
      <c r="C1663" s="35" t="s">
        <v>549</v>
      </c>
      <c r="D1663" s="35" t="s">
        <v>4</v>
      </c>
      <c r="E1663" s="35">
        <v>1.282</v>
      </c>
      <c r="F1663" s="36">
        <f>TRUNC(28.06,2)</f>
        <v>28.06</v>
      </c>
      <c r="G1663" s="32">
        <f t="shared" si="66"/>
        <v>35.97</v>
      </c>
      <c r="H1663" s="32"/>
      <c r="I1663" s="33"/>
    </row>
    <row r="1664" spans="2:9" s="35" customFormat="1" ht="15">
      <c r="B1664" s="43"/>
      <c r="E1664" s="35" t="s">
        <v>5</v>
      </c>
      <c r="F1664" s="36"/>
      <c r="G1664" s="32">
        <f>TRUNC(SUM(G1658:G1663),2)</f>
        <v>292.37</v>
      </c>
      <c r="H1664" s="32"/>
      <c r="I1664" s="33"/>
    </row>
    <row r="1665" spans="2:9" s="35" customFormat="1" ht="42.75">
      <c r="B1665" s="43" t="s">
        <v>540</v>
      </c>
      <c r="C1665" s="35" t="s">
        <v>541</v>
      </c>
      <c r="D1665" s="35" t="s">
        <v>10</v>
      </c>
      <c r="E1665" s="35">
        <v>1</v>
      </c>
      <c r="F1665" s="36">
        <f>TRUNC(288.90825,2)</f>
        <v>288.9</v>
      </c>
      <c r="G1665" s="32">
        <f aca="true" t="shared" si="67" ref="G1665:G1671">TRUNC(E1665*F1665,2)</f>
        <v>288.9</v>
      </c>
      <c r="H1665" s="32"/>
      <c r="I1665" s="33"/>
    </row>
    <row r="1666" spans="2:9" s="48" customFormat="1" ht="30">
      <c r="B1666" s="43" t="s">
        <v>554</v>
      </c>
      <c r="C1666" s="48" t="s">
        <v>555</v>
      </c>
      <c r="D1666" s="48" t="s">
        <v>10</v>
      </c>
      <c r="E1666" s="48">
        <v>1</v>
      </c>
      <c r="F1666" s="49">
        <v>27.61</v>
      </c>
      <c r="G1666" s="50">
        <f t="shared" si="67"/>
        <v>27.61</v>
      </c>
      <c r="H1666" s="50"/>
      <c r="I1666" s="51"/>
    </row>
    <row r="1667" spans="2:9" s="35" customFormat="1" ht="28.5">
      <c r="B1667" s="43" t="s">
        <v>542</v>
      </c>
      <c r="C1667" s="35" t="s">
        <v>543</v>
      </c>
      <c r="D1667" s="35" t="s">
        <v>10</v>
      </c>
      <c r="E1667" s="35">
        <v>19.8</v>
      </c>
      <c r="F1667" s="36">
        <f>TRUNC(0.08,2)</f>
        <v>0.08</v>
      </c>
      <c r="G1667" s="32">
        <f t="shared" si="67"/>
        <v>1.58</v>
      </c>
      <c r="H1667" s="32"/>
      <c r="I1667" s="33"/>
    </row>
    <row r="1668" spans="2:9" s="35" customFormat="1" ht="42.75">
      <c r="B1668" s="43" t="s">
        <v>544</v>
      </c>
      <c r="C1668" s="35" t="s">
        <v>545</v>
      </c>
      <c r="D1668" s="35" t="s">
        <v>10</v>
      </c>
      <c r="E1668" s="35">
        <v>1</v>
      </c>
      <c r="F1668" s="36">
        <f>TRUNC(153.12,2)</f>
        <v>153.12</v>
      </c>
      <c r="G1668" s="32">
        <f t="shared" si="67"/>
        <v>153.12</v>
      </c>
      <c r="H1668" s="32"/>
      <c r="I1668" s="33"/>
    </row>
    <row r="1669" spans="2:9" s="35" customFormat="1" ht="28.5">
      <c r="B1669" s="43" t="s">
        <v>546</v>
      </c>
      <c r="C1669" s="35" t="s">
        <v>547</v>
      </c>
      <c r="D1669" s="35" t="s">
        <v>10</v>
      </c>
      <c r="E1669" s="35">
        <v>3</v>
      </c>
      <c r="F1669" s="36">
        <f>TRUNC(24.83,2)</f>
        <v>24.83</v>
      </c>
      <c r="G1669" s="32">
        <f t="shared" si="67"/>
        <v>74.49</v>
      </c>
      <c r="H1669" s="32"/>
      <c r="I1669" s="33"/>
    </row>
    <row r="1670" spans="2:9" s="35" customFormat="1" ht="15">
      <c r="B1670" s="43" t="s">
        <v>283</v>
      </c>
      <c r="C1670" s="35" t="s">
        <v>32</v>
      </c>
      <c r="D1670" s="35" t="s">
        <v>4</v>
      </c>
      <c r="E1670" s="35">
        <v>0.773</v>
      </c>
      <c r="F1670" s="36">
        <f>TRUNC(21.13,2)</f>
        <v>21.13</v>
      </c>
      <c r="G1670" s="32">
        <f t="shared" si="67"/>
        <v>16.33</v>
      </c>
      <c r="H1670" s="32"/>
      <c r="I1670" s="33"/>
    </row>
    <row r="1671" spans="2:9" s="35" customFormat="1" ht="15">
      <c r="B1671" s="43" t="s">
        <v>548</v>
      </c>
      <c r="C1671" s="35" t="s">
        <v>549</v>
      </c>
      <c r="D1671" s="35" t="s">
        <v>4</v>
      </c>
      <c r="E1671" s="35">
        <v>1.546</v>
      </c>
      <c r="F1671" s="36">
        <f>TRUNC(28.06,2)</f>
        <v>28.06</v>
      </c>
      <c r="G1671" s="32">
        <f t="shared" si="67"/>
        <v>43.38</v>
      </c>
      <c r="H1671" s="32"/>
      <c r="I1671" s="33"/>
    </row>
    <row r="1672" spans="2:9" s="35" customFormat="1" ht="15">
      <c r="B1672" s="43"/>
      <c r="E1672" s="35" t="s">
        <v>5</v>
      </c>
      <c r="F1672" s="36"/>
      <c r="G1672" s="32">
        <f>TRUNC(SUM(G1666:G1671),2)</f>
        <v>316.51</v>
      </c>
      <c r="H1672" s="32"/>
      <c r="I1672" s="33"/>
    </row>
    <row r="1673" spans="2:9" s="35" customFormat="1" ht="15">
      <c r="B1673" s="43"/>
      <c r="F1673" s="36"/>
      <c r="G1673" s="32"/>
      <c r="H1673" s="32"/>
      <c r="I1673" s="33"/>
    </row>
    <row r="1674" spans="2:9" s="35" customFormat="1" ht="15">
      <c r="B1674" s="43"/>
      <c r="F1674" s="36"/>
      <c r="G1674" s="32"/>
      <c r="H1674" s="32"/>
      <c r="I1674" s="33"/>
    </row>
    <row r="1675" spans="2:9" s="35" customFormat="1" ht="15">
      <c r="B1675" s="43"/>
      <c r="F1675" s="36"/>
      <c r="G1675" s="32"/>
      <c r="H1675" s="32"/>
      <c r="I1675" s="33"/>
    </row>
    <row r="1676" spans="2:9" s="35" customFormat="1" ht="15">
      <c r="B1676" s="43"/>
      <c r="F1676" s="36"/>
      <c r="G1676" s="32"/>
      <c r="H1676" s="32"/>
      <c r="I1676" s="33"/>
    </row>
    <row r="1677" spans="2:9" s="35" customFormat="1" ht="15">
      <c r="B1677" s="43"/>
      <c r="F1677" s="36"/>
      <c r="G1677" s="32"/>
      <c r="H1677" s="32"/>
      <c r="I1677" s="33"/>
    </row>
    <row r="1678" spans="2:9" s="35" customFormat="1" ht="15">
      <c r="B1678" s="43"/>
      <c r="F1678" s="36"/>
      <c r="G1678" s="32"/>
      <c r="H1678" s="32"/>
      <c r="I1678" s="33"/>
    </row>
    <row r="1679" spans="2:9" s="35" customFormat="1" ht="15">
      <c r="B1679" s="43"/>
      <c r="F1679" s="36"/>
      <c r="G1679" s="32"/>
      <c r="H1679" s="32"/>
      <c r="I1679" s="33"/>
    </row>
    <row r="1680" spans="2:9" s="35" customFormat="1" ht="15">
      <c r="B1680" s="43"/>
      <c r="F1680" s="36"/>
      <c r="G1680" s="32"/>
      <c r="H1680" s="32"/>
      <c r="I1680" s="33"/>
    </row>
    <row r="1681" spans="2:9" s="35" customFormat="1" ht="15">
      <c r="B1681" s="43"/>
      <c r="F1681" s="36"/>
      <c r="G1681" s="32"/>
      <c r="H1681" s="32"/>
      <c r="I1681" s="33"/>
    </row>
    <row r="1682" spans="2:9" s="35" customFormat="1" ht="15">
      <c r="B1682" s="43"/>
      <c r="F1682" s="36"/>
      <c r="G1682" s="32"/>
      <c r="H1682" s="32"/>
      <c r="I1682" s="33"/>
    </row>
    <row r="1683" spans="2:9" s="35" customFormat="1" ht="15">
      <c r="B1683" s="43"/>
      <c r="F1683" s="36"/>
      <c r="G1683" s="32"/>
      <c r="H1683" s="32"/>
      <c r="I1683" s="33"/>
    </row>
    <row r="1684" spans="2:9" s="35" customFormat="1" ht="15">
      <c r="B1684" s="43"/>
      <c r="F1684" s="36"/>
      <c r="G1684" s="32"/>
      <c r="H1684" s="32"/>
      <c r="I1684" s="33"/>
    </row>
    <row r="1685" spans="2:9" s="35" customFormat="1" ht="15">
      <c r="B1685" s="43"/>
      <c r="F1685" s="36"/>
      <c r="G1685" s="32"/>
      <c r="H1685" s="32"/>
      <c r="I1685" s="33"/>
    </row>
    <row r="1686" spans="2:9" s="35" customFormat="1" ht="15">
      <c r="B1686" s="43"/>
      <c r="F1686" s="36"/>
      <c r="G1686" s="32"/>
      <c r="H1686" s="32"/>
      <c r="I1686" s="33"/>
    </row>
    <row r="1687" spans="2:9" s="35" customFormat="1" ht="15">
      <c r="B1687" s="43"/>
      <c r="F1687" s="36"/>
      <c r="G1687" s="32"/>
      <c r="H1687" s="32"/>
      <c r="I1687" s="33"/>
    </row>
    <row r="1688" spans="2:9" s="35" customFormat="1" ht="15">
      <c r="B1688" s="43"/>
      <c r="F1688" s="36"/>
      <c r="G1688" s="32"/>
      <c r="H1688" s="32"/>
      <c r="I1688" s="33"/>
    </row>
    <row r="1689" spans="2:9" s="35" customFormat="1" ht="15">
      <c r="B1689" s="43"/>
      <c r="F1689" s="36"/>
      <c r="G1689" s="32"/>
      <c r="H1689" s="32"/>
      <c r="I1689" s="33"/>
    </row>
    <row r="1690" spans="2:9" s="35" customFormat="1" ht="15">
      <c r="B1690" s="43"/>
      <c r="F1690" s="36"/>
      <c r="G1690" s="32"/>
      <c r="H1690" s="32"/>
      <c r="I1690" s="33"/>
    </row>
  </sheetData>
  <sheetProtection/>
  <mergeCells count="15">
    <mergeCell ref="J10:J11"/>
    <mergeCell ref="K10:K11"/>
    <mergeCell ref="A9:G9"/>
    <mergeCell ref="A10:A11"/>
    <mergeCell ref="B10:B11"/>
    <mergeCell ref="C10:C11"/>
    <mergeCell ref="D10:D11"/>
    <mergeCell ref="E10:E11"/>
    <mergeCell ref="F10:I10"/>
    <mergeCell ref="D3:G3"/>
    <mergeCell ref="D4:G4"/>
    <mergeCell ref="D5:G5"/>
    <mergeCell ref="D6:G6"/>
    <mergeCell ref="D7:G7"/>
    <mergeCell ref="D8:G8"/>
  </mergeCells>
  <printOptions/>
  <pageMargins left="0.5118110236220472" right="0.5118110236220472" top="0.7874015748031497" bottom="0.7874015748031497" header="0.31496062992125984" footer="0.31496062992125984"/>
  <pageSetup horizontalDpi="600" verticalDpi="600" orientation="portrait" paperSize="9" scale="39" r:id="rId2"/>
  <headerFooter>
    <oddFooter>&amp;C&amp;A&amp;RPágina &amp;P de &amp;N</oddFooter>
  </headerFooter>
  <drawing r:id="rId1"/>
</worksheet>
</file>

<file path=xl/worksheets/sheet2.xml><?xml version="1.0" encoding="utf-8"?>
<worksheet xmlns="http://schemas.openxmlformats.org/spreadsheetml/2006/main" xmlns:r="http://schemas.openxmlformats.org/officeDocument/2006/relationships">
  <dimension ref="A1:K256"/>
  <sheetViews>
    <sheetView view="pageBreakPreview" zoomScale="70" zoomScaleSheetLayoutView="70" zoomScalePageLayoutView="0" workbookViewId="0" topLeftCell="A1">
      <selection activeCell="A10" sqref="A10:A11"/>
    </sheetView>
  </sheetViews>
  <sheetFormatPr defaultColWidth="9.140625" defaultRowHeight="15"/>
  <cols>
    <col min="2" max="2" width="23.421875" style="0" customWidth="1"/>
    <col min="3" max="3" width="90.421875" style="1" customWidth="1"/>
    <col min="4" max="4" width="11.140625" style="0" customWidth="1"/>
    <col min="5" max="5" width="10.7109375" style="0" bestFit="1" customWidth="1"/>
    <col min="6" max="6" width="19.00390625" style="0" bestFit="1" customWidth="1"/>
    <col min="7" max="7" width="13.8515625" style="0" bestFit="1" customWidth="1"/>
    <col min="8" max="8" width="16.8515625" style="0" bestFit="1" customWidth="1"/>
    <col min="9" max="9" width="17.140625" style="0" bestFit="1" customWidth="1"/>
    <col min="10" max="11" width="10.7109375" style="0" bestFit="1" customWidth="1"/>
  </cols>
  <sheetData>
    <row r="1" spans="1:11" ht="15.75">
      <c r="A1" s="2"/>
      <c r="B1" s="3"/>
      <c r="C1" s="4" t="s">
        <v>13</v>
      </c>
      <c r="D1" s="5"/>
      <c r="E1" s="6"/>
      <c r="F1" s="7"/>
      <c r="G1" s="8"/>
      <c r="J1" s="6"/>
      <c r="K1" s="6"/>
    </row>
    <row r="2" spans="1:11" ht="15.75">
      <c r="A2" s="9"/>
      <c r="B2" s="10"/>
      <c r="C2" s="11" t="s">
        <v>14</v>
      </c>
      <c r="D2" s="12"/>
      <c r="E2" s="13"/>
      <c r="F2" s="14"/>
      <c r="G2" s="15"/>
      <c r="J2" s="13"/>
      <c r="K2" s="13"/>
    </row>
    <row r="3" spans="1:7" ht="15.75">
      <c r="A3" s="9"/>
      <c r="B3" s="10"/>
      <c r="C3" s="11" t="s">
        <v>15</v>
      </c>
      <c r="D3" s="135" t="s">
        <v>40</v>
      </c>
      <c r="E3" s="136"/>
      <c r="F3" s="136"/>
      <c r="G3" s="137"/>
    </row>
    <row r="4" spans="1:7" ht="15.75" customHeight="1">
      <c r="A4" s="9"/>
      <c r="B4" s="10"/>
      <c r="C4" s="16" t="s">
        <v>2486</v>
      </c>
      <c r="D4" s="138" t="s">
        <v>2490</v>
      </c>
      <c r="E4" s="139"/>
      <c r="F4" s="139"/>
      <c r="G4" s="140"/>
    </row>
    <row r="5" spans="1:7" ht="30">
      <c r="A5" s="9"/>
      <c r="B5" s="10"/>
      <c r="C5" s="22" t="s">
        <v>2487</v>
      </c>
      <c r="D5" s="141" t="s">
        <v>2488</v>
      </c>
      <c r="E5" s="142"/>
      <c r="F5" s="142"/>
      <c r="G5" s="143"/>
    </row>
    <row r="6" spans="1:7" ht="15.75">
      <c r="A6" s="9"/>
      <c r="B6" s="10"/>
      <c r="C6" s="17" t="s">
        <v>58</v>
      </c>
      <c r="D6" s="144" t="s">
        <v>2489</v>
      </c>
      <c r="E6" s="145"/>
      <c r="F6" s="145"/>
      <c r="G6" s="146"/>
    </row>
    <row r="7" spans="1:7" ht="15.75">
      <c r="A7" s="9"/>
      <c r="B7" s="10"/>
      <c r="C7" s="23" t="s">
        <v>2492</v>
      </c>
      <c r="D7" s="144" t="s">
        <v>42</v>
      </c>
      <c r="E7" s="145"/>
      <c r="F7" s="145"/>
      <c r="G7" s="146"/>
    </row>
    <row r="8" spans="1:7" ht="15.75">
      <c r="A8" s="18"/>
      <c r="B8" s="19"/>
      <c r="C8" s="20"/>
      <c r="D8" s="147" t="s">
        <v>24</v>
      </c>
      <c r="E8" s="148"/>
      <c r="F8" s="148"/>
      <c r="G8" s="149"/>
    </row>
    <row r="9" spans="1:7" ht="15">
      <c r="A9" s="151" t="s">
        <v>2494</v>
      </c>
      <c r="B9" s="152"/>
      <c r="C9" s="152"/>
      <c r="D9" s="152"/>
      <c r="E9" s="152"/>
      <c r="F9" s="152"/>
      <c r="G9" s="152"/>
    </row>
    <row r="10" spans="1:11" s="25" customFormat="1" ht="12.75" customHeight="1">
      <c r="A10" s="153" t="s">
        <v>17</v>
      </c>
      <c r="B10" s="154" t="s">
        <v>25</v>
      </c>
      <c r="C10" s="154" t="s">
        <v>18</v>
      </c>
      <c r="D10" s="153" t="s">
        <v>10</v>
      </c>
      <c r="E10" s="150" t="s">
        <v>19</v>
      </c>
      <c r="F10" s="155" t="s">
        <v>20</v>
      </c>
      <c r="G10" s="155"/>
      <c r="H10" s="155"/>
      <c r="I10" s="155"/>
      <c r="J10" s="150" t="s">
        <v>19</v>
      </c>
      <c r="K10" s="150" t="s">
        <v>19</v>
      </c>
    </row>
    <row r="11" spans="1:11" s="25" customFormat="1" ht="12.75" customHeight="1">
      <c r="A11" s="153"/>
      <c r="B11" s="154"/>
      <c r="C11" s="154"/>
      <c r="D11" s="153"/>
      <c r="E11" s="150"/>
      <c r="F11" s="26" t="s">
        <v>28</v>
      </c>
      <c r="G11" s="26" t="s">
        <v>29</v>
      </c>
      <c r="H11" s="26" t="s">
        <v>30</v>
      </c>
      <c r="I11" s="24" t="s">
        <v>31</v>
      </c>
      <c r="J11" s="150"/>
      <c r="K11" s="150"/>
    </row>
    <row r="12" spans="1:11" s="21" customFormat="1" ht="15.75">
      <c r="A12" s="21" t="s">
        <v>11</v>
      </c>
      <c r="B12" s="28"/>
      <c r="C12" s="29" t="s">
        <v>12</v>
      </c>
      <c r="D12" s="29"/>
      <c r="E12" s="29"/>
      <c r="F12" s="29"/>
      <c r="G12" s="29"/>
      <c r="H12" s="29"/>
      <c r="I12" s="27"/>
      <c r="J12" s="29"/>
      <c r="K12" s="29"/>
    </row>
    <row r="13" spans="1:11" s="34" customFormat="1" ht="60">
      <c r="A13" s="118" t="s">
        <v>6</v>
      </c>
      <c r="B13" s="119" t="s">
        <v>59</v>
      </c>
      <c r="C13" s="120" t="s">
        <v>60</v>
      </c>
      <c r="D13" s="121" t="s">
        <v>0</v>
      </c>
      <c r="E13" s="122">
        <v>10</v>
      </c>
      <c r="F13" s="123">
        <f>TRUNC(DESONERADA!F13,2)</f>
        <v>199.97</v>
      </c>
      <c r="G13" s="124">
        <f>TRUNC(F13*1.2882,2)</f>
        <v>257.6</v>
      </c>
      <c r="H13" s="124">
        <f>TRUNC(F13*E13,2)</f>
        <v>1999.7</v>
      </c>
      <c r="I13" s="125">
        <f>TRUNC(E13*G13,2)</f>
        <v>2576</v>
      </c>
      <c r="J13" s="125">
        <f>TRUNC(F13*H13,2)</f>
        <v>399880</v>
      </c>
      <c r="K13" s="122">
        <v>80</v>
      </c>
    </row>
    <row r="14" spans="1:11" s="34" customFormat="1" ht="120">
      <c r="A14" s="118" t="s">
        <v>7</v>
      </c>
      <c r="B14" s="119" t="s">
        <v>95</v>
      </c>
      <c r="C14" s="120" t="s">
        <v>96</v>
      </c>
      <c r="D14" s="121" t="s">
        <v>0</v>
      </c>
      <c r="E14" s="122">
        <v>40</v>
      </c>
      <c r="F14" s="123">
        <f>TRUNC(DESONERADA!F20,2)</f>
        <v>411.82</v>
      </c>
      <c r="G14" s="124">
        <f>TRUNC(F14*1.2882,2)</f>
        <v>530.5</v>
      </c>
      <c r="H14" s="124">
        <f>TRUNC(F14*E14,2)</f>
        <v>16472.8</v>
      </c>
      <c r="I14" s="125">
        <f>TRUNC(E14*G14,2)</f>
        <v>21220</v>
      </c>
      <c r="J14" s="125"/>
      <c r="K14" s="122"/>
    </row>
    <row r="15" spans="1:11" s="34" customFormat="1" ht="60">
      <c r="A15" s="118" t="s">
        <v>8</v>
      </c>
      <c r="B15" s="119" t="s">
        <v>227</v>
      </c>
      <c r="C15" s="120" t="s">
        <v>228</v>
      </c>
      <c r="D15" s="121" t="s">
        <v>10</v>
      </c>
      <c r="E15" s="122">
        <v>1</v>
      </c>
      <c r="F15" s="123">
        <f>TRUNC(DESONERADA!F93,2)</f>
        <v>3622.88</v>
      </c>
      <c r="G15" s="124">
        <f>TRUNC(F15*1.2882,2)</f>
        <v>4666.99</v>
      </c>
      <c r="H15" s="124">
        <f>TRUNC(F15*E15,2)</f>
        <v>3622.88</v>
      </c>
      <c r="I15" s="125">
        <f>TRUNC(E15*G15,2)</f>
        <v>4666.99</v>
      </c>
      <c r="J15" s="125"/>
      <c r="K15" s="122"/>
    </row>
    <row r="16" spans="1:11" s="34" customFormat="1" ht="60">
      <c r="A16" s="118" t="s">
        <v>9</v>
      </c>
      <c r="B16" s="119" t="s">
        <v>69</v>
      </c>
      <c r="C16" s="120" t="s">
        <v>70</v>
      </c>
      <c r="D16" s="121" t="s">
        <v>10</v>
      </c>
      <c r="E16" s="122">
        <v>1</v>
      </c>
      <c r="F16" s="123">
        <f>TRUNC(DESONERADA!F111,2)</f>
        <v>1942.86</v>
      </c>
      <c r="G16" s="124">
        <f>TRUNC(F16*1.2882,2)</f>
        <v>2502.79</v>
      </c>
      <c r="H16" s="124">
        <f>TRUNC(F16*E16,2)</f>
        <v>1942.86</v>
      </c>
      <c r="I16" s="125">
        <f>TRUNC(E16*G16,2)</f>
        <v>2502.79</v>
      </c>
      <c r="J16" s="125"/>
      <c r="K16" s="122">
        <v>2000</v>
      </c>
    </row>
    <row r="17" spans="1:11" s="34" customFormat="1" ht="30">
      <c r="A17" s="118" t="s">
        <v>37</v>
      </c>
      <c r="B17" s="119" t="s">
        <v>247</v>
      </c>
      <c r="C17" s="120" t="s">
        <v>248</v>
      </c>
      <c r="D17" s="121" t="s">
        <v>2</v>
      </c>
      <c r="E17" s="122">
        <v>123</v>
      </c>
      <c r="F17" s="123">
        <f>TRUNC(DESONERADA!F126,2)</f>
        <v>54.55</v>
      </c>
      <c r="G17" s="124">
        <f>TRUNC(F17*1.2882,2)</f>
        <v>70.27</v>
      </c>
      <c r="H17" s="124">
        <f>TRUNC(F17*E17,2)</f>
        <v>6709.65</v>
      </c>
      <c r="I17" s="125">
        <f>TRUNC(E17*G17,2)</f>
        <v>8643.21</v>
      </c>
      <c r="J17" s="125"/>
      <c r="K17" s="122"/>
    </row>
    <row r="18" spans="1:11" s="72" customFormat="1" ht="15">
      <c r="A18" s="65" t="s">
        <v>1363</v>
      </c>
      <c r="B18" s="66"/>
      <c r="C18" s="67"/>
      <c r="D18" s="68"/>
      <c r="E18" s="69"/>
      <c r="F18" s="70"/>
      <c r="G18" s="73" t="s">
        <v>23</v>
      </c>
      <c r="H18" s="74">
        <f>H17+H16+H15+H14+H13</f>
        <v>30747.89</v>
      </c>
      <c r="I18" s="75">
        <f>I17+I16+I15+I14+I13</f>
        <v>39608.99</v>
      </c>
      <c r="J18" s="71"/>
      <c r="K18" s="69"/>
    </row>
    <row r="19" spans="1:11" s="21" customFormat="1" ht="15.75">
      <c r="A19" s="21" t="s">
        <v>888</v>
      </c>
      <c r="B19" s="28"/>
      <c r="C19" s="29" t="s">
        <v>272</v>
      </c>
      <c r="D19" s="29"/>
      <c r="E19" s="29"/>
      <c r="F19" s="29"/>
      <c r="G19" s="29"/>
      <c r="H19" s="29"/>
      <c r="I19" s="27"/>
      <c r="J19" s="29"/>
      <c r="K19" s="29"/>
    </row>
    <row r="20" spans="1:11" s="34" customFormat="1" ht="75">
      <c r="A20" s="118" t="s">
        <v>1358</v>
      </c>
      <c r="B20" s="119" t="s">
        <v>273</v>
      </c>
      <c r="C20" s="120" t="s">
        <v>274</v>
      </c>
      <c r="D20" s="121" t="s">
        <v>1</v>
      </c>
      <c r="E20" s="122">
        <v>225.6</v>
      </c>
      <c r="F20" s="123">
        <f>TRUNC(DESONERADA!F141,2)</f>
        <v>120.21</v>
      </c>
      <c r="G20" s="124">
        <f>TRUNC(F20*1.2882,2)</f>
        <v>154.85</v>
      </c>
      <c r="H20" s="124">
        <f>TRUNC(F20*E20,2)</f>
        <v>27119.37</v>
      </c>
      <c r="I20" s="125">
        <f>TRUNC(E20*G20,2)</f>
        <v>34934.16</v>
      </c>
      <c r="J20" s="125"/>
      <c r="K20" s="122"/>
    </row>
    <row r="21" spans="1:11" s="34" customFormat="1" ht="45">
      <c r="A21" s="118" t="s">
        <v>1359</v>
      </c>
      <c r="B21" s="119" t="s">
        <v>279</v>
      </c>
      <c r="C21" s="120" t="s">
        <v>280</v>
      </c>
      <c r="D21" s="121" t="s">
        <v>1</v>
      </c>
      <c r="E21" s="122">
        <v>137</v>
      </c>
      <c r="F21" s="123">
        <f>TRUNC(DESONERADA!F146,2)</f>
        <v>50.21</v>
      </c>
      <c r="G21" s="124">
        <f>TRUNC(F21*1.2882,2)</f>
        <v>64.68</v>
      </c>
      <c r="H21" s="124">
        <f>TRUNC(F21*E21,2)</f>
        <v>6878.77</v>
      </c>
      <c r="I21" s="125">
        <f>TRUNC(E21*G21,2)</f>
        <v>8861.16</v>
      </c>
      <c r="J21" s="125"/>
      <c r="K21" s="122"/>
    </row>
    <row r="22" spans="1:11" s="34" customFormat="1" ht="30">
      <c r="A22" s="118" t="s">
        <v>1360</v>
      </c>
      <c r="B22" s="119" t="s">
        <v>281</v>
      </c>
      <c r="C22" s="120" t="s">
        <v>282</v>
      </c>
      <c r="D22" s="121" t="s">
        <v>0</v>
      </c>
      <c r="E22" s="122">
        <v>121.3</v>
      </c>
      <c r="F22" s="123">
        <f>TRUNC(DESONERADA!F149,2)</f>
        <v>1.95</v>
      </c>
      <c r="G22" s="124">
        <f>TRUNC(F22*1.2882,2)</f>
        <v>2.51</v>
      </c>
      <c r="H22" s="124">
        <f>TRUNC(F22*E22,2)</f>
        <v>236.53</v>
      </c>
      <c r="I22" s="125">
        <f>TRUNC(E22*G22,2)</f>
        <v>304.46</v>
      </c>
      <c r="J22" s="125"/>
      <c r="K22" s="122"/>
    </row>
    <row r="23" spans="1:11" s="34" customFormat="1" ht="15">
      <c r="A23" s="118" t="s">
        <v>1361</v>
      </c>
      <c r="B23" s="119" t="s">
        <v>296</v>
      </c>
      <c r="C23" s="120" t="s">
        <v>297</v>
      </c>
      <c r="D23" s="121" t="s">
        <v>1</v>
      </c>
      <c r="E23" s="122">
        <v>74.88</v>
      </c>
      <c r="F23" s="123">
        <f>TRUNC(DESONERADA!F158,2)</f>
        <v>50.68</v>
      </c>
      <c r="G23" s="124">
        <f>TRUNC(F23*1.2882,2)</f>
        <v>65.28</v>
      </c>
      <c r="H23" s="124">
        <f>TRUNC(F23*E23,2)</f>
        <v>3794.91</v>
      </c>
      <c r="I23" s="125">
        <f>TRUNC(E23*G23,2)</f>
        <v>4888.16</v>
      </c>
      <c r="J23" s="125"/>
      <c r="K23" s="122"/>
    </row>
    <row r="24" spans="1:11" s="34" customFormat="1" ht="45">
      <c r="A24" s="118" t="s">
        <v>2445</v>
      </c>
      <c r="B24" s="119" t="s">
        <v>2439</v>
      </c>
      <c r="C24" s="120" t="s">
        <v>2440</v>
      </c>
      <c r="D24" s="121" t="s">
        <v>1</v>
      </c>
      <c r="E24" s="122">
        <v>960.58</v>
      </c>
      <c r="F24" s="123">
        <f>TRUNC(DESONERADA!F161,2)</f>
        <v>7.4</v>
      </c>
      <c r="G24" s="124">
        <f>TRUNC(F24*1.2247,2)</f>
        <v>9.06</v>
      </c>
      <c r="H24" s="124">
        <f>TRUNC(F24*E24,2)</f>
        <v>7108.29</v>
      </c>
      <c r="I24" s="125">
        <f>TRUNC(E24*G24,2)</f>
        <v>8702.85</v>
      </c>
      <c r="J24" s="125"/>
      <c r="K24" s="122"/>
    </row>
    <row r="25" spans="1:11" s="72" customFormat="1" ht="15">
      <c r="A25" s="65" t="s">
        <v>1363</v>
      </c>
      <c r="B25" s="66"/>
      <c r="C25" s="67"/>
      <c r="D25" s="68"/>
      <c r="E25" s="69"/>
      <c r="F25" s="70"/>
      <c r="G25" s="73" t="s">
        <v>1362</v>
      </c>
      <c r="H25" s="75">
        <f>H23+H22+H21+H20+H24</f>
        <v>45137.87</v>
      </c>
      <c r="I25" s="75">
        <f>I23+I22+I21+I20+I24</f>
        <v>57690.79</v>
      </c>
      <c r="J25" s="71"/>
      <c r="K25" s="69"/>
    </row>
    <row r="26" spans="1:11" s="21" customFormat="1" ht="15.75">
      <c r="A26" s="21" t="s">
        <v>889</v>
      </c>
      <c r="B26" s="28"/>
      <c r="C26" s="29" t="s">
        <v>298</v>
      </c>
      <c r="D26" s="29"/>
      <c r="E26" s="29"/>
      <c r="F26" s="29"/>
      <c r="G26" s="29"/>
      <c r="H26" s="29"/>
      <c r="I26" s="27"/>
      <c r="J26" s="29"/>
      <c r="K26" s="29"/>
    </row>
    <row r="27" spans="1:11" s="34" customFormat="1" ht="30">
      <c r="A27" s="118" t="s">
        <v>1397</v>
      </c>
      <c r="B27" s="119" t="s">
        <v>1385</v>
      </c>
      <c r="C27" s="120" t="s">
        <v>1382</v>
      </c>
      <c r="D27" s="121" t="s">
        <v>3</v>
      </c>
      <c r="E27" s="122">
        <v>31</v>
      </c>
      <c r="F27" s="123">
        <f>TRUNC(DESONERADA!F168,2)</f>
        <v>32.38</v>
      </c>
      <c r="G27" s="124">
        <f aca="true" t="shared" si="0" ref="G27:G42">TRUNC(F27*1.2882,2)</f>
        <v>41.71</v>
      </c>
      <c r="H27" s="124">
        <f aca="true" t="shared" si="1" ref="H27:H42">TRUNC(F27*E27,2)</f>
        <v>1003.78</v>
      </c>
      <c r="I27" s="125">
        <f aca="true" t="shared" si="2" ref="I27:I42">TRUNC(E27*G27,2)</f>
        <v>1293.01</v>
      </c>
      <c r="J27" s="125"/>
      <c r="K27" s="122"/>
    </row>
    <row r="28" spans="1:11" s="34" customFormat="1" ht="30">
      <c r="A28" s="118" t="s">
        <v>1398</v>
      </c>
      <c r="B28" s="119" t="s">
        <v>1386</v>
      </c>
      <c r="C28" s="120" t="s">
        <v>1384</v>
      </c>
      <c r="D28" s="121" t="s">
        <v>3</v>
      </c>
      <c r="E28" s="122">
        <v>369</v>
      </c>
      <c r="F28" s="123">
        <f>TRUNC(DESONERADA!F176,2)</f>
        <v>27.38</v>
      </c>
      <c r="G28" s="124">
        <f t="shared" si="0"/>
        <v>35.27</v>
      </c>
      <c r="H28" s="124">
        <f t="shared" si="1"/>
        <v>10103.22</v>
      </c>
      <c r="I28" s="125">
        <f t="shared" si="2"/>
        <v>13014.63</v>
      </c>
      <c r="J28" s="125"/>
      <c r="K28" s="122"/>
    </row>
    <row r="29" spans="1:11" s="34" customFormat="1" ht="30">
      <c r="A29" s="118" t="s">
        <v>1399</v>
      </c>
      <c r="B29" s="119" t="s">
        <v>1387</v>
      </c>
      <c r="C29" s="120" t="s">
        <v>1383</v>
      </c>
      <c r="D29" s="121" t="s">
        <v>3</v>
      </c>
      <c r="E29" s="122">
        <v>326</v>
      </c>
      <c r="F29" s="123">
        <f>TRUNC(DESONERADA!F184,2)</f>
        <v>23.44</v>
      </c>
      <c r="G29" s="124">
        <f t="shared" si="0"/>
        <v>30.19</v>
      </c>
      <c r="H29" s="124">
        <f t="shared" si="1"/>
        <v>7641.44</v>
      </c>
      <c r="I29" s="125">
        <f t="shared" si="2"/>
        <v>9841.94</v>
      </c>
      <c r="J29" s="125"/>
      <c r="K29" s="122"/>
    </row>
    <row r="30" spans="1:11" s="34" customFormat="1" ht="45">
      <c r="A30" s="118" t="s">
        <v>1400</v>
      </c>
      <c r="B30" s="119" t="s">
        <v>1395</v>
      </c>
      <c r="C30" s="120" t="s">
        <v>1396</v>
      </c>
      <c r="D30" s="121" t="s">
        <v>3</v>
      </c>
      <c r="E30" s="122">
        <f>475+150.4+193.9+117.5+312.6</f>
        <v>1249.4</v>
      </c>
      <c r="F30" s="123">
        <f>TRUNC(DESONERADA!F192,2)</f>
        <v>32.39</v>
      </c>
      <c r="G30" s="124">
        <f t="shared" si="0"/>
        <v>41.72</v>
      </c>
      <c r="H30" s="124">
        <f t="shared" si="1"/>
        <v>40468.06</v>
      </c>
      <c r="I30" s="125">
        <f t="shared" si="2"/>
        <v>52124.96</v>
      </c>
      <c r="J30" s="125"/>
      <c r="K30" s="122"/>
    </row>
    <row r="31" spans="1:11" s="34" customFormat="1" ht="45">
      <c r="A31" s="118" t="s">
        <v>1401</v>
      </c>
      <c r="B31" s="119" t="s">
        <v>1820</v>
      </c>
      <c r="C31" s="120" t="s">
        <v>1444</v>
      </c>
      <c r="D31" s="121" t="s">
        <v>3</v>
      </c>
      <c r="E31" s="122">
        <f>7.1+6.9+17</f>
        <v>31</v>
      </c>
      <c r="F31" s="123">
        <f>TRUNC(DESONERADA!F200,2)</f>
        <v>28.85</v>
      </c>
      <c r="G31" s="124">
        <f t="shared" si="0"/>
        <v>37.16</v>
      </c>
      <c r="H31" s="124">
        <f t="shared" si="1"/>
        <v>894.35</v>
      </c>
      <c r="I31" s="125">
        <f t="shared" si="2"/>
        <v>1151.96</v>
      </c>
      <c r="J31" s="125"/>
      <c r="K31" s="122"/>
    </row>
    <row r="32" spans="1:11" s="34" customFormat="1" ht="45">
      <c r="A32" s="118" t="s">
        <v>1402</v>
      </c>
      <c r="B32" s="119" t="s">
        <v>1827</v>
      </c>
      <c r="C32" s="120" t="s">
        <v>1394</v>
      </c>
      <c r="D32" s="121" t="s">
        <v>3</v>
      </c>
      <c r="E32" s="122">
        <f>706+269.3+306.4+248.6</f>
        <v>1530.2999999999997</v>
      </c>
      <c r="F32" s="123">
        <f>TRUNC(DESONERADA!F208,2)</f>
        <v>30.06</v>
      </c>
      <c r="G32" s="124">
        <f t="shared" si="0"/>
        <v>38.72</v>
      </c>
      <c r="H32" s="124">
        <f t="shared" si="1"/>
        <v>46000.81</v>
      </c>
      <c r="I32" s="125">
        <f t="shared" si="2"/>
        <v>59253.21</v>
      </c>
      <c r="J32" s="125"/>
      <c r="K32" s="122"/>
    </row>
    <row r="33" spans="1:11" s="34" customFormat="1" ht="45">
      <c r="A33" s="118" t="s">
        <v>1403</v>
      </c>
      <c r="B33" s="119" t="s">
        <v>1828</v>
      </c>
      <c r="C33" s="120" t="s">
        <v>1393</v>
      </c>
      <c r="D33" s="121" t="s">
        <v>3</v>
      </c>
      <c r="E33" s="122">
        <f>8+55.1+12.3+63.1+665.4</f>
        <v>803.9</v>
      </c>
      <c r="F33" s="123">
        <f>TRUNC(DESONERADA!F216,2)</f>
        <v>27.31</v>
      </c>
      <c r="G33" s="124">
        <f t="shared" si="0"/>
        <v>35.18</v>
      </c>
      <c r="H33" s="124">
        <f t="shared" si="1"/>
        <v>21954.5</v>
      </c>
      <c r="I33" s="125">
        <f t="shared" si="2"/>
        <v>28281.2</v>
      </c>
      <c r="J33" s="125"/>
      <c r="K33" s="122"/>
    </row>
    <row r="34" spans="1:11" s="34" customFormat="1" ht="45">
      <c r="A34" s="118" t="s">
        <v>1416</v>
      </c>
      <c r="B34" s="119" t="s">
        <v>1829</v>
      </c>
      <c r="C34" s="120" t="s">
        <v>1392</v>
      </c>
      <c r="D34" s="121" t="s">
        <v>3</v>
      </c>
      <c r="E34" s="122">
        <v>773</v>
      </c>
      <c r="F34" s="123">
        <f>TRUNC(DESONERADA!F224,2)</f>
        <v>23.28</v>
      </c>
      <c r="G34" s="124">
        <f t="shared" si="0"/>
        <v>29.98</v>
      </c>
      <c r="H34" s="124">
        <f t="shared" si="1"/>
        <v>17995.44</v>
      </c>
      <c r="I34" s="125">
        <f t="shared" si="2"/>
        <v>23174.54</v>
      </c>
      <c r="J34" s="125"/>
      <c r="K34" s="122"/>
    </row>
    <row r="35" spans="1:11" s="34" customFormat="1" ht="30">
      <c r="A35" s="118" t="s">
        <v>1417</v>
      </c>
      <c r="B35" s="119" t="s">
        <v>1426</v>
      </c>
      <c r="C35" s="120" t="s">
        <v>1427</v>
      </c>
      <c r="D35" s="121" t="s">
        <v>3</v>
      </c>
      <c r="E35" s="122">
        <v>902.2</v>
      </c>
      <c r="F35" s="123">
        <f>TRUNC(DESONERADA!F232,2)</f>
        <v>14.8</v>
      </c>
      <c r="G35" s="124">
        <f t="shared" si="0"/>
        <v>19.06</v>
      </c>
      <c r="H35" s="124">
        <f t="shared" si="1"/>
        <v>13352.56</v>
      </c>
      <c r="I35" s="125">
        <f t="shared" si="2"/>
        <v>17195.93</v>
      </c>
      <c r="J35" s="125"/>
      <c r="K35" s="122"/>
    </row>
    <row r="36" spans="1:11" s="34" customFormat="1" ht="30">
      <c r="A36" s="118" t="s">
        <v>1422</v>
      </c>
      <c r="B36" s="119" t="s">
        <v>1430</v>
      </c>
      <c r="C36" s="120" t="s">
        <v>1431</v>
      </c>
      <c r="D36" s="121" t="s">
        <v>3</v>
      </c>
      <c r="E36" s="122">
        <v>472.5</v>
      </c>
      <c r="F36" s="123">
        <f>TRUNC(DESONERADA!F237,2)</f>
        <v>14.97</v>
      </c>
      <c r="G36" s="124">
        <f t="shared" si="0"/>
        <v>19.28</v>
      </c>
      <c r="H36" s="124">
        <f t="shared" si="1"/>
        <v>7073.32</v>
      </c>
      <c r="I36" s="125">
        <f t="shared" si="2"/>
        <v>9109.8</v>
      </c>
      <c r="J36" s="125"/>
      <c r="K36" s="122"/>
    </row>
    <row r="37" spans="1:11" s="34" customFormat="1" ht="30">
      <c r="A37" s="118" t="s">
        <v>1425</v>
      </c>
      <c r="B37" s="119" t="s">
        <v>1434</v>
      </c>
      <c r="C37" s="120" t="s">
        <v>1435</v>
      </c>
      <c r="D37" s="121" t="s">
        <v>3</v>
      </c>
      <c r="E37" s="122">
        <v>9.2</v>
      </c>
      <c r="F37" s="123">
        <f>TRUNC(DESONERADA!F242,2)</f>
        <v>13.92</v>
      </c>
      <c r="G37" s="124">
        <f t="shared" si="0"/>
        <v>17.93</v>
      </c>
      <c r="H37" s="124">
        <f t="shared" si="1"/>
        <v>128.06</v>
      </c>
      <c r="I37" s="125">
        <f t="shared" si="2"/>
        <v>164.95</v>
      </c>
      <c r="J37" s="125"/>
      <c r="K37" s="122"/>
    </row>
    <row r="38" spans="1:11" s="34" customFormat="1" ht="30">
      <c r="A38" s="118" t="s">
        <v>1445</v>
      </c>
      <c r="B38" s="119" t="s">
        <v>1438</v>
      </c>
      <c r="C38" s="120" t="s">
        <v>1439</v>
      </c>
      <c r="D38" s="121" t="s">
        <v>3</v>
      </c>
      <c r="E38" s="122">
        <v>956.3</v>
      </c>
      <c r="F38" s="123">
        <f>TRUNC(DESONERADA!F247,2)</f>
        <v>14.18</v>
      </c>
      <c r="G38" s="124">
        <f t="shared" si="0"/>
        <v>18.26</v>
      </c>
      <c r="H38" s="124">
        <f t="shared" si="1"/>
        <v>13560.33</v>
      </c>
      <c r="I38" s="125">
        <f t="shared" si="2"/>
        <v>17462.03</v>
      </c>
      <c r="J38" s="125"/>
      <c r="K38" s="122"/>
    </row>
    <row r="39" spans="1:11" s="34" customFormat="1" ht="45">
      <c r="A39" s="118" t="s">
        <v>1448</v>
      </c>
      <c r="B39" s="119" t="s">
        <v>1412</v>
      </c>
      <c r="C39" s="120" t="s">
        <v>1413</v>
      </c>
      <c r="D39" s="121" t="s">
        <v>1</v>
      </c>
      <c r="E39" s="122">
        <f>22.39+9.84+10.06+8.37+42.07</f>
        <v>92.73</v>
      </c>
      <c r="F39" s="123">
        <f>TRUNC(DESONERADA!F252,2)</f>
        <v>405.96</v>
      </c>
      <c r="G39" s="124">
        <f t="shared" si="0"/>
        <v>522.95</v>
      </c>
      <c r="H39" s="124">
        <f t="shared" si="1"/>
        <v>37644.67</v>
      </c>
      <c r="I39" s="125">
        <f t="shared" si="2"/>
        <v>48493.15</v>
      </c>
      <c r="J39" s="125"/>
      <c r="K39" s="122"/>
    </row>
    <row r="40" spans="1:11" s="34" customFormat="1" ht="45">
      <c r="A40" s="118" t="s">
        <v>1449</v>
      </c>
      <c r="B40" s="119" t="s">
        <v>1404</v>
      </c>
      <c r="C40" s="120" t="s">
        <v>1405</v>
      </c>
      <c r="D40" s="121" t="s">
        <v>1</v>
      </c>
      <c r="E40" s="122">
        <f>5.52+11.01</f>
        <v>16.53</v>
      </c>
      <c r="F40" s="123">
        <f>TRUNC(DESONERADA!F260,2)</f>
        <v>416.83</v>
      </c>
      <c r="G40" s="124">
        <f t="shared" si="0"/>
        <v>536.96</v>
      </c>
      <c r="H40" s="124">
        <f t="shared" si="1"/>
        <v>6890.19</v>
      </c>
      <c r="I40" s="125">
        <f t="shared" si="2"/>
        <v>8875.94</v>
      </c>
      <c r="J40" s="125"/>
      <c r="K40" s="122"/>
    </row>
    <row r="41" spans="1:11" s="34" customFormat="1" ht="30">
      <c r="A41" s="118" t="s">
        <v>1450</v>
      </c>
      <c r="B41" s="119" t="s">
        <v>1418</v>
      </c>
      <c r="C41" s="120" t="s">
        <v>1419</v>
      </c>
      <c r="D41" s="121" t="s">
        <v>1</v>
      </c>
      <c r="E41" s="122">
        <v>17.03</v>
      </c>
      <c r="F41" s="123">
        <f>TRUNC(DESONERADA!F268,2)</f>
        <v>438.41</v>
      </c>
      <c r="G41" s="124">
        <f t="shared" si="0"/>
        <v>564.75</v>
      </c>
      <c r="H41" s="124">
        <f t="shared" si="1"/>
        <v>7466.12</v>
      </c>
      <c r="I41" s="125">
        <f t="shared" si="2"/>
        <v>9617.69</v>
      </c>
      <c r="J41" s="125"/>
      <c r="K41" s="122"/>
    </row>
    <row r="42" spans="1:11" s="34" customFormat="1" ht="60">
      <c r="A42" s="118" t="s">
        <v>1451</v>
      </c>
      <c r="B42" s="119" t="s">
        <v>1452</v>
      </c>
      <c r="C42" s="120" t="s">
        <v>1453</v>
      </c>
      <c r="D42" s="121" t="s">
        <v>0</v>
      </c>
      <c r="E42" s="122">
        <f>(403.32+163.37+158.21+138.86+219.91+536.16)/2</f>
        <v>809.915</v>
      </c>
      <c r="F42" s="123">
        <f>TRUNC(DESONERADA!F275,2)</f>
        <v>63.15</v>
      </c>
      <c r="G42" s="124">
        <f t="shared" si="0"/>
        <v>81.34</v>
      </c>
      <c r="H42" s="124">
        <f t="shared" si="1"/>
        <v>51146.13</v>
      </c>
      <c r="I42" s="125">
        <f t="shared" si="2"/>
        <v>65878.48</v>
      </c>
      <c r="J42" s="125"/>
      <c r="K42" s="122"/>
    </row>
    <row r="43" spans="1:11" s="72" customFormat="1" ht="15">
      <c r="A43" s="65" t="s">
        <v>1363</v>
      </c>
      <c r="B43" s="66"/>
      <c r="C43" s="67"/>
      <c r="D43" s="68"/>
      <c r="E43" s="69"/>
      <c r="F43" s="70"/>
      <c r="G43" s="73" t="s">
        <v>1454</v>
      </c>
      <c r="H43" s="75">
        <f>H42+H41+H40+H39+H34+H33+H32+H30+H29+H28+H27+H38+H37+H36+H35</f>
        <v>282428.62999999995</v>
      </c>
      <c r="I43" s="75">
        <f>I42+I41+I40+I39+I34+I33+I32+I30+I29+I28+I27+I38+I37+I36+I35</f>
        <v>363781.46</v>
      </c>
      <c r="J43" s="71"/>
      <c r="K43" s="69"/>
    </row>
    <row r="44" spans="1:11" s="21" customFormat="1" ht="15.75">
      <c r="A44" s="21" t="s">
        <v>890</v>
      </c>
      <c r="B44" s="28"/>
      <c r="C44" s="29" t="s">
        <v>310</v>
      </c>
      <c r="D44" s="29"/>
      <c r="E44" s="29"/>
      <c r="F44" s="29"/>
      <c r="G44" s="29"/>
      <c r="H44" s="29"/>
      <c r="I44" s="27"/>
      <c r="J44" s="29"/>
      <c r="K44" s="29"/>
    </row>
    <row r="45" spans="1:11" s="34" customFormat="1" ht="60">
      <c r="A45" s="118" t="s">
        <v>891</v>
      </c>
      <c r="B45" s="119" t="s">
        <v>315</v>
      </c>
      <c r="C45" s="120" t="s">
        <v>303</v>
      </c>
      <c r="D45" s="121" t="s">
        <v>0</v>
      </c>
      <c r="E45" s="122">
        <f>860.64+253</f>
        <v>1113.6399999999999</v>
      </c>
      <c r="F45" s="123">
        <f>TRUNC(DESONERADA!F286,2)</f>
        <v>53.96</v>
      </c>
      <c r="G45" s="124">
        <f aca="true" t="shared" si="3" ref="G45:G66">TRUNC(F45*1.2882,2)</f>
        <v>69.51</v>
      </c>
      <c r="H45" s="124">
        <f aca="true" t="shared" si="4" ref="H45:H66">TRUNC(F45*E45,2)</f>
        <v>60092.01</v>
      </c>
      <c r="I45" s="125">
        <f aca="true" t="shared" si="5" ref="I45:I66">TRUNC(E45*G45,2)</f>
        <v>77409.11</v>
      </c>
      <c r="J45" s="125"/>
      <c r="K45" s="122"/>
    </row>
    <row r="46" spans="1:11" s="34" customFormat="1" ht="60">
      <c r="A46" s="118" t="s">
        <v>892</v>
      </c>
      <c r="B46" s="119" t="s">
        <v>301</v>
      </c>
      <c r="C46" s="120" t="s">
        <v>302</v>
      </c>
      <c r="D46" s="121" t="s">
        <v>0</v>
      </c>
      <c r="E46" s="122">
        <v>72.18</v>
      </c>
      <c r="F46" s="123">
        <f>TRUNC(DESONERADA!F292,2)</f>
        <v>105.76</v>
      </c>
      <c r="G46" s="124">
        <f t="shared" si="3"/>
        <v>136.24</v>
      </c>
      <c r="H46" s="124">
        <f t="shared" si="4"/>
        <v>7633.75</v>
      </c>
      <c r="I46" s="125">
        <f t="shared" si="5"/>
        <v>9833.8</v>
      </c>
      <c r="J46" s="125"/>
      <c r="K46" s="122"/>
    </row>
    <row r="47" spans="1:11" s="34" customFormat="1" ht="30">
      <c r="A47" s="118" t="s">
        <v>893</v>
      </c>
      <c r="B47" s="119" t="s">
        <v>304</v>
      </c>
      <c r="C47" s="120" t="s">
        <v>305</v>
      </c>
      <c r="D47" s="121" t="s">
        <v>2</v>
      </c>
      <c r="E47" s="122">
        <v>277.12</v>
      </c>
      <c r="F47" s="123">
        <f>TRUNC(DESONERADA!F298,2)</f>
        <v>6.09</v>
      </c>
      <c r="G47" s="124">
        <f t="shared" si="3"/>
        <v>7.84</v>
      </c>
      <c r="H47" s="124">
        <f t="shared" si="4"/>
        <v>1687.66</v>
      </c>
      <c r="I47" s="125">
        <f t="shared" si="5"/>
        <v>2172.62</v>
      </c>
      <c r="J47" s="125"/>
      <c r="K47" s="122"/>
    </row>
    <row r="48" spans="1:11" s="34" customFormat="1" ht="60">
      <c r="A48" s="118" t="s">
        <v>894</v>
      </c>
      <c r="B48" s="119" t="s">
        <v>311</v>
      </c>
      <c r="C48" s="120" t="s">
        <v>312</v>
      </c>
      <c r="D48" s="121" t="s">
        <v>0</v>
      </c>
      <c r="E48" s="122">
        <v>34.15</v>
      </c>
      <c r="F48" s="123">
        <f>TRUNC(DESONERADA!F303,2)</f>
        <v>398.58</v>
      </c>
      <c r="G48" s="124">
        <f t="shared" si="3"/>
        <v>513.45</v>
      </c>
      <c r="H48" s="124">
        <f t="shared" si="4"/>
        <v>13611.5</v>
      </c>
      <c r="I48" s="125">
        <f t="shared" si="5"/>
        <v>17534.31</v>
      </c>
      <c r="J48" s="125"/>
      <c r="K48" s="122"/>
    </row>
    <row r="49" spans="1:11" s="34" customFormat="1" ht="45">
      <c r="A49" s="118" t="s">
        <v>895</v>
      </c>
      <c r="B49" s="119" t="s">
        <v>798</v>
      </c>
      <c r="C49" s="120" t="s">
        <v>799</v>
      </c>
      <c r="D49" s="121" t="s">
        <v>0</v>
      </c>
      <c r="E49" s="122">
        <f>921.96+956.4+810.87+506</f>
        <v>3195.23</v>
      </c>
      <c r="F49" s="123">
        <f>TRUNC(DESONERADA!F308,2)</f>
        <v>28</v>
      </c>
      <c r="G49" s="124">
        <f t="shared" si="3"/>
        <v>36.06</v>
      </c>
      <c r="H49" s="124">
        <f t="shared" si="4"/>
        <v>89466.44</v>
      </c>
      <c r="I49" s="125">
        <f t="shared" si="5"/>
        <v>115219.99</v>
      </c>
      <c r="J49" s="125"/>
      <c r="K49" s="122"/>
    </row>
    <row r="50" spans="1:11" s="34" customFormat="1" ht="45">
      <c r="A50" s="118" t="s">
        <v>896</v>
      </c>
      <c r="B50" s="119" t="s">
        <v>606</v>
      </c>
      <c r="C50" s="120" t="s">
        <v>607</v>
      </c>
      <c r="D50" s="121" t="s">
        <v>0</v>
      </c>
      <c r="E50" s="122">
        <f>46.15+38.21</f>
        <v>84.36</v>
      </c>
      <c r="F50" s="123">
        <f>TRUNC(DESONERADA!F314,2)</f>
        <v>261.74</v>
      </c>
      <c r="G50" s="124">
        <f t="shared" si="3"/>
        <v>337.17</v>
      </c>
      <c r="H50" s="124">
        <f t="shared" si="4"/>
        <v>22080.38</v>
      </c>
      <c r="I50" s="125">
        <f t="shared" si="5"/>
        <v>28443.66</v>
      </c>
      <c r="J50" s="125"/>
      <c r="K50" s="122"/>
    </row>
    <row r="51" spans="1:11" s="34" customFormat="1" ht="45">
      <c r="A51" s="118" t="s">
        <v>897</v>
      </c>
      <c r="B51" s="119" t="s">
        <v>324</v>
      </c>
      <c r="C51" s="120" t="s">
        <v>325</v>
      </c>
      <c r="D51" s="121" t="s">
        <v>0</v>
      </c>
      <c r="E51" s="122">
        <v>410</v>
      </c>
      <c r="F51" s="123">
        <f>TRUNC(DESONERADA!F324,2)</f>
        <v>32.96</v>
      </c>
      <c r="G51" s="124">
        <f t="shared" si="3"/>
        <v>42.45</v>
      </c>
      <c r="H51" s="124">
        <f t="shared" si="4"/>
        <v>13513.6</v>
      </c>
      <c r="I51" s="125">
        <f t="shared" si="5"/>
        <v>17404.5</v>
      </c>
      <c r="J51" s="125"/>
      <c r="K51" s="122"/>
    </row>
    <row r="52" spans="1:11" s="34" customFormat="1" ht="45">
      <c r="A52" s="118" t="s">
        <v>898</v>
      </c>
      <c r="B52" s="126" t="s">
        <v>808</v>
      </c>
      <c r="C52" s="120" t="s">
        <v>612</v>
      </c>
      <c r="D52" s="121" t="s">
        <v>0</v>
      </c>
      <c r="E52" s="122">
        <v>701.95</v>
      </c>
      <c r="F52" s="123">
        <f>TRUNC(DESONERADA!F331,2)</f>
        <v>78.71</v>
      </c>
      <c r="G52" s="124">
        <f t="shared" si="3"/>
        <v>101.39</v>
      </c>
      <c r="H52" s="124">
        <f t="shared" si="4"/>
        <v>55250.48</v>
      </c>
      <c r="I52" s="125">
        <f t="shared" si="5"/>
        <v>71170.71</v>
      </c>
      <c r="J52" s="125"/>
      <c r="K52" s="122"/>
    </row>
    <row r="53" spans="1:11" s="34" customFormat="1" ht="65.25" customHeight="1">
      <c r="A53" s="118" t="s">
        <v>899</v>
      </c>
      <c r="B53" s="119" t="s">
        <v>809</v>
      </c>
      <c r="C53" s="120" t="s">
        <v>810</v>
      </c>
      <c r="D53" s="121" t="s">
        <v>0</v>
      </c>
      <c r="E53" s="122">
        <v>220.01</v>
      </c>
      <c r="F53" s="123">
        <f>TRUNC(DESONERADA!F342,2)</f>
        <v>94.8</v>
      </c>
      <c r="G53" s="124">
        <f t="shared" si="3"/>
        <v>122.12</v>
      </c>
      <c r="H53" s="124">
        <f t="shared" si="4"/>
        <v>20856.94</v>
      </c>
      <c r="I53" s="125">
        <f t="shared" si="5"/>
        <v>26867.62</v>
      </c>
      <c r="J53" s="125"/>
      <c r="K53" s="122"/>
    </row>
    <row r="54" spans="1:11" s="34" customFormat="1" ht="65.25" customHeight="1">
      <c r="A54" s="118" t="s">
        <v>900</v>
      </c>
      <c r="B54" s="119" t="s">
        <v>820</v>
      </c>
      <c r="C54" s="120" t="s">
        <v>819</v>
      </c>
      <c r="D54" s="121" t="s">
        <v>0</v>
      </c>
      <c r="E54" s="122">
        <v>148.89</v>
      </c>
      <c r="F54" s="123">
        <f>TRUNC(DESONERADA!F351,2)</f>
        <v>59.58</v>
      </c>
      <c r="G54" s="124">
        <f t="shared" si="3"/>
        <v>76.75</v>
      </c>
      <c r="H54" s="124">
        <f t="shared" si="4"/>
        <v>8870.86</v>
      </c>
      <c r="I54" s="125">
        <f t="shared" si="5"/>
        <v>11427.3</v>
      </c>
      <c r="J54" s="125"/>
      <c r="K54" s="122"/>
    </row>
    <row r="55" spans="1:11" s="34" customFormat="1" ht="75">
      <c r="A55" s="118" t="s">
        <v>901</v>
      </c>
      <c r="B55" s="119" t="s">
        <v>332</v>
      </c>
      <c r="C55" s="120" t="s">
        <v>333</v>
      </c>
      <c r="D55" s="121" t="s">
        <v>0</v>
      </c>
      <c r="E55" s="122">
        <v>410.81</v>
      </c>
      <c r="F55" s="123">
        <f>TRUNC(DESONERADA!F358,2)</f>
        <v>39.68</v>
      </c>
      <c r="G55" s="124">
        <f t="shared" si="3"/>
        <v>51.11</v>
      </c>
      <c r="H55" s="124">
        <f t="shared" si="4"/>
        <v>16300.94</v>
      </c>
      <c r="I55" s="125">
        <f t="shared" si="5"/>
        <v>20996.49</v>
      </c>
      <c r="J55" s="125"/>
      <c r="K55" s="122"/>
    </row>
    <row r="56" spans="1:11" s="34" customFormat="1" ht="75">
      <c r="A56" s="118" t="s">
        <v>902</v>
      </c>
      <c r="B56" s="119" t="s">
        <v>344</v>
      </c>
      <c r="C56" s="120" t="s">
        <v>345</v>
      </c>
      <c r="D56" s="121" t="s">
        <v>0</v>
      </c>
      <c r="E56" s="122">
        <v>406.17</v>
      </c>
      <c r="F56" s="123">
        <f>TRUNC(DESONERADA!F368,2)</f>
        <v>67.12</v>
      </c>
      <c r="G56" s="124">
        <f t="shared" si="3"/>
        <v>86.46</v>
      </c>
      <c r="H56" s="124">
        <f t="shared" si="4"/>
        <v>27262.13</v>
      </c>
      <c r="I56" s="125">
        <f t="shared" si="5"/>
        <v>35117.45</v>
      </c>
      <c r="J56" s="125"/>
      <c r="K56" s="122"/>
    </row>
    <row r="57" spans="1:11" s="34" customFormat="1" ht="45">
      <c r="A57" s="118" t="s">
        <v>903</v>
      </c>
      <c r="B57" s="119" t="s">
        <v>354</v>
      </c>
      <c r="C57" s="120" t="s">
        <v>355</v>
      </c>
      <c r="D57" s="121" t="s">
        <v>0</v>
      </c>
      <c r="E57" s="122">
        <v>406.17</v>
      </c>
      <c r="F57" s="123">
        <f>TRUNC(DESONERADA!F375,2)</f>
        <v>10.57</v>
      </c>
      <c r="G57" s="124">
        <f t="shared" si="3"/>
        <v>13.61</v>
      </c>
      <c r="H57" s="124">
        <f t="shared" si="4"/>
        <v>4293.21</v>
      </c>
      <c r="I57" s="125">
        <f t="shared" si="5"/>
        <v>5527.97</v>
      </c>
      <c r="J57" s="125"/>
      <c r="K57" s="122"/>
    </row>
    <row r="58" spans="1:11" s="34" customFormat="1" ht="45">
      <c r="A58" s="118" t="s">
        <v>904</v>
      </c>
      <c r="B58" s="119" t="s">
        <v>366</v>
      </c>
      <c r="C58" s="120" t="s">
        <v>367</v>
      </c>
      <c r="D58" s="121" t="s">
        <v>0</v>
      </c>
      <c r="E58" s="122">
        <v>189.45</v>
      </c>
      <c r="F58" s="123">
        <f>TRUNC(DESONERADA!F385,2)</f>
        <v>30.27</v>
      </c>
      <c r="G58" s="124">
        <f t="shared" si="3"/>
        <v>38.99</v>
      </c>
      <c r="H58" s="124">
        <f t="shared" si="4"/>
        <v>5734.65</v>
      </c>
      <c r="I58" s="125">
        <f t="shared" si="5"/>
        <v>7386.65</v>
      </c>
      <c r="J58" s="125"/>
      <c r="K58" s="122"/>
    </row>
    <row r="59" spans="1:11" s="34" customFormat="1" ht="60">
      <c r="A59" s="118" t="s">
        <v>905</v>
      </c>
      <c r="B59" s="119" t="s">
        <v>368</v>
      </c>
      <c r="C59" s="120" t="s">
        <v>369</v>
      </c>
      <c r="D59" s="121" t="s">
        <v>2</v>
      </c>
      <c r="E59" s="122">
        <v>19.2</v>
      </c>
      <c r="F59" s="123">
        <f>TRUNC(DESONERADA!F390,2)</f>
        <v>59.73</v>
      </c>
      <c r="G59" s="124">
        <f t="shared" si="3"/>
        <v>76.94</v>
      </c>
      <c r="H59" s="124">
        <f t="shared" si="4"/>
        <v>1146.81</v>
      </c>
      <c r="I59" s="125">
        <f t="shared" si="5"/>
        <v>1477.24</v>
      </c>
      <c r="J59" s="125"/>
      <c r="K59" s="122"/>
    </row>
    <row r="60" spans="1:11" s="34" customFormat="1" ht="60">
      <c r="A60" s="118" t="s">
        <v>906</v>
      </c>
      <c r="B60" s="119" t="s">
        <v>821</v>
      </c>
      <c r="C60" s="120" t="s">
        <v>822</v>
      </c>
      <c r="D60" s="121" t="s">
        <v>2</v>
      </c>
      <c r="E60" s="122">
        <v>4.07</v>
      </c>
      <c r="F60" s="123">
        <f>TRUNC(DESONERADA!F398,2)</f>
        <v>59.73</v>
      </c>
      <c r="G60" s="124">
        <f t="shared" si="3"/>
        <v>76.94</v>
      </c>
      <c r="H60" s="124">
        <f t="shared" si="4"/>
        <v>243.1</v>
      </c>
      <c r="I60" s="125">
        <f t="shared" si="5"/>
        <v>313.14</v>
      </c>
      <c r="J60" s="125"/>
      <c r="K60" s="122"/>
    </row>
    <row r="61" spans="1:11" s="34" customFormat="1" ht="60">
      <c r="A61" s="118" t="s">
        <v>908</v>
      </c>
      <c r="B61" s="119" t="s">
        <v>823</v>
      </c>
      <c r="C61" s="120" t="s">
        <v>824</v>
      </c>
      <c r="D61" s="121" t="s">
        <v>2</v>
      </c>
      <c r="E61" s="122">
        <v>61.2</v>
      </c>
      <c r="F61" s="123">
        <f>TRUNC(DESONERADA!F406,2)</f>
        <v>72.05</v>
      </c>
      <c r="G61" s="124">
        <f t="shared" si="3"/>
        <v>92.81</v>
      </c>
      <c r="H61" s="124">
        <f t="shared" si="4"/>
        <v>4409.46</v>
      </c>
      <c r="I61" s="125">
        <f t="shared" si="5"/>
        <v>5679.97</v>
      </c>
      <c r="J61" s="125"/>
      <c r="K61" s="122"/>
    </row>
    <row r="62" spans="1:11" s="34" customFormat="1" ht="60">
      <c r="A62" s="118" t="s">
        <v>909</v>
      </c>
      <c r="B62" s="119" t="s">
        <v>1596</v>
      </c>
      <c r="C62" s="120" t="s">
        <v>1595</v>
      </c>
      <c r="D62" s="121" t="s">
        <v>2</v>
      </c>
      <c r="E62" s="122">
        <v>14.6</v>
      </c>
      <c r="F62" s="123">
        <f>TRUNC(DESONERADA!F414,2)</f>
        <v>99.34</v>
      </c>
      <c r="G62" s="124">
        <f t="shared" si="3"/>
        <v>127.96</v>
      </c>
      <c r="H62" s="124">
        <f t="shared" si="4"/>
        <v>1450.36</v>
      </c>
      <c r="I62" s="125">
        <f t="shared" si="5"/>
        <v>1868.21</v>
      </c>
      <c r="J62" s="125"/>
      <c r="K62" s="122"/>
    </row>
    <row r="63" spans="1:11" s="34" customFormat="1" ht="60">
      <c r="A63" s="118" t="s">
        <v>907</v>
      </c>
      <c r="B63" s="119" t="s">
        <v>592</v>
      </c>
      <c r="C63" s="120" t="s">
        <v>593</v>
      </c>
      <c r="D63" s="121" t="s">
        <v>0</v>
      </c>
      <c r="E63" s="122">
        <v>3.87</v>
      </c>
      <c r="F63" s="123">
        <f>TRUNC(DESONERADA!F422,2)</f>
        <v>126.57</v>
      </c>
      <c r="G63" s="124">
        <f t="shared" si="3"/>
        <v>163.04</v>
      </c>
      <c r="H63" s="124">
        <f t="shared" si="4"/>
        <v>489.82</v>
      </c>
      <c r="I63" s="125">
        <f t="shared" si="5"/>
        <v>630.96</v>
      </c>
      <c r="J63" s="125"/>
      <c r="K63" s="122"/>
    </row>
    <row r="64" spans="1:11" s="34" customFormat="1" ht="45">
      <c r="A64" s="118" t="s">
        <v>910</v>
      </c>
      <c r="B64" s="119" t="s">
        <v>911</v>
      </c>
      <c r="C64" s="120" t="s">
        <v>912</v>
      </c>
      <c r="D64" s="121" t="s">
        <v>0</v>
      </c>
      <c r="E64" s="122">
        <v>14.31</v>
      </c>
      <c r="F64" s="123">
        <f>TRUNC(DESONERADA!F431,2)</f>
        <v>95.18</v>
      </c>
      <c r="G64" s="124">
        <f t="shared" si="3"/>
        <v>122.61</v>
      </c>
      <c r="H64" s="124">
        <f t="shared" si="4"/>
        <v>1362.02</v>
      </c>
      <c r="I64" s="125">
        <f t="shared" si="5"/>
        <v>1754.54</v>
      </c>
      <c r="J64" s="125"/>
      <c r="K64" s="122"/>
    </row>
    <row r="65" spans="1:11" s="34" customFormat="1" ht="45">
      <c r="A65" s="118" t="s">
        <v>921</v>
      </c>
      <c r="B65" s="119" t="s">
        <v>917</v>
      </c>
      <c r="C65" s="120" t="s">
        <v>918</v>
      </c>
      <c r="D65" s="121" t="s">
        <v>0</v>
      </c>
      <c r="E65" s="122">
        <v>8.87</v>
      </c>
      <c r="F65" s="123">
        <f>TRUNC(DESONERADA!F437,2)</f>
        <v>95.18</v>
      </c>
      <c r="G65" s="124">
        <f t="shared" si="3"/>
        <v>122.61</v>
      </c>
      <c r="H65" s="124">
        <f t="shared" si="4"/>
        <v>844.24</v>
      </c>
      <c r="I65" s="125">
        <f t="shared" si="5"/>
        <v>1087.55</v>
      </c>
      <c r="J65" s="125"/>
      <c r="K65" s="122"/>
    </row>
    <row r="66" spans="1:11" s="34" customFormat="1" ht="30">
      <c r="A66" s="118" t="s">
        <v>922</v>
      </c>
      <c r="B66" s="119" t="s">
        <v>615</v>
      </c>
      <c r="C66" s="120" t="s">
        <v>616</v>
      </c>
      <c r="D66" s="121" t="s">
        <v>1</v>
      </c>
      <c r="E66" s="122">
        <v>27.44</v>
      </c>
      <c r="F66" s="123">
        <f>TRUNC(DESONERADA!F443,2)</f>
        <v>70</v>
      </c>
      <c r="G66" s="124">
        <f t="shared" si="3"/>
        <v>90.17</v>
      </c>
      <c r="H66" s="124">
        <f t="shared" si="4"/>
        <v>1920.8</v>
      </c>
      <c r="I66" s="125">
        <f t="shared" si="5"/>
        <v>2474.26</v>
      </c>
      <c r="J66" s="125"/>
      <c r="K66" s="122"/>
    </row>
    <row r="67" spans="1:11" s="72" customFormat="1" ht="15">
      <c r="A67" s="65" t="s">
        <v>1363</v>
      </c>
      <c r="B67" s="66"/>
      <c r="C67" s="67"/>
      <c r="D67" s="68"/>
      <c r="E67" s="69"/>
      <c r="F67" s="70"/>
      <c r="G67" s="73" t="s">
        <v>1455</v>
      </c>
      <c r="H67" s="75">
        <f>H66+H65+H64+H63+H62+H61+H60+H59+H58+H57+H56+H55+H54+H53+H52+H51+H50+H49+H48+H47+H46+H45</f>
        <v>358521.16</v>
      </c>
      <c r="I67" s="75">
        <f>I66+I65+I64+I63+I62+I61+I60+I59+I58+I57+I56+I55+I54+I53+I52+I51+I50+I49+I48+I47+I46+I45</f>
        <v>461798.05</v>
      </c>
      <c r="J67" s="71"/>
      <c r="K67" s="69"/>
    </row>
    <row r="68" spans="1:11" s="21" customFormat="1" ht="15.75">
      <c r="A68" s="21" t="s">
        <v>923</v>
      </c>
      <c r="B68" s="28"/>
      <c r="C68" s="29" t="s">
        <v>832</v>
      </c>
      <c r="D68" s="29"/>
      <c r="E68" s="29"/>
      <c r="F68" s="29"/>
      <c r="G68" s="29"/>
      <c r="H68" s="29"/>
      <c r="I68" s="27"/>
      <c r="J68" s="29"/>
      <c r="K68" s="29"/>
    </row>
    <row r="69" spans="1:11" s="34" customFormat="1" ht="45">
      <c r="A69" s="118" t="s">
        <v>924</v>
      </c>
      <c r="B69" s="119" t="s">
        <v>540</v>
      </c>
      <c r="C69" s="120" t="s">
        <v>541</v>
      </c>
      <c r="D69" s="121" t="s">
        <v>10</v>
      </c>
      <c r="E69" s="122">
        <v>11</v>
      </c>
      <c r="F69" s="123">
        <f>TRUNC(DESONERADA!F448,2)</f>
        <v>288.9</v>
      </c>
      <c r="G69" s="124">
        <f aca="true" t="shared" si="6" ref="G69:G83">TRUNC(F69*1.2882,2)</f>
        <v>372.16</v>
      </c>
      <c r="H69" s="124">
        <f aca="true" t="shared" si="7" ref="H69:H83">TRUNC(F69*E69,2)</f>
        <v>3177.9</v>
      </c>
      <c r="I69" s="125">
        <f aca="true" t="shared" si="8" ref="I69:I83">TRUNC(E69*G69,2)</f>
        <v>4093.76</v>
      </c>
      <c r="J69" s="125"/>
      <c r="K69" s="122"/>
    </row>
    <row r="70" spans="1:11" s="34" customFormat="1" ht="45">
      <c r="A70" s="118" t="s">
        <v>925</v>
      </c>
      <c r="B70" s="119" t="s">
        <v>550</v>
      </c>
      <c r="C70" s="120" t="s">
        <v>551</v>
      </c>
      <c r="D70" s="121" t="s">
        <v>10</v>
      </c>
      <c r="E70" s="122">
        <v>1</v>
      </c>
      <c r="F70" s="123">
        <f>TRUNC(DESONERADA!F455,2)</f>
        <v>264.76</v>
      </c>
      <c r="G70" s="124">
        <f t="shared" si="6"/>
        <v>341.06</v>
      </c>
      <c r="H70" s="124">
        <f t="shared" si="7"/>
        <v>264.76</v>
      </c>
      <c r="I70" s="125">
        <f t="shared" si="8"/>
        <v>341.06</v>
      </c>
      <c r="J70" s="125"/>
      <c r="K70" s="122"/>
    </row>
    <row r="71" spans="1:11" s="58" customFormat="1" ht="42.75">
      <c r="A71" s="127" t="s">
        <v>926</v>
      </c>
      <c r="B71" s="126" t="s">
        <v>837</v>
      </c>
      <c r="C71" s="128" t="s">
        <v>838</v>
      </c>
      <c r="D71" s="129" t="s">
        <v>10</v>
      </c>
      <c r="E71" s="130">
        <v>15</v>
      </c>
      <c r="F71" s="131">
        <f>TRUNC(DESONERADA!F462,2)</f>
        <v>558.97</v>
      </c>
      <c r="G71" s="124">
        <f t="shared" si="6"/>
        <v>720.06</v>
      </c>
      <c r="H71" s="124">
        <f t="shared" si="7"/>
        <v>8384.55</v>
      </c>
      <c r="I71" s="125">
        <f t="shared" si="8"/>
        <v>10800.9</v>
      </c>
      <c r="J71" s="132"/>
      <c r="K71" s="130">
        <f>E71+E70+E69</f>
        <v>27</v>
      </c>
    </row>
    <row r="72" spans="1:11" s="58" customFormat="1" ht="57">
      <c r="A72" s="127" t="s">
        <v>927</v>
      </c>
      <c r="B72" s="126" t="s">
        <v>841</v>
      </c>
      <c r="C72" s="128" t="s">
        <v>1458</v>
      </c>
      <c r="D72" s="129" t="s">
        <v>10</v>
      </c>
      <c r="E72" s="130">
        <v>11</v>
      </c>
      <c r="F72" s="131">
        <f>TRUNC(DESONERADA!F476,2)</f>
        <v>658.34</v>
      </c>
      <c r="G72" s="124">
        <f t="shared" si="6"/>
        <v>848.07</v>
      </c>
      <c r="H72" s="124">
        <f t="shared" si="7"/>
        <v>7241.74</v>
      </c>
      <c r="I72" s="125">
        <f t="shared" si="8"/>
        <v>9328.77</v>
      </c>
      <c r="J72" s="132"/>
      <c r="K72" s="130"/>
    </row>
    <row r="73" spans="1:11" s="34" customFormat="1" ht="67.5" customHeight="1">
      <c r="A73" s="118" t="s">
        <v>928</v>
      </c>
      <c r="B73" s="119" t="s">
        <v>843</v>
      </c>
      <c r="C73" s="120" t="s">
        <v>844</v>
      </c>
      <c r="D73" s="121" t="s">
        <v>10</v>
      </c>
      <c r="E73" s="122">
        <v>27</v>
      </c>
      <c r="F73" s="123">
        <f>TRUNC(DESONERADA!F483,2)</f>
        <v>231.59</v>
      </c>
      <c r="G73" s="124">
        <f t="shared" si="6"/>
        <v>298.33</v>
      </c>
      <c r="H73" s="124">
        <f t="shared" si="7"/>
        <v>6252.93</v>
      </c>
      <c r="I73" s="125">
        <f t="shared" si="8"/>
        <v>8054.91</v>
      </c>
      <c r="J73" s="125"/>
      <c r="K73" s="122"/>
    </row>
    <row r="74" spans="1:11" s="34" customFormat="1" ht="45">
      <c r="A74" s="118" t="s">
        <v>929</v>
      </c>
      <c r="B74" s="119" t="s">
        <v>847</v>
      </c>
      <c r="C74" s="120" t="s">
        <v>848</v>
      </c>
      <c r="D74" s="121" t="s">
        <v>10</v>
      </c>
      <c r="E74" s="122">
        <v>11</v>
      </c>
      <c r="F74" s="123">
        <f>TRUNC(DESONERADA!F486,2)</f>
        <v>113.6</v>
      </c>
      <c r="G74" s="124">
        <f t="shared" si="6"/>
        <v>146.33</v>
      </c>
      <c r="H74" s="124">
        <f t="shared" si="7"/>
        <v>1249.6</v>
      </c>
      <c r="I74" s="125">
        <f t="shared" si="8"/>
        <v>1609.63</v>
      </c>
      <c r="J74" s="125"/>
      <c r="K74" s="122"/>
    </row>
    <row r="75" spans="1:11" s="34" customFormat="1" ht="30">
      <c r="A75" s="118" t="s">
        <v>930</v>
      </c>
      <c r="B75" s="119" t="s">
        <v>556</v>
      </c>
      <c r="C75" s="120" t="s">
        <v>557</v>
      </c>
      <c r="D75" s="121" t="s">
        <v>0</v>
      </c>
      <c r="E75" s="122">
        <v>8.38</v>
      </c>
      <c r="F75" s="123">
        <f>TRUNC(DESONERADA!F491,2)</f>
        <v>613.2</v>
      </c>
      <c r="G75" s="124">
        <f t="shared" si="6"/>
        <v>789.92</v>
      </c>
      <c r="H75" s="124">
        <f t="shared" si="7"/>
        <v>5138.61</v>
      </c>
      <c r="I75" s="125">
        <f t="shared" si="8"/>
        <v>6619.52</v>
      </c>
      <c r="J75" s="125"/>
      <c r="K75" s="122"/>
    </row>
    <row r="76" spans="1:11" s="34" customFormat="1" ht="45">
      <c r="A76" s="118" t="s">
        <v>931</v>
      </c>
      <c r="B76" s="119" t="s">
        <v>852</v>
      </c>
      <c r="C76" s="120" t="s">
        <v>853</v>
      </c>
      <c r="D76" s="121" t="s">
        <v>0</v>
      </c>
      <c r="E76" s="122">
        <v>13.32</v>
      </c>
      <c r="F76" s="123">
        <f>TRUNC(DESONERADA!F499,2)</f>
        <v>499.87</v>
      </c>
      <c r="G76" s="124">
        <f t="shared" si="6"/>
        <v>643.93</v>
      </c>
      <c r="H76" s="124">
        <f t="shared" si="7"/>
        <v>6658.26</v>
      </c>
      <c r="I76" s="125">
        <f t="shared" si="8"/>
        <v>8577.14</v>
      </c>
      <c r="J76" s="125"/>
      <c r="K76" s="122"/>
    </row>
    <row r="77" spans="1:11" s="34" customFormat="1" ht="45">
      <c r="A77" s="118" t="s">
        <v>932</v>
      </c>
      <c r="B77" s="119" t="s">
        <v>856</v>
      </c>
      <c r="C77" s="120" t="s">
        <v>857</v>
      </c>
      <c r="D77" s="121" t="s">
        <v>0</v>
      </c>
      <c r="E77" s="122">
        <v>2.16</v>
      </c>
      <c r="F77" s="123">
        <f>TRUNC(DESONERADA!F504,2)</f>
        <v>617.35</v>
      </c>
      <c r="G77" s="124">
        <f t="shared" si="6"/>
        <v>795.27</v>
      </c>
      <c r="H77" s="124">
        <f t="shared" si="7"/>
        <v>1333.47</v>
      </c>
      <c r="I77" s="125">
        <f t="shared" si="8"/>
        <v>1717.78</v>
      </c>
      <c r="J77" s="125"/>
      <c r="K77" s="122"/>
    </row>
    <row r="78" spans="1:11" s="34" customFormat="1" ht="45">
      <c r="A78" s="118" t="s">
        <v>933</v>
      </c>
      <c r="B78" s="119" t="s">
        <v>1459</v>
      </c>
      <c r="C78" s="120" t="s">
        <v>1460</v>
      </c>
      <c r="D78" s="121" t="s">
        <v>0</v>
      </c>
      <c r="E78" s="122">
        <v>15.84</v>
      </c>
      <c r="F78" s="123">
        <f>TRUNC(DESONERADA!F509,2)</f>
        <v>444.87</v>
      </c>
      <c r="G78" s="124">
        <f t="shared" si="6"/>
        <v>573.08</v>
      </c>
      <c r="H78" s="124">
        <f t="shared" si="7"/>
        <v>7046.74</v>
      </c>
      <c r="I78" s="125">
        <f t="shared" si="8"/>
        <v>9077.58</v>
      </c>
      <c r="J78" s="125"/>
      <c r="K78" s="122"/>
    </row>
    <row r="79" spans="1:11" s="34" customFormat="1" ht="60">
      <c r="A79" s="118" t="s">
        <v>934</v>
      </c>
      <c r="B79" s="119" t="s">
        <v>858</v>
      </c>
      <c r="C79" s="120" t="s">
        <v>859</v>
      </c>
      <c r="D79" s="121" t="s">
        <v>0</v>
      </c>
      <c r="E79" s="122">
        <v>2.16</v>
      </c>
      <c r="F79" s="123">
        <f>TRUNC(DESONERADA!F514,2)</f>
        <v>497.83</v>
      </c>
      <c r="G79" s="124">
        <f t="shared" si="6"/>
        <v>641.3</v>
      </c>
      <c r="H79" s="124">
        <f t="shared" si="7"/>
        <v>1075.31</v>
      </c>
      <c r="I79" s="125">
        <f t="shared" si="8"/>
        <v>1385.2</v>
      </c>
      <c r="J79" s="125"/>
      <c r="K79" s="122"/>
    </row>
    <row r="80" spans="1:11" s="34" customFormat="1" ht="60">
      <c r="A80" s="118" t="s">
        <v>1597</v>
      </c>
      <c r="B80" s="119" t="s">
        <v>1461</v>
      </c>
      <c r="C80" s="119" t="s">
        <v>1462</v>
      </c>
      <c r="D80" s="121" t="s">
        <v>0</v>
      </c>
      <c r="E80" s="122">
        <v>34.56</v>
      </c>
      <c r="F80" s="123">
        <f>TRUNC(DESONERADA!F519,2)</f>
        <v>503.27</v>
      </c>
      <c r="G80" s="124">
        <f t="shared" si="6"/>
        <v>648.31</v>
      </c>
      <c r="H80" s="124">
        <f t="shared" si="7"/>
        <v>17393.01</v>
      </c>
      <c r="I80" s="125">
        <f t="shared" si="8"/>
        <v>22405.59</v>
      </c>
      <c r="J80" s="125"/>
      <c r="K80" s="122"/>
    </row>
    <row r="81" spans="1:11" s="34" customFormat="1" ht="45">
      <c r="A81" s="118" t="s">
        <v>935</v>
      </c>
      <c r="B81" s="119" t="s">
        <v>862</v>
      </c>
      <c r="C81" s="120" t="s">
        <v>863</v>
      </c>
      <c r="D81" s="121" t="s">
        <v>0</v>
      </c>
      <c r="E81" s="122">
        <v>4.5</v>
      </c>
      <c r="F81" s="123">
        <f>TRUNC(DESONERADA!F524,2)</f>
        <v>15.42</v>
      </c>
      <c r="G81" s="124">
        <f t="shared" si="6"/>
        <v>19.86</v>
      </c>
      <c r="H81" s="124">
        <f t="shared" si="7"/>
        <v>69.39</v>
      </c>
      <c r="I81" s="125">
        <f t="shared" si="8"/>
        <v>89.37</v>
      </c>
      <c r="J81" s="125"/>
      <c r="K81" s="122"/>
    </row>
    <row r="82" spans="1:11" s="34" customFormat="1" ht="30">
      <c r="A82" s="118" t="s">
        <v>936</v>
      </c>
      <c r="B82" s="119" t="s">
        <v>866</v>
      </c>
      <c r="C82" s="120" t="s">
        <v>867</v>
      </c>
      <c r="D82" s="121" t="s">
        <v>0</v>
      </c>
      <c r="E82" s="122">
        <v>69.72</v>
      </c>
      <c r="F82" s="123">
        <f>TRUNC(DESONERADA!F529,2)</f>
        <v>315.36</v>
      </c>
      <c r="G82" s="124">
        <f t="shared" si="6"/>
        <v>406.24</v>
      </c>
      <c r="H82" s="124">
        <f t="shared" si="7"/>
        <v>21986.89</v>
      </c>
      <c r="I82" s="125">
        <f t="shared" si="8"/>
        <v>28323.05</v>
      </c>
      <c r="J82" s="125"/>
      <c r="K82" s="122"/>
    </row>
    <row r="83" spans="1:11" s="34" customFormat="1" ht="45">
      <c r="A83" s="118" t="s">
        <v>937</v>
      </c>
      <c r="B83" s="119" t="s">
        <v>878</v>
      </c>
      <c r="C83" s="120" t="s">
        <v>879</v>
      </c>
      <c r="D83" s="121" t="s">
        <v>0</v>
      </c>
      <c r="E83" s="122">
        <v>6.04</v>
      </c>
      <c r="F83" s="123">
        <f>TRUNC(DESONERADA!F538,2)</f>
        <v>284.4</v>
      </c>
      <c r="G83" s="124">
        <f t="shared" si="6"/>
        <v>366.36</v>
      </c>
      <c r="H83" s="124">
        <f t="shared" si="7"/>
        <v>1717.77</v>
      </c>
      <c r="I83" s="125">
        <f t="shared" si="8"/>
        <v>2212.81</v>
      </c>
      <c r="J83" s="125"/>
      <c r="K83" s="122"/>
    </row>
    <row r="84" spans="1:11" s="72" customFormat="1" ht="15">
      <c r="A84" s="65" t="s">
        <v>1363</v>
      </c>
      <c r="B84" s="66"/>
      <c r="C84" s="67"/>
      <c r="D84" s="68"/>
      <c r="E84" s="69"/>
      <c r="F84" s="70"/>
      <c r="G84" s="73" t="s">
        <v>1457</v>
      </c>
      <c r="H84" s="75">
        <f>H83+H82+H81+H80+H79+H78+H77+H76+H75+H74+H73+H72+H71+H70+H69</f>
        <v>88990.93</v>
      </c>
      <c r="I84" s="75">
        <f>I83+I82+I81+I80+I79+I78+I77+I76+I75+I74+I73+I72+I71+I70+I69</f>
        <v>114637.06999999999</v>
      </c>
      <c r="J84" s="71"/>
      <c r="K84" s="69"/>
    </row>
    <row r="85" spans="1:11" s="21" customFormat="1" ht="15.75">
      <c r="A85" s="21" t="s">
        <v>938</v>
      </c>
      <c r="B85" s="28"/>
      <c r="C85" s="29" t="s">
        <v>385</v>
      </c>
      <c r="D85" s="29"/>
      <c r="E85" s="29"/>
      <c r="F85" s="29"/>
      <c r="G85" s="29"/>
      <c r="H85" s="29"/>
      <c r="I85" s="27"/>
      <c r="J85" s="29"/>
      <c r="K85" s="29"/>
    </row>
    <row r="86" spans="1:11" s="34" customFormat="1" ht="60">
      <c r="A86" s="118" t="s">
        <v>939</v>
      </c>
      <c r="B86" s="119" t="s">
        <v>398</v>
      </c>
      <c r="C86" s="120" t="s">
        <v>399</v>
      </c>
      <c r="D86" s="121" t="s">
        <v>0</v>
      </c>
      <c r="E86" s="122">
        <f>815.01+422.22</f>
        <v>1237.23</v>
      </c>
      <c r="F86" s="123">
        <f>TRUNC(DESONERADA!F548,2)</f>
        <v>29.97</v>
      </c>
      <c r="G86" s="124">
        <f>TRUNC(F86*1.2882,2)</f>
        <v>38.6</v>
      </c>
      <c r="H86" s="124">
        <f>TRUNC(F86*E86,2)</f>
        <v>37079.78</v>
      </c>
      <c r="I86" s="125">
        <f>TRUNC(E86*G86,2)</f>
        <v>47757.07</v>
      </c>
      <c r="J86" s="125"/>
      <c r="K86" s="122"/>
    </row>
    <row r="87" spans="1:11" s="34" customFormat="1" ht="30">
      <c r="A87" s="118" t="s">
        <v>940</v>
      </c>
      <c r="B87" s="119" t="s">
        <v>386</v>
      </c>
      <c r="C87" s="120" t="s">
        <v>387</v>
      </c>
      <c r="D87" s="121" t="s">
        <v>0</v>
      </c>
      <c r="E87" s="122">
        <f>815.01+506</f>
        <v>1321.01</v>
      </c>
      <c r="F87" s="123">
        <f>TRUNC(DESONERADA!F555,2)</f>
        <v>14.03</v>
      </c>
      <c r="G87" s="124">
        <f>TRUNC(F87*1.2882,2)</f>
        <v>18.07</v>
      </c>
      <c r="H87" s="124">
        <f>TRUNC(F87*E87,2)</f>
        <v>18533.77</v>
      </c>
      <c r="I87" s="125">
        <f>TRUNC(E87*G87,2)</f>
        <v>23870.65</v>
      </c>
      <c r="J87" s="125"/>
      <c r="K87" s="122"/>
    </row>
    <row r="88" spans="1:11" s="34" customFormat="1" ht="30">
      <c r="A88" s="118" t="s">
        <v>1970</v>
      </c>
      <c r="B88" s="119" t="s">
        <v>396</v>
      </c>
      <c r="C88" s="120" t="s">
        <v>397</v>
      </c>
      <c r="D88" s="121" t="s">
        <v>0</v>
      </c>
      <c r="E88" s="122">
        <v>422.22</v>
      </c>
      <c r="F88" s="123">
        <f>TRUNC(DESONERADA!F560,2)</f>
        <v>16.04</v>
      </c>
      <c r="G88" s="124">
        <f>TRUNC(F88*1.2882,2)</f>
        <v>20.66</v>
      </c>
      <c r="H88" s="124">
        <f>TRUNC(F88*E88,2)</f>
        <v>6772.4</v>
      </c>
      <c r="I88" s="125">
        <f>TRUNC(E88*G88,2)</f>
        <v>8723.06</v>
      </c>
      <c r="J88" s="125"/>
      <c r="K88" s="122"/>
    </row>
    <row r="89" spans="1:11" s="34" customFormat="1" ht="30">
      <c r="A89" s="118" t="s">
        <v>941</v>
      </c>
      <c r="B89" s="119" t="s">
        <v>390</v>
      </c>
      <c r="C89" s="120" t="s">
        <v>391</v>
      </c>
      <c r="D89" s="121" t="s">
        <v>0</v>
      </c>
      <c r="E89" s="122">
        <v>97.09</v>
      </c>
      <c r="F89" s="123">
        <f>TRUNC(DESONERADA!F565,2)</f>
        <v>7.51</v>
      </c>
      <c r="G89" s="124">
        <f>TRUNC(F89*1.2882,2)</f>
        <v>9.67</v>
      </c>
      <c r="H89" s="124">
        <f>TRUNC(F89*E89,2)</f>
        <v>729.14</v>
      </c>
      <c r="I89" s="125">
        <f>TRUNC(E89*G89,2)</f>
        <v>938.86</v>
      </c>
      <c r="J89" s="125"/>
      <c r="K89" s="122"/>
    </row>
    <row r="90" spans="1:11" s="72" customFormat="1" ht="15">
      <c r="A90" s="65" t="s">
        <v>1363</v>
      </c>
      <c r="B90" s="66"/>
      <c r="C90" s="67"/>
      <c r="D90" s="68"/>
      <c r="E90" s="69"/>
      <c r="F90" s="70"/>
      <c r="G90" s="73" t="s">
        <v>1456</v>
      </c>
      <c r="H90" s="75">
        <f>H89+H88+H87+H86</f>
        <v>63115.09</v>
      </c>
      <c r="I90" s="75">
        <f>I89+I88+I87+I86</f>
        <v>81289.64</v>
      </c>
      <c r="J90" s="71"/>
      <c r="K90" s="69"/>
    </row>
    <row r="91" spans="1:11" s="21" customFormat="1" ht="15.75">
      <c r="A91" s="21" t="s">
        <v>942</v>
      </c>
      <c r="B91" s="28"/>
      <c r="C91" s="29" t="s">
        <v>409</v>
      </c>
      <c r="D91" s="29"/>
      <c r="E91" s="29"/>
      <c r="F91" s="29"/>
      <c r="G91" s="29"/>
      <c r="H91" s="29"/>
      <c r="I91" s="27"/>
      <c r="J91" s="29"/>
      <c r="K91" s="29"/>
    </row>
    <row r="92" spans="1:11" s="34" customFormat="1" ht="45">
      <c r="A92" s="118" t="s">
        <v>942</v>
      </c>
      <c r="B92" s="119" t="s">
        <v>410</v>
      </c>
      <c r="C92" s="120" t="s">
        <v>411</v>
      </c>
      <c r="D92" s="121" t="s">
        <v>10</v>
      </c>
      <c r="E92" s="122">
        <v>1</v>
      </c>
      <c r="F92" s="123">
        <f>TRUNC(DESONERADA!F572,2)</f>
        <v>56.44</v>
      </c>
      <c r="G92" s="124">
        <f aca="true" t="shared" si="9" ref="G92:G123">TRUNC(F92*1.2882,2)</f>
        <v>72.7</v>
      </c>
      <c r="H92" s="124">
        <f aca="true" t="shared" si="10" ref="H92:H123">TRUNC(F92*E92,2)</f>
        <v>56.44</v>
      </c>
      <c r="I92" s="125">
        <f aca="true" t="shared" si="11" ref="I92:I123">TRUNC(E92*G92,2)</f>
        <v>72.7</v>
      </c>
      <c r="J92" s="125"/>
      <c r="K92" s="122"/>
    </row>
    <row r="93" spans="1:11" s="34" customFormat="1" ht="45">
      <c r="A93" s="118" t="s">
        <v>943</v>
      </c>
      <c r="B93" s="119" t="s">
        <v>420</v>
      </c>
      <c r="C93" s="120" t="s">
        <v>421</v>
      </c>
      <c r="D93" s="121" t="s">
        <v>10</v>
      </c>
      <c r="E93" s="122">
        <v>5</v>
      </c>
      <c r="F93" s="123">
        <f>TRUNC(DESONERADA!F578,2)</f>
        <v>68.14</v>
      </c>
      <c r="G93" s="124">
        <f t="shared" si="9"/>
        <v>87.77</v>
      </c>
      <c r="H93" s="124">
        <f t="shared" si="10"/>
        <v>340.7</v>
      </c>
      <c r="I93" s="125">
        <f t="shared" si="11"/>
        <v>438.85</v>
      </c>
      <c r="J93" s="125"/>
      <c r="K93" s="122"/>
    </row>
    <row r="94" spans="1:11" s="34" customFormat="1" ht="45">
      <c r="A94" s="118" t="s">
        <v>944</v>
      </c>
      <c r="B94" s="119" t="s">
        <v>424</v>
      </c>
      <c r="C94" s="120" t="s">
        <v>425</v>
      </c>
      <c r="D94" s="121" t="s">
        <v>10</v>
      </c>
      <c r="E94" s="122">
        <v>1</v>
      </c>
      <c r="F94" s="123">
        <f>TRUNC(DESONERADA!F584,2)</f>
        <v>115.17</v>
      </c>
      <c r="G94" s="124">
        <f t="shared" si="9"/>
        <v>148.36</v>
      </c>
      <c r="H94" s="124">
        <f t="shared" si="10"/>
        <v>115.17</v>
      </c>
      <c r="I94" s="125">
        <f t="shared" si="11"/>
        <v>148.36</v>
      </c>
      <c r="J94" s="125"/>
      <c r="K94" s="122"/>
    </row>
    <row r="95" spans="1:11" s="34" customFormat="1" ht="45">
      <c r="A95" s="118" t="s">
        <v>945</v>
      </c>
      <c r="B95" s="119" t="s">
        <v>428</v>
      </c>
      <c r="C95" s="120" t="s">
        <v>429</v>
      </c>
      <c r="D95" s="121" t="s">
        <v>10</v>
      </c>
      <c r="E95" s="122">
        <v>1</v>
      </c>
      <c r="F95" s="123">
        <f>TRUNC(DESONERADA!F590,2)</f>
        <v>197.35</v>
      </c>
      <c r="G95" s="124">
        <f t="shared" si="9"/>
        <v>254.22</v>
      </c>
      <c r="H95" s="124">
        <f t="shared" si="10"/>
        <v>197.35</v>
      </c>
      <c r="I95" s="125">
        <f t="shared" si="11"/>
        <v>254.22</v>
      </c>
      <c r="J95" s="125"/>
      <c r="K95" s="122"/>
    </row>
    <row r="96" spans="1:11" s="34" customFormat="1" ht="30">
      <c r="A96" s="118" t="s">
        <v>946</v>
      </c>
      <c r="B96" s="119" t="s">
        <v>432</v>
      </c>
      <c r="C96" s="120" t="s">
        <v>433</v>
      </c>
      <c r="D96" s="121" t="s">
        <v>10</v>
      </c>
      <c r="E96" s="122">
        <v>13</v>
      </c>
      <c r="F96" s="123">
        <f>TRUNC(DESONERADA!F596,2)</f>
        <v>62.07</v>
      </c>
      <c r="G96" s="124">
        <f t="shared" si="9"/>
        <v>79.95</v>
      </c>
      <c r="H96" s="124">
        <f t="shared" si="10"/>
        <v>806.91</v>
      </c>
      <c r="I96" s="125">
        <f t="shared" si="11"/>
        <v>1039.35</v>
      </c>
      <c r="J96" s="125"/>
      <c r="K96" s="122"/>
    </row>
    <row r="97" spans="1:11" s="34" customFormat="1" ht="30">
      <c r="A97" s="118" t="s">
        <v>947</v>
      </c>
      <c r="B97" s="119" t="s">
        <v>619</v>
      </c>
      <c r="C97" s="120" t="s">
        <v>620</v>
      </c>
      <c r="D97" s="121" t="s">
        <v>10</v>
      </c>
      <c r="E97" s="122">
        <v>9</v>
      </c>
      <c r="F97" s="123">
        <f>TRUNC(DESONERADA!F602,2)</f>
        <v>34.21</v>
      </c>
      <c r="G97" s="124">
        <f t="shared" si="9"/>
        <v>44.06</v>
      </c>
      <c r="H97" s="124">
        <f t="shared" si="10"/>
        <v>307.89</v>
      </c>
      <c r="I97" s="125">
        <f t="shared" si="11"/>
        <v>396.54</v>
      </c>
      <c r="J97" s="125"/>
      <c r="K97" s="122"/>
    </row>
    <row r="98" spans="1:11" s="34" customFormat="1" ht="30">
      <c r="A98" s="118" t="s">
        <v>945</v>
      </c>
      <c r="B98" s="119" t="s">
        <v>436</v>
      </c>
      <c r="C98" s="120" t="s">
        <v>437</v>
      </c>
      <c r="D98" s="121" t="s">
        <v>10</v>
      </c>
      <c r="E98" s="122">
        <v>1</v>
      </c>
      <c r="F98" s="123">
        <f>TRUNC(DESONERADA!F605,2)</f>
        <v>72.81</v>
      </c>
      <c r="G98" s="124">
        <f t="shared" si="9"/>
        <v>93.79</v>
      </c>
      <c r="H98" s="124">
        <f t="shared" si="10"/>
        <v>72.81</v>
      </c>
      <c r="I98" s="125">
        <f t="shared" si="11"/>
        <v>93.79</v>
      </c>
      <c r="J98" s="125"/>
      <c r="K98" s="122"/>
    </row>
    <row r="99" spans="1:11" s="34" customFormat="1" ht="60">
      <c r="A99" s="118" t="s">
        <v>946</v>
      </c>
      <c r="B99" s="119" t="s">
        <v>440</v>
      </c>
      <c r="C99" s="120" t="s">
        <v>441</v>
      </c>
      <c r="D99" s="121" t="s">
        <v>2</v>
      </c>
      <c r="E99" s="122">
        <v>300</v>
      </c>
      <c r="F99" s="123">
        <f>TRUNC(DESONERADA!F610,2)</f>
        <v>9.45</v>
      </c>
      <c r="G99" s="124">
        <f t="shared" si="9"/>
        <v>12.17</v>
      </c>
      <c r="H99" s="124">
        <f t="shared" si="10"/>
        <v>2835</v>
      </c>
      <c r="I99" s="125">
        <f t="shared" si="11"/>
        <v>3651</v>
      </c>
      <c r="J99" s="125"/>
      <c r="K99" s="122"/>
    </row>
    <row r="100" spans="1:11" s="34" customFormat="1" ht="60">
      <c r="A100" s="118" t="s">
        <v>947</v>
      </c>
      <c r="B100" s="119" t="s">
        <v>444</v>
      </c>
      <c r="C100" s="120" t="s">
        <v>445</v>
      </c>
      <c r="D100" s="121" t="s">
        <v>2</v>
      </c>
      <c r="E100" s="122">
        <v>48</v>
      </c>
      <c r="F100" s="123">
        <f>TRUNC(DESONERADA!F616,2)</f>
        <v>14.78</v>
      </c>
      <c r="G100" s="124">
        <f t="shared" si="9"/>
        <v>19.03</v>
      </c>
      <c r="H100" s="124">
        <f t="shared" si="10"/>
        <v>709.44</v>
      </c>
      <c r="I100" s="125">
        <f t="shared" si="11"/>
        <v>913.44</v>
      </c>
      <c r="J100" s="125"/>
      <c r="K100" s="122"/>
    </row>
    <row r="101" spans="1:11" s="34" customFormat="1" ht="60">
      <c r="A101" s="118" t="s">
        <v>948</v>
      </c>
      <c r="B101" s="119" t="s">
        <v>448</v>
      </c>
      <c r="C101" s="120" t="s">
        <v>449</v>
      </c>
      <c r="D101" s="121" t="s">
        <v>2</v>
      </c>
      <c r="E101" s="122">
        <v>30</v>
      </c>
      <c r="F101" s="123">
        <f>TRUNC(DESONERADA!F622,2)</f>
        <v>20.15</v>
      </c>
      <c r="G101" s="124">
        <f t="shared" si="9"/>
        <v>25.95</v>
      </c>
      <c r="H101" s="124">
        <f t="shared" si="10"/>
        <v>604.5</v>
      </c>
      <c r="I101" s="125">
        <f t="shared" si="11"/>
        <v>778.5</v>
      </c>
      <c r="J101" s="125"/>
      <c r="K101" s="122"/>
    </row>
    <row r="102" spans="1:11" s="34" customFormat="1" ht="30">
      <c r="A102" s="118" t="s">
        <v>1598</v>
      </c>
      <c r="B102" s="119" t="s">
        <v>452</v>
      </c>
      <c r="C102" s="120" t="s">
        <v>453</v>
      </c>
      <c r="D102" s="121" t="s">
        <v>2</v>
      </c>
      <c r="E102" s="122">
        <v>54</v>
      </c>
      <c r="F102" s="123">
        <f>TRUNC(DESONERADA!F628,2)</f>
        <v>17.38</v>
      </c>
      <c r="G102" s="124">
        <f t="shared" si="9"/>
        <v>22.38</v>
      </c>
      <c r="H102" s="124">
        <f t="shared" si="10"/>
        <v>938.52</v>
      </c>
      <c r="I102" s="125">
        <f t="shared" si="11"/>
        <v>1208.52</v>
      </c>
      <c r="J102" s="125"/>
      <c r="K102" s="122"/>
    </row>
    <row r="103" spans="1:11" s="34" customFormat="1" ht="30">
      <c r="A103" s="118" t="s">
        <v>1599</v>
      </c>
      <c r="B103" s="119" t="s">
        <v>952</v>
      </c>
      <c r="C103" s="120" t="s">
        <v>949</v>
      </c>
      <c r="D103" s="121" t="s">
        <v>2</v>
      </c>
      <c r="E103" s="122">
        <v>12</v>
      </c>
      <c r="F103" s="123">
        <f>TRUNC(DESONERADA!F632,2)</f>
        <v>31.05</v>
      </c>
      <c r="G103" s="124">
        <f t="shared" si="9"/>
        <v>39.99</v>
      </c>
      <c r="H103" s="124">
        <f t="shared" si="10"/>
        <v>372.6</v>
      </c>
      <c r="I103" s="125">
        <f t="shared" si="11"/>
        <v>479.88</v>
      </c>
      <c r="J103" s="125"/>
      <c r="K103" s="122"/>
    </row>
    <row r="104" spans="1:11" s="34" customFormat="1" ht="30">
      <c r="A104" s="118" t="s">
        <v>1600</v>
      </c>
      <c r="B104" s="119" t="s">
        <v>458</v>
      </c>
      <c r="C104" s="120" t="s">
        <v>459</v>
      </c>
      <c r="D104" s="121" t="s">
        <v>2</v>
      </c>
      <c r="E104" s="122">
        <v>78</v>
      </c>
      <c r="F104" s="123">
        <f>TRUNC(DESONERADA!F636,2)</f>
        <v>34.48</v>
      </c>
      <c r="G104" s="124">
        <f t="shared" si="9"/>
        <v>44.41</v>
      </c>
      <c r="H104" s="124">
        <f t="shared" si="10"/>
        <v>2689.44</v>
      </c>
      <c r="I104" s="125">
        <f t="shared" si="11"/>
        <v>3463.98</v>
      </c>
      <c r="J104" s="125"/>
      <c r="K104" s="122"/>
    </row>
    <row r="105" spans="1:11" s="34" customFormat="1" ht="15">
      <c r="A105" s="118" t="s">
        <v>1601</v>
      </c>
      <c r="B105" s="126" t="s">
        <v>827</v>
      </c>
      <c r="C105" s="120" t="s">
        <v>953</v>
      </c>
      <c r="D105" s="121" t="s">
        <v>10</v>
      </c>
      <c r="E105" s="122">
        <v>1</v>
      </c>
      <c r="F105" s="123">
        <f>DESONERADA!F640</f>
        <v>59075</v>
      </c>
      <c r="G105" s="124">
        <f t="shared" si="9"/>
        <v>76100.41</v>
      </c>
      <c r="H105" s="124">
        <f t="shared" si="10"/>
        <v>59075</v>
      </c>
      <c r="I105" s="125">
        <f t="shared" si="11"/>
        <v>76100.41</v>
      </c>
      <c r="J105" s="125"/>
      <c r="K105" s="122"/>
    </row>
    <row r="106" spans="1:11" s="34" customFormat="1" ht="30">
      <c r="A106" s="118" t="s">
        <v>1602</v>
      </c>
      <c r="B106" s="119" t="s">
        <v>464</v>
      </c>
      <c r="C106" s="120" t="s">
        <v>465</v>
      </c>
      <c r="D106" s="121" t="s">
        <v>10</v>
      </c>
      <c r="E106" s="122">
        <v>11</v>
      </c>
      <c r="F106" s="123">
        <f>TRUNC(DESONERADA!F645,2)</f>
        <v>16.13</v>
      </c>
      <c r="G106" s="124">
        <f t="shared" si="9"/>
        <v>20.77</v>
      </c>
      <c r="H106" s="124">
        <f t="shared" si="10"/>
        <v>177.43</v>
      </c>
      <c r="I106" s="125">
        <f t="shared" si="11"/>
        <v>228.47</v>
      </c>
      <c r="J106" s="125"/>
      <c r="K106" s="122"/>
    </row>
    <row r="107" spans="1:11" s="34" customFormat="1" ht="30">
      <c r="A107" s="118" t="s">
        <v>1603</v>
      </c>
      <c r="B107" s="119" t="s">
        <v>468</v>
      </c>
      <c r="C107" s="120" t="s">
        <v>469</v>
      </c>
      <c r="D107" s="121" t="s">
        <v>10</v>
      </c>
      <c r="E107" s="122">
        <v>1</v>
      </c>
      <c r="F107" s="123">
        <f>TRUNC(DESONERADA!F650,2)</f>
        <v>41.66</v>
      </c>
      <c r="G107" s="124">
        <f t="shared" si="9"/>
        <v>53.66</v>
      </c>
      <c r="H107" s="124">
        <f t="shared" si="10"/>
        <v>41.66</v>
      </c>
      <c r="I107" s="125">
        <f t="shared" si="11"/>
        <v>53.66</v>
      </c>
      <c r="J107" s="125"/>
      <c r="K107" s="122"/>
    </row>
    <row r="108" spans="1:11" s="34" customFormat="1" ht="30">
      <c r="A108" s="118" t="s">
        <v>1604</v>
      </c>
      <c r="B108" s="119" t="s">
        <v>472</v>
      </c>
      <c r="C108" s="120" t="s">
        <v>473</v>
      </c>
      <c r="D108" s="121" t="s">
        <v>10</v>
      </c>
      <c r="E108" s="122">
        <v>11</v>
      </c>
      <c r="F108" s="123">
        <f>TRUNC(DESONERADA!F656,2)</f>
        <v>10.4</v>
      </c>
      <c r="G108" s="124">
        <f t="shared" si="9"/>
        <v>13.39</v>
      </c>
      <c r="H108" s="124">
        <f t="shared" si="10"/>
        <v>114.4</v>
      </c>
      <c r="I108" s="125">
        <f t="shared" si="11"/>
        <v>147.29</v>
      </c>
      <c r="J108" s="125"/>
      <c r="K108" s="122"/>
    </row>
    <row r="109" spans="1:11" s="34" customFormat="1" ht="45">
      <c r="A109" s="118" t="s">
        <v>1605</v>
      </c>
      <c r="B109" s="119" t="s">
        <v>1520</v>
      </c>
      <c r="C109" s="120" t="s">
        <v>1523</v>
      </c>
      <c r="D109" s="121" t="s">
        <v>2</v>
      </c>
      <c r="E109" s="122">
        <v>12</v>
      </c>
      <c r="F109" s="123">
        <f>TRUNC(DESONERADA!F659,2)</f>
        <v>90.83</v>
      </c>
      <c r="G109" s="124">
        <f t="shared" si="9"/>
        <v>117</v>
      </c>
      <c r="H109" s="124">
        <f t="shared" si="10"/>
        <v>1089.96</v>
      </c>
      <c r="I109" s="125">
        <f t="shared" si="11"/>
        <v>1404</v>
      </c>
      <c r="J109" s="125"/>
      <c r="K109" s="122"/>
    </row>
    <row r="110" spans="1:11" s="34" customFormat="1" ht="45">
      <c r="A110" s="118" t="s">
        <v>1606</v>
      </c>
      <c r="B110" s="119" t="s">
        <v>1520</v>
      </c>
      <c r="C110" s="120" t="s">
        <v>1524</v>
      </c>
      <c r="D110" s="121" t="s">
        <v>2</v>
      </c>
      <c r="E110" s="122">
        <v>18</v>
      </c>
      <c r="F110" s="123">
        <f>TRUNC(DESONERADA!F664,2)</f>
        <v>79.91</v>
      </c>
      <c r="G110" s="124">
        <f t="shared" si="9"/>
        <v>102.94</v>
      </c>
      <c r="H110" s="124">
        <f t="shared" si="10"/>
        <v>1438.38</v>
      </c>
      <c r="I110" s="125">
        <f t="shared" si="11"/>
        <v>1852.92</v>
      </c>
      <c r="J110" s="125"/>
      <c r="K110" s="122"/>
    </row>
    <row r="111" spans="1:11" s="34" customFormat="1" ht="45">
      <c r="A111" s="118" t="s">
        <v>1607</v>
      </c>
      <c r="B111" s="119" t="s">
        <v>965</v>
      </c>
      <c r="C111" s="120" t="s">
        <v>958</v>
      </c>
      <c r="D111" s="121" t="s">
        <v>10</v>
      </c>
      <c r="E111" s="122">
        <v>2</v>
      </c>
      <c r="F111" s="123">
        <f>TRUNC(DESONERADA!F669,2)</f>
        <v>1088.52</v>
      </c>
      <c r="G111" s="124">
        <f t="shared" si="9"/>
        <v>1402.23</v>
      </c>
      <c r="H111" s="124">
        <f t="shared" si="10"/>
        <v>2177.04</v>
      </c>
      <c r="I111" s="125">
        <f t="shared" si="11"/>
        <v>2804.46</v>
      </c>
      <c r="J111" s="125"/>
      <c r="K111" s="122"/>
    </row>
    <row r="112" spans="1:11" s="34" customFormat="1" ht="45">
      <c r="A112" s="118" t="s">
        <v>1608</v>
      </c>
      <c r="B112" s="119" t="s">
        <v>1525</v>
      </c>
      <c r="C112" s="120" t="s">
        <v>1526</v>
      </c>
      <c r="D112" s="121" t="s">
        <v>2</v>
      </c>
      <c r="E112" s="122">
        <v>84</v>
      </c>
      <c r="F112" s="123">
        <f>TRUNC(DESONERADA!F680,2)</f>
        <v>10.68</v>
      </c>
      <c r="G112" s="124">
        <f t="shared" si="9"/>
        <v>13.75</v>
      </c>
      <c r="H112" s="124">
        <f t="shared" si="10"/>
        <v>897.12</v>
      </c>
      <c r="I112" s="125">
        <f t="shared" si="11"/>
        <v>1155</v>
      </c>
      <c r="J112" s="125"/>
      <c r="K112" s="122"/>
    </row>
    <row r="113" spans="1:11" s="34" customFormat="1" ht="30">
      <c r="A113" s="118" t="s">
        <v>1609</v>
      </c>
      <c r="B113" s="119" t="s">
        <v>627</v>
      </c>
      <c r="C113" s="120" t="s">
        <v>628</v>
      </c>
      <c r="D113" s="121" t="s">
        <v>2</v>
      </c>
      <c r="E113" s="122">
        <v>234</v>
      </c>
      <c r="F113" s="123">
        <f>TRUNC(DESONERADA!F685,2)</f>
        <v>45.03</v>
      </c>
      <c r="G113" s="124">
        <f t="shared" si="9"/>
        <v>58</v>
      </c>
      <c r="H113" s="124">
        <f t="shared" si="10"/>
        <v>10537.02</v>
      </c>
      <c r="I113" s="125">
        <f t="shared" si="11"/>
        <v>13572</v>
      </c>
      <c r="J113" s="125"/>
      <c r="K113" s="122"/>
    </row>
    <row r="114" spans="1:11" s="34" customFormat="1" ht="30">
      <c r="A114" s="118" t="s">
        <v>1610</v>
      </c>
      <c r="B114" s="119" t="s">
        <v>633</v>
      </c>
      <c r="C114" s="120" t="s">
        <v>634</v>
      </c>
      <c r="D114" s="121" t="s">
        <v>2</v>
      </c>
      <c r="E114" s="122">
        <v>60</v>
      </c>
      <c r="F114" s="123">
        <f>TRUNC(DESONERADA!F691,2)</f>
        <v>93.31</v>
      </c>
      <c r="G114" s="124">
        <f t="shared" si="9"/>
        <v>120.2</v>
      </c>
      <c r="H114" s="124">
        <f t="shared" si="10"/>
        <v>5598.6</v>
      </c>
      <c r="I114" s="125">
        <f t="shared" si="11"/>
        <v>7212</v>
      </c>
      <c r="J114" s="125"/>
      <c r="K114" s="122"/>
    </row>
    <row r="115" spans="1:11" s="34" customFormat="1" ht="30">
      <c r="A115" s="118" t="s">
        <v>1611</v>
      </c>
      <c r="B115" s="119" t="s">
        <v>637</v>
      </c>
      <c r="C115" s="120" t="s">
        <v>638</v>
      </c>
      <c r="D115" s="121" t="s">
        <v>2</v>
      </c>
      <c r="E115" s="122">
        <v>48</v>
      </c>
      <c r="F115" s="123">
        <f>TRUNC(DESONERADA!F697,2)</f>
        <v>138.43</v>
      </c>
      <c r="G115" s="124">
        <f t="shared" si="9"/>
        <v>178.32</v>
      </c>
      <c r="H115" s="124">
        <f t="shared" si="10"/>
        <v>6644.64</v>
      </c>
      <c r="I115" s="125">
        <f t="shared" si="11"/>
        <v>8559.36</v>
      </c>
      <c r="J115" s="125"/>
      <c r="K115" s="122"/>
    </row>
    <row r="116" spans="1:11" s="34" customFormat="1" ht="90">
      <c r="A116" s="118" t="s">
        <v>1612</v>
      </c>
      <c r="B116" s="119" t="s">
        <v>647</v>
      </c>
      <c r="C116" s="120" t="s">
        <v>648</v>
      </c>
      <c r="D116" s="121" t="s">
        <v>10</v>
      </c>
      <c r="E116" s="122">
        <v>20</v>
      </c>
      <c r="F116" s="123">
        <f>TRUNC(DESONERADA!F703,2)</f>
        <v>137.09</v>
      </c>
      <c r="G116" s="124">
        <f t="shared" si="9"/>
        <v>176.59</v>
      </c>
      <c r="H116" s="124">
        <f t="shared" si="10"/>
        <v>2741.8</v>
      </c>
      <c r="I116" s="125">
        <f t="shared" si="11"/>
        <v>3531.8</v>
      </c>
      <c r="J116" s="125"/>
      <c r="K116" s="122"/>
    </row>
    <row r="117" spans="1:11" s="34" customFormat="1" ht="30">
      <c r="A117" s="118" t="s">
        <v>1613</v>
      </c>
      <c r="B117" s="119" t="s">
        <v>651</v>
      </c>
      <c r="C117" s="120" t="s">
        <v>652</v>
      </c>
      <c r="D117" s="121" t="s">
        <v>10</v>
      </c>
      <c r="E117" s="122">
        <v>6</v>
      </c>
      <c r="F117" s="123">
        <f>TRUNC(DESONERADA!F708,2)</f>
        <v>436.77</v>
      </c>
      <c r="G117" s="124">
        <f t="shared" si="9"/>
        <v>562.64</v>
      </c>
      <c r="H117" s="124">
        <f t="shared" si="10"/>
        <v>2620.62</v>
      </c>
      <c r="I117" s="125">
        <f t="shared" si="11"/>
        <v>3375.84</v>
      </c>
      <c r="J117" s="125"/>
      <c r="K117" s="122"/>
    </row>
    <row r="118" spans="1:11" s="34" customFormat="1" ht="45">
      <c r="A118" s="118" t="s">
        <v>1614</v>
      </c>
      <c r="B118" s="119" t="s">
        <v>669</v>
      </c>
      <c r="C118" s="120" t="s">
        <v>670</v>
      </c>
      <c r="D118" s="121" t="s">
        <v>0</v>
      </c>
      <c r="E118" s="122">
        <v>2.16</v>
      </c>
      <c r="F118" s="123">
        <f>TRUNC(DESONERADA!F720,2)</f>
        <v>163.1</v>
      </c>
      <c r="G118" s="124">
        <f t="shared" si="9"/>
        <v>210.1</v>
      </c>
      <c r="H118" s="124">
        <f t="shared" si="10"/>
        <v>352.29</v>
      </c>
      <c r="I118" s="125">
        <f t="shared" si="11"/>
        <v>453.81</v>
      </c>
      <c r="J118" s="125"/>
      <c r="K118" s="122"/>
    </row>
    <row r="119" spans="1:11" s="34" customFormat="1" ht="30">
      <c r="A119" s="118" t="s">
        <v>1615</v>
      </c>
      <c r="B119" s="119" t="s">
        <v>1529</v>
      </c>
      <c r="C119" s="120" t="s">
        <v>1530</v>
      </c>
      <c r="D119" s="121" t="s">
        <v>10</v>
      </c>
      <c r="E119" s="122">
        <v>4</v>
      </c>
      <c r="F119" s="123">
        <f>TRUNC(DESONERADA!F729,2)</f>
        <v>234.71</v>
      </c>
      <c r="G119" s="124">
        <f t="shared" si="9"/>
        <v>302.35</v>
      </c>
      <c r="H119" s="124">
        <f t="shared" si="10"/>
        <v>938.84</v>
      </c>
      <c r="I119" s="125">
        <f t="shared" si="11"/>
        <v>1209.4</v>
      </c>
      <c r="J119" s="125"/>
      <c r="K119" s="122"/>
    </row>
    <row r="120" spans="1:11" s="34" customFormat="1" ht="30">
      <c r="A120" s="118" t="s">
        <v>1616</v>
      </c>
      <c r="B120" s="119" t="s">
        <v>1527</v>
      </c>
      <c r="C120" s="120" t="s">
        <v>1528</v>
      </c>
      <c r="D120" s="121" t="s">
        <v>10</v>
      </c>
      <c r="E120" s="122">
        <v>4</v>
      </c>
      <c r="F120" s="123">
        <f>TRUNC(DESONERADA!F739,2)</f>
        <v>313.61</v>
      </c>
      <c r="G120" s="124">
        <f t="shared" si="9"/>
        <v>403.99</v>
      </c>
      <c r="H120" s="124">
        <f t="shared" si="10"/>
        <v>1254.44</v>
      </c>
      <c r="I120" s="125">
        <f t="shared" si="11"/>
        <v>1615.96</v>
      </c>
      <c r="J120" s="125"/>
      <c r="K120" s="122"/>
    </row>
    <row r="121" spans="1:11" s="34" customFormat="1" ht="30">
      <c r="A121" s="118" t="s">
        <v>1617</v>
      </c>
      <c r="B121" s="119" t="s">
        <v>1533</v>
      </c>
      <c r="C121" s="120" t="s">
        <v>1538</v>
      </c>
      <c r="D121" s="121" t="s">
        <v>10</v>
      </c>
      <c r="E121" s="122">
        <v>1</v>
      </c>
      <c r="F121" s="123">
        <f>TRUNC(DESONERADA!F745,2)</f>
        <v>157.92</v>
      </c>
      <c r="G121" s="124">
        <f t="shared" si="9"/>
        <v>203.43</v>
      </c>
      <c r="H121" s="124">
        <f t="shared" si="10"/>
        <v>157.92</v>
      </c>
      <c r="I121" s="125">
        <f t="shared" si="11"/>
        <v>203.43</v>
      </c>
      <c r="J121" s="125"/>
      <c r="K121" s="122"/>
    </row>
    <row r="122" spans="1:11" s="34" customFormat="1" ht="30">
      <c r="A122" s="118" t="s">
        <v>1618</v>
      </c>
      <c r="B122" s="119" t="s">
        <v>679</v>
      </c>
      <c r="C122" s="120" t="s">
        <v>680</v>
      </c>
      <c r="D122" s="121" t="s">
        <v>10</v>
      </c>
      <c r="E122" s="122">
        <v>1</v>
      </c>
      <c r="F122" s="123">
        <f>TRUNC(DESONERADA!F752,2)</f>
        <v>358.92</v>
      </c>
      <c r="G122" s="124">
        <f t="shared" si="9"/>
        <v>462.36</v>
      </c>
      <c r="H122" s="124">
        <f t="shared" si="10"/>
        <v>358.92</v>
      </c>
      <c r="I122" s="125">
        <f t="shared" si="11"/>
        <v>462.36</v>
      </c>
      <c r="J122" s="125"/>
      <c r="K122" s="122"/>
    </row>
    <row r="123" spans="1:11" s="34" customFormat="1" ht="30">
      <c r="A123" s="118" t="s">
        <v>1619</v>
      </c>
      <c r="B123" s="119" t="s">
        <v>691</v>
      </c>
      <c r="C123" s="120" t="s">
        <v>692</v>
      </c>
      <c r="D123" s="121" t="s">
        <v>10</v>
      </c>
      <c r="E123" s="122">
        <v>2</v>
      </c>
      <c r="F123" s="123">
        <f>TRUNC(DESONERADA!F764,2)</f>
        <v>543.03</v>
      </c>
      <c r="G123" s="124">
        <f t="shared" si="9"/>
        <v>699.53</v>
      </c>
      <c r="H123" s="124">
        <f t="shared" si="10"/>
        <v>1086.06</v>
      </c>
      <c r="I123" s="125">
        <f t="shared" si="11"/>
        <v>1399.06</v>
      </c>
      <c r="J123" s="125"/>
      <c r="K123" s="122"/>
    </row>
    <row r="124" spans="1:11" s="34" customFormat="1" ht="45">
      <c r="A124" s="118" t="s">
        <v>1620</v>
      </c>
      <c r="B124" s="119" t="s">
        <v>968</v>
      </c>
      <c r="C124" s="120" t="s">
        <v>969</v>
      </c>
      <c r="D124" s="121" t="s">
        <v>2</v>
      </c>
      <c r="E124" s="122">
        <v>12</v>
      </c>
      <c r="F124" s="123">
        <f>TRUNC(DESONERADA!F770,2)</f>
        <v>101.74</v>
      </c>
      <c r="G124" s="124">
        <f aca="true" t="shared" si="12" ref="G124:G155">TRUNC(F124*1.2882,2)</f>
        <v>131.06</v>
      </c>
      <c r="H124" s="124">
        <f aca="true" t="shared" si="13" ref="H124:H155">TRUNC(F124*E124,2)</f>
        <v>1220.88</v>
      </c>
      <c r="I124" s="125">
        <f aca="true" t="shared" si="14" ref="I124:I155">TRUNC(E124*G124,2)</f>
        <v>1572.72</v>
      </c>
      <c r="J124" s="125"/>
      <c r="K124" s="122"/>
    </row>
    <row r="125" spans="1:11" s="34" customFormat="1" ht="30">
      <c r="A125" s="118" t="s">
        <v>1621</v>
      </c>
      <c r="B125" s="119" t="s">
        <v>695</v>
      </c>
      <c r="C125" s="120" t="s">
        <v>696</v>
      </c>
      <c r="D125" s="121" t="s">
        <v>10</v>
      </c>
      <c r="E125" s="122">
        <v>6</v>
      </c>
      <c r="F125" s="123">
        <f>TRUNC(DESONERADA!F777,2)</f>
        <v>27.5</v>
      </c>
      <c r="G125" s="124">
        <f t="shared" si="12"/>
        <v>35.42</v>
      </c>
      <c r="H125" s="124">
        <f t="shared" si="13"/>
        <v>165</v>
      </c>
      <c r="I125" s="125">
        <f t="shared" si="14"/>
        <v>212.52</v>
      </c>
      <c r="J125" s="125"/>
      <c r="K125" s="122"/>
    </row>
    <row r="126" spans="1:11" s="34" customFormat="1" ht="30">
      <c r="A126" s="118" t="s">
        <v>1622</v>
      </c>
      <c r="B126" s="119" t="s">
        <v>1539</v>
      </c>
      <c r="C126" s="120" t="s">
        <v>701</v>
      </c>
      <c r="D126" s="121" t="s">
        <v>10</v>
      </c>
      <c r="E126" s="122">
        <v>9</v>
      </c>
      <c r="F126" s="123">
        <f>TRUNC(DESONERADA!F787,2)</f>
        <v>68.43</v>
      </c>
      <c r="G126" s="124">
        <f t="shared" si="12"/>
        <v>88.15</v>
      </c>
      <c r="H126" s="124">
        <f t="shared" si="13"/>
        <v>615.87</v>
      </c>
      <c r="I126" s="125">
        <f t="shared" si="14"/>
        <v>793.35</v>
      </c>
      <c r="J126" s="125"/>
      <c r="K126" s="122"/>
    </row>
    <row r="127" spans="1:11" s="34" customFormat="1" ht="30">
      <c r="A127" s="118" t="s">
        <v>1623</v>
      </c>
      <c r="B127" s="119" t="s">
        <v>704</v>
      </c>
      <c r="C127" s="120" t="s">
        <v>705</v>
      </c>
      <c r="D127" s="121" t="s">
        <v>10</v>
      </c>
      <c r="E127" s="122">
        <v>4</v>
      </c>
      <c r="F127" s="123">
        <f>TRUNC(DESONERADA!F797,2)</f>
        <v>11.06</v>
      </c>
      <c r="G127" s="124">
        <f t="shared" si="12"/>
        <v>14.24</v>
      </c>
      <c r="H127" s="124">
        <f t="shared" si="13"/>
        <v>44.24</v>
      </c>
      <c r="I127" s="125">
        <f t="shared" si="14"/>
        <v>56.96</v>
      </c>
      <c r="J127" s="125"/>
      <c r="K127" s="122"/>
    </row>
    <row r="128" spans="1:11" s="34" customFormat="1" ht="30">
      <c r="A128" s="118" t="s">
        <v>1624</v>
      </c>
      <c r="B128" s="119" t="s">
        <v>708</v>
      </c>
      <c r="C128" s="120" t="s">
        <v>709</v>
      </c>
      <c r="D128" s="121" t="s">
        <v>2</v>
      </c>
      <c r="E128" s="122">
        <v>4</v>
      </c>
      <c r="F128" s="123">
        <f>TRUNC(DESONERADA!F805,2)</f>
        <v>12.17</v>
      </c>
      <c r="G128" s="124">
        <f t="shared" si="12"/>
        <v>15.67</v>
      </c>
      <c r="H128" s="124">
        <f t="shared" si="13"/>
        <v>48.68</v>
      </c>
      <c r="I128" s="125">
        <f t="shared" si="14"/>
        <v>62.68</v>
      </c>
      <c r="J128" s="125"/>
      <c r="K128" s="122"/>
    </row>
    <row r="129" spans="1:11" s="34" customFormat="1" ht="30">
      <c r="A129" s="118" t="s">
        <v>1625</v>
      </c>
      <c r="B129" s="119" t="s">
        <v>712</v>
      </c>
      <c r="C129" s="120" t="s">
        <v>713</v>
      </c>
      <c r="D129" s="121" t="s">
        <v>2</v>
      </c>
      <c r="E129" s="122">
        <v>6</v>
      </c>
      <c r="F129" s="123">
        <f>TRUNC(DESONERADA!F813,2)</f>
        <v>19.91</v>
      </c>
      <c r="G129" s="124">
        <f t="shared" si="12"/>
        <v>25.64</v>
      </c>
      <c r="H129" s="124">
        <f t="shared" si="13"/>
        <v>119.46</v>
      </c>
      <c r="I129" s="125">
        <f t="shared" si="14"/>
        <v>153.84</v>
      </c>
      <c r="J129" s="125"/>
      <c r="K129" s="122"/>
    </row>
    <row r="130" spans="1:11" s="34" customFormat="1" ht="60">
      <c r="A130" s="118" t="s">
        <v>1626</v>
      </c>
      <c r="B130" s="119" t="s">
        <v>976</v>
      </c>
      <c r="C130" s="120" t="s">
        <v>977</v>
      </c>
      <c r="D130" s="121" t="s">
        <v>2</v>
      </c>
      <c r="E130" s="122">
        <v>96</v>
      </c>
      <c r="F130" s="123">
        <f>TRUNC(DESONERADA!F821,2)</f>
        <v>57.6</v>
      </c>
      <c r="G130" s="124">
        <f t="shared" si="12"/>
        <v>74.2</v>
      </c>
      <c r="H130" s="124">
        <f t="shared" si="13"/>
        <v>5529.6</v>
      </c>
      <c r="I130" s="125">
        <f t="shared" si="14"/>
        <v>7123.2</v>
      </c>
      <c r="J130" s="125"/>
      <c r="K130" s="122"/>
    </row>
    <row r="131" spans="1:11" s="34" customFormat="1" ht="60">
      <c r="A131" s="118" t="s">
        <v>1627</v>
      </c>
      <c r="B131" s="119" t="s">
        <v>1000</v>
      </c>
      <c r="C131" s="120" t="s">
        <v>1001</v>
      </c>
      <c r="D131" s="121" t="s">
        <v>2</v>
      </c>
      <c r="E131" s="122">
        <v>102</v>
      </c>
      <c r="F131" s="123">
        <f>TRUNC(DESONERADA!F834,2)</f>
        <v>85.03</v>
      </c>
      <c r="G131" s="124">
        <f t="shared" si="12"/>
        <v>109.53</v>
      </c>
      <c r="H131" s="124">
        <f t="shared" si="13"/>
        <v>8673.06</v>
      </c>
      <c r="I131" s="125">
        <f t="shared" si="14"/>
        <v>11172.06</v>
      </c>
      <c r="J131" s="125"/>
      <c r="K131" s="122"/>
    </row>
    <row r="132" spans="1:11" s="34" customFormat="1" ht="60">
      <c r="A132" s="118" t="s">
        <v>1628</v>
      </c>
      <c r="B132" s="119" t="s">
        <v>1026</v>
      </c>
      <c r="C132" s="120" t="s">
        <v>1027</v>
      </c>
      <c r="D132" s="121" t="s">
        <v>2</v>
      </c>
      <c r="E132" s="122">
        <v>48</v>
      </c>
      <c r="F132" s="123">
        <f>TRUNC(DESONERADA!F848,2)</f>
        <v>39.96</v>
      </c>
      <c r="G132" s="124">
        <f t="shared" si="12"/>
        <v>51.47</v>
      </c>
      <c r="H132" s="124">
        <f t="shared" si="13"/>
        <v>1918.08</v>
      </c>
      <c r="I132" s="125">
        <f t="shared" si="14"/>
        <v>2470.56</v>
      </c>
      <c r="J132" s="125"/>
      <c r="K132" s="122"/>
    </row>
    <row r="133" spans="1:11" s="34" customFormat="1" ht="60">
      <c r="A133" s="118" t="s">
        <v>1629</v>
      </c>
      <c r="B133" s="119" t="s">
        <v>1063</v>
      </c>
      <c r="C133" s="120" t="s">
        <v>1064</v>
      </c>
      <c r="D133" s="121" t="s">
        <v>2</v>
      </c>
      <c r="E133" s="122">
        <v>192</v>
      </c>
      <c r="F133" s="123">
        <f>TRUNC(DESONERADA!F866,2)</f>
        <v>67.2</v>
      </c>
      <c r="G133" s="124">
        <f t="shared" si="12"/>
        <v>86.56</v>
      </c>
      <c r="H133" s="124">
        <f t="shared" si="13"/>
        <v>12902.4</v>
      </c>
      <c r="I133" s="125">
        <f t="shared" si="14"/>
        <v>16619.52</v>
      </c>
      <c r="J133" s="125"/>
      <c r="K133" s="122"/>
    </row>
    <row r="134" spans="1:11" s="34" customFormat="1" ht="45">
      <c r="A134" s="118" t="s">
        <v>1630</v>
      </c>
      <c r="B134" s="119" t="s">
        <v>1051</v>
      </c>
      <c r="C134" s="120" t="s">
        <v>1052</v>
      </c>
      <c r="D134" s="121" t="s">
        <v>2</v>
      </c>
      <c r="E134" s="122">
        <v>12</v>
      </c>
      <c r="F134" s="123">
        <f>TRUNC(DESONERADA!F887,2)</f>
        <v>72.9</v>
      </c>
      <c r="G134" s="124">
        <f t="shared" si="12"/>
        <v>93.9</v>
      </c>
      <c r="H134" s="124">
        <f t="shared" si="13"/>
        <v>874.8</v>
      </c>
      <c r="I134" s="125">
        <f t="shared" si="14"/>
        <v>1126.8</v>
      </c>
      <c r="J134" s="125"/>
      <c r="K134" s="122"/>
    </row>
    <row r="135" spans="1:11" s="34" customFormat="1" ht="30">
      <c r="A135" s="118" t="s">
        <v>1631</v>
      </c>
      <c r="B135" s="119" t="s">
        <v>695</v>
      </c>
      <c r="C135" s="120" t="s">
        <v>696</v>
      </c>
      <c r="D135" s="121" t="s">
        <v>10</v>
      </c>
      <c r="E135" s="122">
        <v>1</v>
      </c>
      <c r="F135" s="123">
        <f>TRUNC(DESONERADA!F894,2)</f>
        <v>27.5</v>
      </c>
      <c r="G135" s="124">
        <f t="shared" si="12"/>
        <v>35.42</v>
      </c>
      <c r="H135" s="124">
        <f t="shared" si="13"/>
        <v>27.5</v>
      </c>
      <c r="I135" s="125">
        <f t="shared" si="14"/>
        <v>35.42</v>
      </c>
      <c r="J135" s="125"/>
      <c r="K135" s="122"/>
    </row>
    <row r="136" spans="1:11" s="34" customFormat="1" ht="30">
      <c r="A136" s="118" t="s">
        <v>1632</v>
      </c>
      <c r="B136" s="119" t="s">
        <v>1572</v>
      </c>
      <c r="C136" s="120" t="s">
        <v>1573</v>
      </c>
      <c r="D136" s="121" t="s">
        <v>10</v>
      </c>
      <c r="E136" s="122">
        <v>1</v>
      </c>
      <c r="F136" s="123">
        <f>TRUNC(DESONERADA!F904,2)</f>
        <v>570</v>
      </c>
      <c r="G136" s="124">
        <f t="shared" si="12"/>
        <v>734.27</v>
      </c>
      <c r="H136" s="124">
        <f t="shared" si="13"/>
        <v>570</v>
      </c>
      <c r="I136" s="125">
        <f t="shared" si="14"/>
        <v>734.27</v>
      </c>
      <c r="J136" s="125"/>
      <c r="K136" s="122"/>
    </row>
    <row r="137" spans="1:11" s="34" customFormat="1" ht="45">
      <c r="A137" s="118" t="s">
        <v>1633</v>
      </c>
      <c r="B137" s="119" t="s">
        <v>1542</v>
      </c>
      <c r="C137" s="120" t="s">
        <v>1543</v>
      </c>
      <c r="D137" s="121" t="s">
        <v>10</v>
      </c>
      <c r="E137" s="122">
        <v>7</v>
      </c>
      <c r="F137" s="123">
        <f>TRUNC(DESONERADA!F910,2)</f>
        <v>1020.13</v>
      </c>
      <c r="G137" s="124">
        <f t="shared" si="12"/>
        <v>1314.13</v>
      </c>
      <c r="H137" s="124">
        <f t="shared" si="13"/>
        <v>7140.91</v>
      </c>
      <c r="I137" s="125">
        <f t="shared" si="14"/>
        <v>9198.91</v>
      </c>
      <c r="J137" s="125"/>
      <c r="K137" s="122"/>
    </row>
    <row r="138" spans="1:11" s="34" customFormat="1" ht="75">
      <c r="A138" s="118" t="s">
        <v>1634</v>
      </c>
      <c r="B138" s="119" t="s">
        <v>1548</v>
      </c>
      <c r="C138" s="120" t="s">
        <v>1549</v>
      </c>
      <c r="D138" s="121" t="s">
        <v>10</v>
      </c>
      <c r="E138" s="122">
        <v>2</v>
      </c>
      <c r="F138" s="123">
        <f>TRUNC(DESONERADA!F922,2)</f>
        <v>2179.55</v>
      </c>
      <c r="G138" s="124">
        <f t="shared" si="12"/>
        <v>2807.69</v>
      </c>
      <c r="H138" s="124">
        <f t="shared" si="13"/>
        <v>4359.1</v>
      </c>
      <c r="I138" s="125">
        <f t="shared" si="14"/>
        <v>5615.38</v>
      </c>
      <c r="J138" s="125"/>
      <c r="K138" s="122"/>
    </row>
    <row r="139" spans="1:11" s="34" customFormat="1" ht="60">
      <c r="A139" s="118" t="s">
        <v>1635</v>
      </c>
      <c r="B139" s="119" t="s">
        <v>1584</v>
      </c>
      <c r="C139" s="120" t="s">
        <v>1585</v>
      </c>
      <c r="D139" s="121" t="s">
        <v>0</v>
      </c>
      <c r="E139" s="122">
        <v>7.84</v>
      </c>
      <c r="F139" s="123">
        <f>TRUNC(DESONERADA!F937,2)</f>
        <v>116.97</v>
      </c>
      <c r="G139" s="124">
        <f t="shared" si="12"/>
        <v>150.68</v>
      </c>
      <c r="H139" s="124">
        <f t="shared" si="13"/>
        <v>917.04</v>
      </c>
      <c r="I139" s="125">
        <f t="shared" si="14"/>
        <v>1181.33</v>
      </c>
      <c r="J139" s="125"/>
      <c r="K139" s="122"/>
    </row>
    <row r="140" spans="1:11" s="34" customFormat="1" ht="74.25">
      <c r="A140" s="118" t="s">
        <v>1636</v>
      </c>
      <c r="B140" s="119" t="s">
        <v>1578</v>
      </c>
      <c r="C140" s="120" t="s">
        <v>1583</v>
      </c>
      <c r="D140" s="121" t="s">
        <v>0</v>
      </c>
      <c r="E140" s="122">
        <v>5.76</v>
      </c>
      <c r="F140" s="123">
        <f>TRUNC(DESONERADA!F944,2)</f>
        <v>124</v>
      </c>
      <c r="G140" s="124">
        <f t="shared" si="12"/>
        <v>159.73</v>
      </c>
      <c r="H140" s="124">
        <f t="shared" si="13"/>
        <v>714.24</v>
      </c>
      <c r="I140" s="125">
        <f t="shared" si="14"/>
        <v>920.04</v>
      </c>
      <c r="J140" s="125"/>
      <c r="K140" s="122"/>
    </row>
    <row r="141" spans="1:11" s="34" customFormat="1" ht="74.25">
      <c r="A141" s="118" t="s">
        <v>1637</v>
      </c>
      <c r="B141" s="119" t="s">
        <v>1578</v>
      </c>
      <c r="C141" s="120" t="s">
        <v>1586</v>
      </c>
      <c r="D141" s="121" t="s">
        <v>0</v>
      </c>
      <c r="E141" s="122">
        <v>5.29</v>
      </c>
      <c r="F141" s="123">
        <f>TRUNC(DESONERADA!F951,2)</f>
        <v>124</v>
      </c>
      <c r="G141" s="124">
        <f t="shared" si="12"/>
        <v>159.73</v>
      </c>
      <c r="H141" s="124">
        <f t="shared" si="13"/>
        <v>655.96</v>
      </c>
      <c r="I141" s="125">
        <f t="shared" si="14"/>
        <v>844.97</v>
      </c>
      <c r="J141" s="125"/>
      <c r="K141" s="122"/>
    </row>
    <row r="142" spans="1:11" s="34" customFormat="1" ht="74.25">
      <c r="A142" s="118" t="s">
        <v>1638</v>
      </c>
      <c r="B142" s="119" t="s">
        <v>1578</v>
      </c>
      <c r="C142" s="120" t="s">
        <v>1587</v>
      </c>
      <c r="D142" s="121" t="s">
        <v>0</v>
      </c>
      <c r="E142" s="122">
        <v>5.29</v>
      </c>
      <c r="F142" s="123">
        <f>TRUNC(DESONERADA!F958,2)</f>
        <v>124</v>
      </c>
      <c r="G142" s="124">
        <f t="shared" si="12"/>
        <v>159.73</v>
      </c>
      <c r="H142" s="124">
        <f t="shared" si="13"/>
        <v>655.96</v>
      </c>
      <c r="I142" s="125">
        <f t="shared" si="14"/>
        <v>844.97</v>
      </c>
      <c r="J142" s="125"/>
      <c r="K142" s="122"/>
    </row>
    <row r="143" spans="1:11" s="34" customFormat="1" ht="45">
      <c r="A143" s="118" t="s">
        <v>1639</v>
      </c>
      <c r="B143" s="119" t="s">
        <v>669</v>
      </c>
      <c r="C143" s="120" t="s">
        <v>670</v>
      </c>
      <c r="D143" s="121" t="s">
        <v>0</v>
      </c>
      <c r="E143" s="122">
        <f>E142+E141+E140+E139</f>
        <v>24.18</v>
      </c>
      <c r="F143" s="123">
        <f>TRUNC(DESONERADA!F965,2)</f>
        <v>163.14</v>
      </c>
      <c r="G143" s="124">
        <f t="shared" si="12"/>
        <v>210.15</v>
      </c>
      <c r="H143" s="124">
        <f t="shared" si="13"/>
        <v>3944.72</v>
      </c>
      <c r="I143" s="125">
        <f t="shared" si="14"/>
        <v>5081.42</v>
      </c>
      <c r="J143" s="125"/>
      <c r="K143" s="122"/>
    </row>
    <row r="144" spans="1:11" s="34" customFormat="1" ht="45">
      <c r="A144" s="118" t="s">
        <v>1640</v>
      </c>
      <c r="B144" s="119" t="s">
        <v>1108</v>
      </c>
      <c r="C144" s="120" t="s">
        <v>1105</v>
      </c>
      <c r="D144" s="121" t="s">
        <v>10</v>
      </c>
      <c r="E144" s="122">
        <v>2</v>
      </c>
      <c r="F144" s="123">
        <f>TRUNC(DESONERADA!F974,2)</f>
        <v>450.81</v>
      </c>
      <c r="G144" s="124">
        <f t="shared" si="12"/>
        <v>580.73</v>
      </c>
      <c r="H144" s="124">
        <f t="shared" si="13"/>
        <v>901.62</v>
      </c>
      <c r="I144" s="125">
        <f t="shared" si="14"/>
        <v>1161.46</v>
      </c>
      <c r="J144" s="125"/>
      <c r="K144" s="122"/>
    </row>
    <row r="145" spans="1:11" s="34" customFormat="1" ht="60">
      <c r="A145" s="118" t="s">
        <v>1641</v>
      </c>
      <c r="B145" s="119" t="s">
        <v>1103</v>
      </c>
      <c r="C145" s="120" t="s">
        <v>1104</v>
      </c>
      <c r="D145" s="121" t="s">
        <v>10</v>
      </c>
      <c r="E145" s="122">
        <v>9</v>
      </c>
      <c r="F145" s="123">
        <f>TRUNC(DESONERADA!F980,2)</f>
        <v>297.1</v>
      </c>
      <c r="G145" s="124">
        <f t="shared" si="12"/>
        <v>382.72</v>
      </c>
      <c r="H145" s="124">
        <f t="shared" si="13"/>
        <v>2673.9</v>
      </c>
      <c r="I145" s="125">
        <f t="shared" si="14"/>
        <v>3444.48</v>
      </c>
      <c r="J145" s="125"/>
      <c r="K145" s="122"/>
    </row>
    <row r="146" spans="1:11" s="34" customFormat="1" ht="60">
      <c r="A146" s="118" t="s">
        <v>1642</v>
      </c>
      <c r="B146" s="119" t="s">
        <v>726</v>
      </c>
      <c r="C146" s="120" t="s">
        <v>727</v>
      </c>
      <c r="D146" s="121" t="s">
        <v>10</v>
      </c>
      <c r="E146" s="122">
        <v>3</v>
      </c>
      <c r="F146" s="123">
        <f>TRUNC(DESONERADA!F987,2)</f>
        <v>274.17</v>
      </c>
      <c r="G146" s="124">
        <f t="shared" si="12"/>
        <v>353.18</v>
      </c>
      <c r="H146" s="124">
        <f t="shared" si="13"/>
        <v>822.51</v>
      </c>
      <c r="I146" s="125">
        <f t="shared" si="14"/>
        <v>1059.54</v>
      </c>
      <c r="J146" s="125"/>
      <c r="K146" s="122"/>
    </row>
    <row r="147" spans="1:11" s="34" customFormat="1" ht="30">
      <c r="A147" s="118" t="s">
        <v>1643</v>
      </c>
      <c r="B147" s="119" t="s">
        <v>464</v>
      </c>
      <c r="C147" s="120" t="s">
        <v>465</v>
      </c>
      <c r="D147" s="121" t="s">
        <v>10</v>
      </c>
      <c r="E147" s="122">
        <v>11</v>
      </c>
      <c r="F147" s="123">
        <f>TRUNC(DESONERADA!F994,2)</f>
        <v>274.83</v>
      </c>
      <c r="G147" s="124">
        <f t="shared" si="12"/>
        <v>354.03</v>
      </c>
      <c r="H147" s="124">
        <f t="shared" si="13"/>
        <v>3023.13</v>
      </c>
      <c r="I147" s="125">
        <f t="shared" si="14"/>
        <v>3894.33</v>
      </c>
      <c r="J147" s="125"/>
      <c r="K147" s="122"/>
    </row>
    <row r="148" spans="1:11" s="34" customFormat="1" ht="30">
      <c r="A148" s="118" t="s">
        <v>1644</v>
      </c>
      <c r="B148" s="119" t="s">
        <v>1550</v>
      </c>
      <c r="C148" s="120" t="s">
        <v>1551</v>
      </c>
      <c r="D148" s="121" t="s">
        <v>10</v>
      </c>
      <c r="E148" s="122">
        <v>14</v>
      </c>
      <c r="F148" s="123">
        <f>TRUNC(DESONERADA!F1000,2)</f>
        <v>33.54</v>
      </c>
      <c r="G148" s="124">
        <f t="shared" si="12"/>
        <v>43.2</v>
      </c>
      <c r="H148" s="124">
        <f t="shared" si="13"/>
        <v>469.56</v>
      </c>
      <c r="I148" s="125">
        <f t="shared" si="14"/>
        <v>604.8</v>
      </c>
      <c r="J148" s="125"/>
      <c r="K148" s="122"/>
    </row>
    <row r="149" spans="1:11" s="34" customFormat="1" ht="45">
      <c r="A149" s="118" t="s">
        <v>1645</v>
      </c>
      <c r="B149" s="119" t="s">
        <v>2225</v>
      </c>
      <c r="C149" s="120" t="s">
        <v>1110</v>
      </c>
      <c r="D149" s="121" t="s">
        <v>10</v>
      </c>
      <c r="E149" s="122">
        <v>3</v>
      </c>
      <c r="F149" s="123">
        <f>TRUNC(DESONERADA!F1004,2)</f>
        <v>45.22</v>
      </c>
      <c r="G149" s="124">
        <f t="shared" si="12"/>
        <v>58.25</v>
      </c>
      <c r="H149" s="124">
        <f t="shared" si="13"/>
        <v>135.66</v>
      </c>
      <c r="I149" s="125">
        <f t="shared" si="14"/>
        <v>174.75</v>
      </c>
      <c r="J149" s="125"/>
      <c r="K149" s="122"/>
    </row>
    <row r="150" spans="1:11" s="34" customFormat="1" ht="30">
      <c r="A150" s="118" t="s">
        <v>1646</v>
      </c>
      <c r="B150" s="119" t="s">
        <v>1113</v>
      </c>
      <c r="C150" s="120" t="s">
        <v>1114</v>
      </c>
      <c r="D150" s="121" t="s">
        <v>10</v>
      </c>
      <c r="E150" s="122">
        <v>4</v>
      </c>
      <c r="F150" s="123">
        <f>TRUNC(DESONERADA!F1007,2)</f>
        <v>153.61</v>
      </c>
      <c r="G150" s="124">
        <f t="shared" si="12"/>
        <v>197.88</v>
      </c>
      <c r="H150" s="124">
        <f t="shared" si="13"/>
        <v>614.44</v>
      </c>
      <c r="I150" s="125">
        <f t="shared" si="14"/>
        <v>791.52</v>
      </c>
      <c r="J150" s="125"/>
      <c r="K150" s="122"/>
    </row>
    <row r="151" spans="1:11" s="34" customFormat="1" ht="45">
      <c r="A151" s="118" t="s">
        <v>1647</v>
      </c>
      <c r="B151" s="119" t="s">
        <v>1129</v>
      </c>
      <c r="C151" s="120" t="s">
        <v>1130</v>
      </c>
      <c r="D151" s="121" t="s">
        <v>10</v>
      </c>
      <c r="E151" s="122">
        <v>17</v>
      </c>
      <c r="F151" s="123">
        <f>TRUNC(DESONERADA!F1014,2)</f>
        <v>187.19</v>
      </c>
      <c r="G151" s="124">
        <f t="shared" si="12"/>
        <v>241.13</v>
      </c>
      <c r="H151" s="124">
        <f t="shared" si="13"/>
        <v>3182.23</v>
      </c>
      <c r="I151" s="125">
        <f t="shared" si="14"/>
        <v>4099.21</v>
      </c>
      <c r="J151" s="125"/>
      <c r="K151" s="122"/>
    </row>
    <row r="152" spans="1:11" s="34" customFormat="1" ht="47.25" customHeight="1">
      <c r="A152" s="118" t="s">
        <v>1648</v>
      </c>
      <c r="B152" s="119" t="s">
        <v>737</v>
      </c>
      <c r="C152" s="120" t="s">
        <v>738</v>
      </c>
      <c r="D152" s="121" t="s">
        <v>10</v>
      </c>
      <c r="E152" s="122">
        <v>21</v>
      </c>
      <c r="F152" s="123">
        <f>TRUNC(DESONERADA!F1019,2)</f>
        <v>45.13</v>
      </c>
      <c r="G152" s="124">
        <f t="shared" si="12"/>
        <v>58.13</v>
      </c>
      <c r="H152" s="124">
        <f t="shared" si="13"/>
        <v>947.73</v>
      </c>
      <c r="I152" s="125">
        <f t="shared" si="14"/>
        <v>1220.73</v>
      </c>
      <c r="J152" s="125"/>
      <c r="K152" s="122"/>
    </row>
    <row r="153" spans="1:11" s="34" customFormat="1" ht="47.25" customHeight="1">
      <c r="A153" s="118" t="s">
        <v>1649</v>
      </c>
      <c r="B153" s="119" t="s">
        <v>741</v>
      </c>
      <c r="C153" s="120" t="s">
        <v>742</v>
      </c>
      <c r="D153" s="121" t="s">
        <v>10</v>
      </c>
      <c r="E153" s="122">
        <v>5</v>
      </c>
      <c r="F153" s="123">
        <f>TRUNC(DESONERADA!F1025,2)</f>
        <v>45.76</v>
      </c>
      <c r="G153" s="124">
        <f t="shared" si="12"/>
        <v>58.94</v>
      </c>
      <c r="H153" s="124">
        <f t="shared" si="13"/>
        <v>228.8</v>
      </c>
      <c r="I153" s="125">
        <f t="shared" si="14"/>
        <v>294.7</v>
      </c>
      <c r="J153" s="125"/>
      <c r="K153" s="122"/>
    </row>
    <row r="154" spans="1:11" s="34" customFormat="1" ht="60">
      <c r="A154" s="118" t="s">
        <v>1650</v>
      </c>
      <c r="B154" s="119" t="s">
        <v>745</v>
      </c>
      <c r="C154" s="120" t="s">
        <v>746</v>
      </c>
      <c r="D154" s="121" t="s">
        <v>10</v>
      </c>
      <c r="E154" s="122">
        <v>6</v>
      </c>
      <c r="F154" s="123">
        <f>TRUNC(DESONERADA!F1030,2)</f>
        <v>104.6</v>
      </c>
      <c r="G154" s="124">
        <f t="shared" si="12"/>
        <v>134.74</v>
      </c>
      <c r="H154" s="124">
        <f t="shared" si="13"/>
        <v>627.6</v>
      </c>
      <c r="I154" s="125">
        <f t="shared" si="14"/>
        <v>808.44</v>
      </c>
      <c r="J154" s="125"/>
      <c r="K154" s="122"/>
    </row>
    <row r="155" spans="1:11" s="34" customFormat="1" ht="30">
      <c r="A155" s="118" t="s">
        <v>1651</v>
      </c>
      <c r="B155" s="119" t="s">
        <v>1133</v>
      </c>
      <c r="C155" s="120" t="s">
        <v>1134</v>
      </c>
      <c r="D155" s="121" t="s">
        <v>10</v>
      </c>
      <c r="E155" s="122">
        <v>20</v>
      </c>
      <c r="F155" s="123">
        <f>TRUNC(DESONERADA!F1035,2)</f>
        <v>49.26</v>
      </c>
      <c r="G155" s="124">
        <f t="shared" si="12"/>
        <v>63.45</v>
      </c>
      <c r="H155" s="124">
        <f t="shared" si="13"/>
        <v>985.2</v>
      </c>
      <c r="I155" s="125">
        <f t="shared" si="14"/>
        <v>1269</v>
      </c>
      <c r="J155" s="125"/>
      <c r="K155" s="122"/>
    </row>
    <row r="156" spans="1:11" s="34" customFormat="1" ht="45">
      <c r="A156" s="118" t="s">
        <v>1652</v>
      </c>
      <c r="B156" s="119" t="s">
        <v>2246</v>
      </c>
      <c r="C156" s="120" t="s">
        <v>1137</v>
      </c>
      <c r="D156" s="121" t="s">
        <v>10</v>
      </c>
      <c r="E156" s="122">
        <v>2</v>
      </c>
      <c r="F156" s="123">
        <f>TRUNC(DESONERADA!F1040,2)</f>
        <v>205.14</v>
      </c>
      <c r="G156" s="124">
        <f aca="true" t="shared" si="15" ref="G156:G171">TRUNC(F156*1.2882,2)</f>
        <v>264.26</v>
      </c>
      <c r="H156" s="124">
        <f aca="true" t="shared" si="16" ref="H156:H171">TRUNC(F156*E156,2)</f>
        <v>410.28</v>
      </c>
      <c r="I156" s="125">
        <f aca="true" t="shared" si="17" ref="I156:I171">TRUNC(E156*G156,2)</f>
        <v>528.52</v>
      </c>
      <c r="J156" s="125" t="s">
        <v>2245</v>
      </c>
      <c r="K156" s="122"/>
    </row>
    <row r="157" spans="1:11" s="34" customFormat="1" ht="30">
      <c r="A157" s="118" t="s">
        <v>1653</v>
      </c>
      <c r="B157" s="119" t="s">
        <v>1144</v>
      </c>
      <c r="C157" s="120" t="s">
        <v>1145</v>
      </c>
      <c r="D157" s="121" t="s">
        <v>10</v>
      </c>
      <c r="E157" s="122">
        <v>8</v>
      </c>
      <c r="F157" s="123">
        <f>TRUNC(DESONERADA!F1058,2)</f>
        <v>97.13</v>
      </c>
      <c r="G157" s="124">
        <f t="shared" si="15"/>
        <v>125.12</v>
      </c>
      <c r="H157" s="124">
        <f t="shared" si="16"/>
        <v>777.04</v>
      </c>
      <c r="I157" s="125">
        <f t="shared" si="17"/>
        <v>1000.96</v>
      </c>
      <c r="J157" s="125"/>
      <c r="K157" s="122"/>
    </row>
    <row r="158" spans="1:11" s="34" customFormat="1" ht="60">
      <c r="A158" s="118" t="s">
        <v>1654</v>
      </c>
      <c r="B158" s="119" t="s">
        <v>1151</v>
      </c>
      <c r="C158" s="120" t="s">
        <v>1152</v>
      </c>
      <c r="D158" s="121" t="s">
        <v>10</v>
      </c>
      <c r="E158" s="122">
        <v>2</v>
      </c>
      <c r="F158" s="123">
        <f>TRUNC(DESONERADA!F1068,2)</f>
        <v>129.85</v>
      </c>
      <c r="G158" s="124">
        <f t="shared" si="15"/>
        <v>167.27</v>
      </c>
      <c r="H158" s="124">
        <f t="shared" si="16"/>
        <v>259.7</v>
      </c>
      <c r="I158" s="125">
        <f t="shared" si="17"/>
        <v>334.54</v>
      </c>
      <c r="J158" s="125"/>
      <c r="K158" s="122"/>
    </row>
    <row r="159" spans="1:11" s="34" customFormat="1" ht="30">
      <c r="A159" s="118" t="s">
        <v>1655</v>
      </c>
      <c r="B159" s="119" t="s">
        <v>737</v>
      </c>
      <c r="C159" s="120" t="s">
        <v>738</v>
      </c>
      <c r="D159" s="121" t="s">
        <v>10</v>
      </c>
      <c r="E159" s="122">
        <v>9</v>
      </c>
      <c r="F159" s="123">
        <f>TRUNC(DESONERADA!F1076,2)</f>
        <v>45.13</v>
      </c>
      <c r="G159" s="124">
        <f t="shared" si="15"/>
        <v>58.13</v>
      </c>
      <c r="H159" s="124">
        <f t="shared" si="16"/>
        <v>406.17</v>
      </c>
      <c r="I159" s="125">
        <f t="shared" si="17"/>
        <v>523.17</v>
      </c>
      <c r="J159" s="125"/>
      <c r="K159" s="122"/>
    </row>
    <row r="160" spans="1:11" s="34" customFormat="1" ht="45">
      <c r="A160" s="118" t="s">
        <v>1656</v>
      </c>
      <c r="B160" s="119" t="s">
        <v>749</v>
      </c>
      <c r="C160" s="120" t="s">
        <v>750</v>
      </c>
      <c r="D160" s="121" t="s">
        <v>10</v>
      </c>
      <c r="E160" s="122">
        <v>2</v>
      </c>
      <c r="F160" s="123">
        <f>TRUNC(DESONERADA!F1082,2)</f>
        <v>828.06</v>
      </c>
      <c r="G160" s="124">
        <f t="shared" si="15"/>
        <v>1066.7</v>
      </c>
      <c r="H160" s="124">
        <f t="shared" si="16"/>
        <v>1656.12</v>
      </c>
      <c r="I160" s="125">
        <f t="shared" si="17"/>
        <v>2133.4</v>
      </c>
      <c r="J160" s="125"/>
      <c r="K160" s="122"/>
    </row>
    <row r="161" spans="1:11" s="34" customFormat="1" ht="30">
      <c r="A161" s="118" t="s">
        <v>1657</v>
      </c>
      <c r="B161" s="119" t="s">
        <v>758</v>
      </c>
      <c r="C161" s="120" t="s">
        <v>759</v>
      </c>
      <c r="D161" s="121" t="s">
        <v>10</v>
      </c>
      <c r="E161" s="122">
        <v>3</v>
      </c>
      <c r="F161" s="123">
        <f>TRUNC(DESONERADA!F1088,2)</f>
        <v>84.54</v>
      </c>
      <c r="G161" s="124">
        <f t="shared" si="15"/>
        <v>108.9</v>
      </c>
      <c r="H161" s="124">
        <f t="shared" si="16"/>
        <v>253.62</v>
      </c>
      <c r="I161" s="125">
        <f t="shared" si="17"/>
        <v>326.7</v>
      </c>
      <c r="J161" s="125"/>
      <c r="K161" s="122"/>
    </row>
    <row r="162" spans="1:11" s="34" customFormat="1" ht="15">
      <c r="A162" s="118" t="s">
        <v>1658</v>
      </c>
      <c r="B162" s="119" t="s">
        <v>762</v>
      </c>
      <c r="C162" s="120" t="s">
        <v>763</v>
      </c>
      <c r="D162" s="121" t="s">
        <v>10</v>
      </c>
      <c r="E162" s="122">
        <v>11</v>
      </c>
      <c r="F162" s="123">
        <f>TRUNC(DESONERADA!F1094,2)</f>
        <v>34.74</v>
      </c>
      <c r="G162" s="124">
        <f t="shared" si="15"/>
        <v>44.75</v>
      </c>
      <c r="H162" s="124">
        <f t="shared" si="16"/>
        <v>382.14</v>
      </c>
      <c r="I162" s="125">
        <f t="shared" si="17"/>
        <v>492.25</v>
      </c>
      <c r="J162" s="125"/>
      <c r="K162" s="122"/>
    </row>
    <row r="163" spans="1:11" s="34" customFormat="1" ht="60">
      <c r="A163" s="118" t="s">
        <v>1659</v>
      </c>
      <c r="B163" s="119" t="s">
        <v>2260</v>
      </c>
      <c r="C163" s="120" t="s">
        <v>766</v>
      </c>
      <c r="D163" s="121" t="s">
        <v>10</v>
      </c>
      <c r="E163" s="122">
        <v>2</v>
      </c>
      <c r="F163" s="123">
        <f>TRUNC(DESONERADA!F1100,2)</f>
        <v>652.54</v>
      </c>
      <c r="G163" s="124">
        <f t="shared" si="15"/>
        <v>840.6</v>
      </c>
      <c r="H163" s="124">
        <f t="shared" si="16"/>
        <v>1305.08</v>
      </c>
      <c r="I163" s="125">
        <f t="shared" si="17"/>
        <v>1681.2</v>
      </c>
      <c r="J163" s="125"/>
      <c r="K163" s="122"/>
    </row>
    <row r="164" spans="1:11" s="34" customFormat="1" ht="30">
      <c r="A164" s="118" t="s">
        <v>1660</v>
      </c>
      <c r="B164" s="119" t="s">
        <v>773</v>
      </c>
      <c r="C164" s="120" t="s">
        <v>774</v>
      </c>
      <c r="D164" s="121" t="s">
        <v>10</v>
      </c>
      <c r="E164" s="122">
        <v>11</v>
      </c>
      <c r="F164" s="123">
        <f>TRUNC(DESONERADA!F1107,2)</f>
        <v>191.95</v>
      </c>
      <c r="G164" s="124">
        <f t="shared" si="15"/>
        <v>247.26</v>
      </c>
      <c r="H164" s="124">
        <f t="shared" si="16"/>
        <v>2111.45</v>
      </c>
      <c r="I164" s="125">
        <f t="shared" si="17"/>
        <v>2719.86</v>
      </c>
      <c r="J164" s="125"/>
      <c r="K164" s="122"/>
    </row>
    <row r="165" spans="1:11" s="34" customFormat="1" ht="60">
      <c r="A165" s="118" t="s">
        <v>1661</v>
      </c>
      <c r="B165" s="119" t="s">
        <v>782</v>
      </c>
      <c r="C165" s="120" t="s">
        <v>783</v>
      </c>
      <c r="D165" s="121" t="s">
        <v>2</v>
      </c>
      <c r="E165" s="122">
        <v>54.68</v>
      </c>
      <c r="F165" s="123">
        <f>TRUNC(DESONERADA!F1113,2)</f>
        <v>255.77</v>
      </c>
      <c r="G165" s="124">
        <f t="shared" si="15"/>
        <v>329.48</v>
      </c>
      <c r="H165" s="124">
        <f t="shared" si="16"/>
        <v>13985.5</v>
      </c>
      <c r="I165" s="125">
        <f t="shared" si="17"/>
        <v>18015.96</v>
      </c>
      <c r="J165" s="125"/>
      <c r="K165" s="122"/>
    </row>
    <row r="166" spans="1:11" s="34" customFormat="1" ht="45">
      <c r="A166" s="118" t="s">
        <v>1662</v>
      </c>
      <c r="B166" s="119" t="s">
        <v>788</v>
      </c>
      <c r="C166" s="120" t="s">
        <v>789</v>
      </c>
      <c r="D166" s="121" t="s">
        <v>2</v>
      </c>
      <c r="E166" s="122">
        <v>37</v>
      </c>
      <c r="F166" s="123">
        <f>TRUNC(DESONERADA!F1120,2)</f>
        <v>93.2</v>
      </c>
      <c r="G166" s="124">
        <f t="shared" si="15"/>
        <v>120.06</v>
      </c>
      <c r="H166" s="124">
        <f t="shared" si="16"/>
        <v>3448.4</v>
      </c>
      <c r="I166" s="125">
        <f t="shared" si="17"/>
        <v>4442.22</v>
      </c>
      <c r="J166" s="125"/>
      <c r="K166" s="122"/>
    </row>
    <row r="167" spans="1:11" s="34" customFormat="1" ht="60">
      <c r="A167" s="118" t="s">
        <v>1663</v>
      </c>
      <c r="B167" s="119" t="s">
        <v>782</v>
      </c>
      <c r="C167" s="120" t="s">
        <v>783</v>
      </c>
      <c r="D167" s="121" t="s">
        <v>2</v>
      </c>
      <c r="E167" s="122">
        <v>4.5</v>
      </c>
      <c r="F167" s="123">
        <f>TRUNC(DESONERADA!F1126,2)</f>
        <v>255.77</v>
      </c>
      <c r="G167" s="124">
        <f t="shared" si="15"/>
        <v>329.48</v>
      </c>
      <c r="H167" s="124">
        <f t="shared" si="16"/>
        <v>1150.96</v>
      </c>
      <c r="I167" s="125">
        <f t="shared" si="17"/>
        <v>1482.66</v>
      </c>
      <c r="J167" s="125"/>
      <c r="K167" s="122"/>
    </row>
    <row r="168" spans="1:11" s="34" customFormat="1" ht="30">
      <c r="A168" s="118" t="s">
        <v>2479</v>
      </c>
      <c r="B168" s="119" t="s">
        <v>704</v>
      </c>
      <c r="C168" s="120" t="s">
        <v>705</v>
      </c>
      <c r="D168" s="121" t="s">
        <v>10</v>
      </c>
      <c r="E168" s="122">
        <v>1</v>
      </c>
      <c r="F168" s="123">
        <f>TRUNC(DESONERADA!F1133,2)</f>
        <v>11.06</v>
      </c>
      <c r="G168" s="124">
        <f t="shared" si="15"/>
        <v>14.24</v>
      </c>
      <c r="H168" s="124">
        <f t="shared" si="16"/>
        <v>11.06</v>
      </c>
      <c r="I168" s="125">
        <f t="shared" si="17"/>
        <v>14.24</v>
      </c>
      <c r="J168" s="125"/>
      <c r="K168" s="122"/>
    </row>
    <row r="169" spans="1:11" s="34" customFormat="1" ht="30">
      <c r="A169" s="118" t="s">
        <v>2480</v>
      </c>
      <c r="B169" s="119" t="s">
        <v>2483</v>
      </c>
      <c r="C169" s="120" t="s">
        <v>2465</v>
      </c>
      <c r="D169" s="121" t="s">
        <v>2</v>
      </c>
      <c r="E169" s="122">
        <v>1.6</v>
      </c>
      <c r="F169" s="123">
        <f>TRUNC(DESONERADA!F1141,2)</f>
        <v>14.67</v>
      </c>
      <c r="G169" s="124">
        <f t="shared" si="15"/>
        <v>18.89</v>
      </c>
      <c r="H169" s="124">
        <f t="shared" si="16"/>
        <v>23.47</v>
      </c>
      <c r="I169" s="125">
        <f t="shared" si="17"/>
        <v>30.22</v>
      </c>
      <c r="J169" s="125"/>
      <c r="K169" s="122"/>
    </row>
    <row r="170" spans="1:11" s="34" customFormat="1" ht="60">
      <c r="A170" s="118" t="s">
        <v>2481</v>
      </c>
      <c r="B170" s="119" t="s">
        <v>745</v>
      </c>
      <c r="C170" s="120" t="s">
        <v>746</v>
      </c>
      <c r="D170" s="121" t="s">
        <v>10</v>
      </c>
      <c r="E170" s="122">
        <v>2</v>
      </c>
      <c r="F170" s="123">
        <f>TRUNC(DESONERADA!F1147,2)</f>
        <v>104.6</v>
      </c>
      <c r="G170" s="124">
        <f t="shared" si="15"/>
        <v>134.74</v>
      </c>
      <c r="H170" s="124">
        <f t="shared" si="16"/>
        <v>209.2</v>
      </c>
      <c r="I170" s="125">
        <f t="shared" si="17"/>
        <v>269.48</v>
      </c>
      <c r="J170" s="125"/>
      <c r="K170" s="122"/>
    </row>
    <row r="171" spans="1:11" s="34" customFormat="1" ht="30">
      <c r="A171" s="118" t="s">
        <v>2482</v>
      </c>
      <c r="B171" s="119" t="s">
        <v>2485</v>
      </c>
      <c r="C171" s="120" t="s">
        <v>2471</v>
      </c>
      <c r="D171" s="121" t="s">
        <v>10</v>
      </c>
      <c r="E171" s="122">
        <v>1</v>
      </c>
      <c r="F171" s="123">
        <f>TRUNC(DESONERADA!F1152,2)</f>
        <v>1094.56</v>
      </c>
      <c r="G171" s="124">
        <f t="shared" si="15"/>
        <v>1410.01</v>
      </c>
      <c r="H171" s="124">
        <f t="shared" si="16"/>
        <v>1094.56</v>
      </c>
      <c r="I171" s="125">
        <f t="shared" si="17"/>
        <v>1410.01</v>
      </c>
      <c r="J171" s="125"/>
      <c r="K171" s="122"/>
    </row>
    <row r="172" spans="1:11" s="72" customFormat="1" ht="15">
      <c r="A172" s="65" t="s">
        <v>1363</v>
      </c>
      <c r="B172" s="66"/>
      <c r="C172" s="67"/>
      <c r="D172" s="68"/>
      <c r="E172" s="69"/>
      <c r="F172" s="70"/>
      <c r="G172" s="73" t="s">
        <v>1664</v>
      </c>
      <c r="H172" s="75">
        <f>H92+H93+H94+H95+H96+H97+H98+H99+H100+H101+H102+H103+H104+H105+H106+H107+H108+H109+H110+H111+H112+H113+H114+H115+H116+H117+H118+H119+H120+H121+H122+H123+H124+H125+H126+H127+H128+H129+H130+H131+H132+H133+H134+H135+H136+H137+H138+H139+H140+H141+H142+H143+H144+H145+H146+H147+H148+H149+H150+H151+H152+H153+H154+H155+H156+H157+H158+H159+H160+H161+H162+H163+H164+H165+H166+H167</f>
        <v>199205.25000000003</v>
      </c>
      <c r="I172" s="75">
        <f>I92+I93+I94+I95+I96+I97+I98+I99+I100+I101+I102+I103+I104+I105+I106+I107+I108+I109+I110+I111+I112+I113+I114+I115+I116+I117+I118+I119+I120+I121+I122+I123+I124+I125+I126+I127+I128+I129+I130+I131+I132+I133+I134+I135+I136+I137+I138+I139+I140+I141+I142+I143+I144+I145+I146+I147+I148+I149+I150+I151+I152+I153+I154+I155+I156+I157+I158+I159+I160+I161+I162+I163+I164+I165+I166+I167</f>
        <v>256605.67999999996</v>
      </c>
      <c r="J172" s="71"/>
      <c r="K172" s="69"/>
    </row>
    <row r="173" spans="1:11" s="21" customFormat="1" ht="15.75">
      <c r="A173" s="21" t="s">
        <v>1665</v>
      </c>
      <c r="B173" s="28"/>
      <c r="C173" s="29" t="s">
        <v>1670</v>
      </c>
      <c r="D173" s="29"/>
      <c r="E173" s="29"/>
      <c r="F173" s="29"/>
      <c r="G173" s="29"/>
      <c r="H173" s="29"/>
      <c r="I173" s="27"/>
      <c r="J173" s="29"/>
      <c r="K173" s="29"/>
    </row>
    <row r="174" spans="1:11" s="34" customFormat="1" ht="30">
      <c r="A174" s="118" t="s">
        <v>1666</v>
      </c>
      <c r="B174" s="119" t="s">
        <v>476</v>
      </c>
      <c r="C174" s="120" t="s">
        <v>477</v>
      </c>
      <c r="D174" s="121" t="s">
        <v>10</v>
      </c>
      <c r="E174" s="122">
        <v>1</v>
      </c>
      <c r="F174" s="123">
        <f>TRUNC(DESONERADA!F1168,2)</f>
        <v>49.49</v>
      </c>
      <c r="G174" s="124">
        <f aca="true" t="shared" si="18" ref="G174:G205">TRUNC(F174*1.2882,2)</f>
        <v>63.75</v>
      </c>
      <c r="H174" s="124">
        <f aca="true" t="shared" si="19" ref="H174:H216">TRUNC(F174*E174,2)</f>
        <v>49.49</v>
      </c>
      <c r="I174" s="125">
        <f aca="true" t="shared" si="20" ref="I174:I216">TRUNC(E174*G174,2)</f>
        <v>63.75</v>
      </c>
      <c r="J174" s="125"/>
      <c r="K174" s="122"/>
    </row>
    <row r="175" spans="1:11" s="34" customFormat="1" ht="30">
      <c r="A175" s="118" t="s">
        <v>1667</v>
      </c>
      <c r="B175" s="119" t="s">
        <v>476</v>
      </c>
      <c r="C175" s="120" t="s">
        <v>1156</v>
      </c>
      <c r="D175" s="121" t="s">
        <v>10</v>
      </c>
      <c r="E175" s="122">
        <v>1</v>
      </c>
      <c r="F175" s="123">
        <f>TRUNC(DESONERADA!F1174,2)</f>
        <v>87.74</v>
      </c>
      <c r="G175" s="124">
        <f t="shared" si="18"/>
        <v>113.02</v>
      </c>
      <c r="H175" s="124">
        <f t="shared" si="19"/>
        <v>87.74</v>
      </c>
      <c r="I175" s="125">
        <f t="shared" si="20"/>
        <v>113.02</v>
      </c>
      <c r="J175" s="125"/>
      <c r="K175" s="122"/>
    </row>
    <row r="176" spans="1:11" s="34" customFormat="1" ht="75">
      <c r="A176" s="118" t="s">
        <v>1668</v>
      </c>
      <c r="B176" s="119" t="s">
        <v>1159</v>
      </c>
      <c r="C176" s="120" t="s">
        <v>1160</v>
      </c>
      <c r="D176" s="121" t="s">
        <v>10</v>
      </c>
      <c r="E176" s="122">
        <v>2</v>
      </c>
      <c r="F176" s="123">
        <f>TRUNC(DESONERADA!F1180,2)</f>
        <v>154.93</v>
      </c>
      <c r="G176" s="124">
        <f t="shared" si="18"/>
        <v>199.58</v>
      </c>
      <c r="H176" s="124">
        <f t="shared" si="19"/>
        <v>309.86</v>
      </c>
      <c r="I176" s="125">
        <f t="shared" si="20"/>
        <v>399.16</v>
      </c>
      <c r="J176" s="125"/>
      <c r="K176" s="122"/>
    </row>
    <row r="177" spans="1:11" s="34" customFormat="1" ht="75">
      <c r="A177" s="118" t="s">
        <v>1669</v>
      </c>
      <c r="B177" s="119" t="s">
        <v>1163</v>
      </c>
      <c r="C177" s="120" t="s">
        <v>1164</v>
      </c>
      <c r="D177" s="121" t="s">
        <v>10</v>
      </c>
      <c r="E177" s="122">
        <v>1</v>
      </c>
      <c r="F177" s="123">
        <f>TRUNC(DESONERADA!F1185,2)</f>
        <v>374.2</v>
      </c>
      <c r="G177" s="124">
        <f t="shared" si="18"/>
        <v>482.04</v>
      </c>
      <c r="H177" s="124">
        <f t="shared" si="19"/>
        <v>374.2</v>
      </c>
      <c r="I177" s="125">
        <f t="shared" si="20"/>
        <v>482.04</v>
      </c>
      <c r="J177" s="125"/>
      <c r="K177" s="122"/>
    </row>
    <row r="178" spans="1:11" s="34" customFormat="1" ht="75">
      <c r="A178" s="118" t="s">
        <v>1671</v>
      </c>
      <c r="B178" s="119" t="s">
        <v>1163</v>
      </c>
      <c r="C178" s="120" t="s">
        <v>1164</v>
      </c>
      <c r="D178" s="121" t="s">
        <v>10</v>
      </c>
      <c r="E178" s="122">
        <v>1</v>
      </c>
      <c r="F178" s="123">
        <f>TRUNC(DESONERADA!F1190,2)</f>
        <v>1178.36</v>
      </c>
      <c r="G178" s="124">
        <f t="shared" si="18"/>
        <v>1517.96</v>
      </c>
      <c r="H178" s="124">
        <f t="shared" si="19"/>
        <v>1178.36</v>
      </c>
      <c r="I178" s="125">
        <f t="shared" si="20"/>
        <v>1517.96</v>
      </c>
      <c r="J178" s="125"/>
      <c r="K178" s="122"/>
    </row>
    <row r="179" spans="1:11" s="34" customFormat="1" ht="45">
      <c r="A179" s="118" t="s">
        <v>1672</v>
      </c>
      <c r="B179" s="119" t="s">
        <v>1464</v>
      </c>
      <c r="C179" s="120" t="s">
        <v>1465</v>
      </c>
      <c r="D179" s="121" t="s">
        <v>2</v>
      </c>
      <c r="E179" s="122">
        <v>408</v>
      </c>
      <c r="F179" s="123">
        <f>TRUNC(DESONERADA!F1199,2)</f>
        <v>9.04</v>
      </c>
      <c r="G179" s="124">
        <f t="shared" si="18"/>
        <v>11.64</v>
      </c>
      <c r="H179" s="124">
        <f t="shared" si="19"/>
        <v>3688.32</v>
      </c>
      <c r="I179" s="125">
        <f t="shared" si="20"/>
        <v>4749.12</v>
      </c>
      <c r="J179" s="125"/>
      <c r="K179" s="122"/>
    </row>
    <row r="180" spans="1:11" s="34" customFormat="1" ht="45">
      <c r="A180" s="118" t="s">
        <v>1673</v>
      </c>
      <c r="B180" s="119" t="s">
        <v>488</v>
      </c>
      <c r="C180" s="120" t="s">
        <v>489</v>
      </c>
      <c r="D180" s="121" t="s">
        <v>2</v>
      </c>
      <c r="E180" s="122">
        <f>336+120</f>
        <v>456</v>
      </c>
      <c r="F180" s="123">
        <f>TRUNC(DESONERADA!F1205,2)</f>
        <v>12.88</v>
      </c>
      <c r="G180" s="124">
        <f t="shared" si="18"/>
        <v>16.59</v>
      </c>
      <c r="H180" s="124">
        <f t="shared" si="19"/>
        <v>5873.28</v>
      </c>
      <c r="I180" s="125">
        <f t="shared" si="20"/>
        <v>7565.04</v>
      </c>
      <c r="J180" s="125"/>
      <c r="K180" s="122"/>
    </row>
    <row r="181" spans="1:11" s="34" customFormat="1" ht="30">
      <c r="A181" s="118" t="s">
        <v>1674</v>
      </c>
      <c r="B181" s="119" t="s">
        <v>1171</v>
      </c>
      <c r="C181" s="120" t="s">
        <v>1172</v>
      </c>
      <c r="D181" s="121" t="s">
        <v>2</v>
      </c>
      <c r="E181" s="122">
        <v>9</v>
      </c>
      <c r="F181" s="123">
        <f>TRUNC(DESONERADA!F1211,2)</f>
        <v>13.93</v>
      </c>
      <c r="G181" s="124">
        <f t="shared" si="18"/>
        <v>17.94</v>
      </c>
      <c r="H181" s="124">
        <f t="shared" si="19"/>
        <v>125.37</v>
      </c>
      <c r="I181" s="125">
        <f t="shared" si="20"/>
        <v>161.46</v>
      </c>
      <c r="J181" s="125"/>
      <c r="K181" s="122"/>
    </row>
    <row r="182" spans="1:11" s="34" customFormat="1" ht="30">
      <c r="A182" s="118" t="s">
        <v>1675</v>
      </c>
      <c r="B182" s="119" t="s">
        <v>1175</v>
      </c>
      <c r="C182" s="120" t="s">
        <v>1176</v>
      </c>
      <c r="D182" s="121" t="s">
        <v>2</v>
      </c>
      <c r="E182" s="122">
        <v>54</v>
      </c>
      <c r="F182" s="123">
        <f>TRUNC(DESONERADA!F1216,2)</f>
        <v>9.08</v>
      </c>
      <c r="G182" s="124">
        <f t="shared" si="18"/>
        <v>11.69</v>
      </c>
      <c r="H182" s="124">
        <f t="shared" si="19"/>
        <v>490.32</v>
      </c>
      <c r="I182" s="125">
        <f t="shared" si="20"/>
        <v>631.26</v>
      </c>
      <c r="J182" s="125"/>
      <c r="K182" s="122"/>
    </row>
    <row r="183" spans="1:11" s="34" customFormat="1" ht="30">
      <c r="A183" s="118" t="s">
        <v>1676</v>
      </c>
      <c r="B183" s="119" t="s">
        <v>1179</v>
      </c>
      <c r="C183" s="120" t="s">
        <v>1180</v>
      </c>
      <c r="D183" s="121" t="s">
        <v>2</v>
      </c>
      <c r="E183" s="122">
        <v>18</v>
      </c>
      <c r="F183" s="123">
        <f>TRUNC(DESONERADA!F1221,2)</f>
        <v>13.82</v>
      </c>
      <c r="G183" s="124">
        <f t="shared" si="18"/>
        <v>17.8</v>
      </c>
      <c r="H183" s="124">
        <f t="shared" si="19"/>
        <v>248.76</v>
      </c>
      <c r="I183" s="125">
        <f t="shared" si="20"/>
        <v>320.4</v>
      </c>
      <c r="J183" s="125"/>
      <c r="K183" s="122"/>
    </row>
    <row r="184" spans="1:11" s="34" customFormat="1" ht="60">
      <c r="A184" s="118" t="s">
        <v>1677</v>
      </c>
      <c r="B184" s="119" t="s">
        <v>1183</v>
      </c>
      <c r="C184" s="120" t="s">
        <v>1184</v>
      </c>
      <c r="D184" s="121" t="s">
        <v>2</v>
      </c>
      <c r="E184" s="122">
        <v>6</v>
      </c>
      <c r="F184" s="123">
        <f>TRUNC(DESONERADA!F1226,2)</f>
        <v>42.54</v>
      </c>
      <c r="G184" s="124">
        <f t="shared" si="18"/>
        <v>54.8</v>
      </c>
      <c r="H184" s="124">
        <f t="shared" si="19"/>
        <v>255.24</v>
      </c>
      <c r="I184" s="125">
        <f t="shared" si="20"/>
        <v>328.8</v>
      </c>
      <c r="J184" s="125"/>
      <c r="K184" s="122"/>
    </row>
    <row r="185" spans="1:11" s="34" customFormat="1" ht="30">
      <c r="A185" s="118" t="s">
        <v>1678</v>
      </c>
      <c r="B185" s="119" t="s">
        <v>1187</v>
      </c>
      <c r="C185" s="120" t="s">
        <v>1188</v>
      </c>
      <c r="D185" s="121" t="s">
        <v>10</v>
      </c>
      <c r="E185" s="122">
        <v>6</v>
      </c>
      <c r="F185" s="123">
        <f>TRUNC(DESONERADA!F1231,2)</f>
        <v>11.98</v>
      </c>
      <c r="G185" s="124">
        <f t="shared" si="18"/>
        <v>15.43</v>
      </c>
      <c r="H185" s="124">
        <f t="shared" si="19"/>
        <v>71.88</v>
      </c>
      <c r="I185" s="125">
        <f t="shared" si="20"/>
        <v>92.58</v>
      </c>
      <c r="J185" s="125"/>
      <c r="K185" s="122"/>
    </row>
    <row r="186" spans="1:11" s="34" customFormat="1" ht="30">
      <c r="A186" s="118" t="s">
        <v>1679</v>
      </c>
      <c r="B186" s="119" t="s">
        <v>1193</v>
      </c>
      <c r="C186" s="120" t="s">
        <v>1194</v>
      </c>
      <c r="D186" s="121" t="s">
        <v>2</v>
      </c>
      <c r="E186" s="122">
        <v>2820</v>
      </c>
      <c r="F186" s="123">
        <f>TRUNC(DESONERADA!F1237,2)</f>
        <v>4.13</v>
      </c>
      <c r="G186" s="124">
        <f t="shared" si="18"/>
        <v>5.32</v>
      </c>
      <c r="H186" s="124">
        <f t="shared" si="19"/>
        <v>11646.6</v>
      </c>
      <c r="I186" s="125">
        <f t="shared" si="20"/>
        <v>15002.4</v>
      </c>
      <c r="J186" s="125"/>
      <c r="K186" s="122"/>
    </row>
    <row r="187" spans="1:11" s="34" customFormat="1" ht="34.5" customHeight="1">
      <c r="A187" s="118" t="s">
        <v>1680</v>
      </c>
      <c r="B187" s="119" t="s">
        <v>494</v>
      </c>
      <c r="C187" s="120" t="s">
        <v>495</v>
      </c>
      <c r="D187" s="121" t="s">
        <v>2</v>
      </c>
      <c r="E187" s="122">
        <v>400</v>
      </c>
      <c r="F187" s="123">
        <f>TRUNC(DESONERADA!F1243,2)</f>
        <v>6.69</v>
      </c>
      <c r="G187" s="124">
        <f t="shared" si="18"/>
        <v>8.61</v>
      </c>
      <c r="H187" s="124">
        <f t="shared" si="19"/>
        <v>2676</v>
      </c>
      <c r="I187" s="125">
        <f t="shared" si="20"/>
        <v>3444</v>
      </c>
      <c r="J187" s="125"/>
      <c r="K187" s="122"/>
    </row>
    <row r="188" spans="1:11" s="34" customFormat="1" ht="34.5" customHeight="1">
      <c r="A188" s="118" t="s">
        <v>1681</v>
      </c>
      <c r="B188" s="119" t="s">
        <v>498</v>
      </c>
      <c r="C188" s="120" t="s">
        <v>499</v>
      </c>
      <c r="D188" s="121" t="s">
        <v>2</v>
      </c>
      <c r="E188" s="122">
        <v>390</v>
      </c>
      <c r="F188" s="123">
        <f>TRUNC(DESONERADA!F1249,2)</f>
        <v>9.14</v>
      </c>
      <c r="G188" s="124">
        <f t="shared" si="18"/>
        <v>11.77</v>
      </c>
      <c r="H188" s="124">
        <f t="shared" si="19"/>
        <v>3564.6</v>
      </c>
      <c r="I188" s="125">
        <f t="shared" si="20"/>
        <v>4590.3</v>
      </c>
      <c r="J188" s="125"/>
      <c r="K188" s="122"/>
    </row>
    <row r="189" spans="1:11" s="34" customFormat="1" ht="34.5" customHeight="1">
      <c r="A189" s="118" t="s">
        <v>1682</v>
      </c>
      <c r="B189" s="119" t="s">
        <v>502</v>
      </c>
      <c r="C189" s="120" t="s">
        <v>503</v>
      </c>
      <c r="D189" s="121" t="s">
        <v>2</v>
      </c>
      <c r="E189" s="122">
        <v>170</v>
      </c>
      <c r="F189" s="123">
        <f>TRUNC(DESONERADA!F1255,2)</f>
        <v>15.02</v>
      </c>
      <c r="G189" s="124">
        <f t="shared" si="18"/>
        <v>19.34</v>
      </c>
      <c r="H189" s="124">
        <f t="shared" si="19"/>
        <v>2553.4</v>
      </c>
      <c r="I189" s="125">
        <f t="shared" si="20"/>
        <v>3287.8</v>
      </c>
      <c r="J189" s="125"/>
      <c r="K189" s="122"/>
    </row>
    <row r="190" spans="1:11" s="34" customFormat="1" ht="34.5" customHeight="1">
      <c r="A190" s="118" t="s">
        <v>1683</v>
      </c>
      <c r="B190" s="119" t="s">
        <v>506</v>
      </c>
      <c r="C190" s="120" t="s">
        <v>507</v>
      </c>
      <c r="D190" s="121" t="s">
        <v>2</v>
      </c>
      <c r="E190" s="122">
        <v>200</v>
      </c>
      <c r="F190" s="123">
        <f>TRUNC(DESONERADA!F1261,2)</f>
        <v>37.35</v>
      </c>
      <c r="G190" s="124">
        <f t="shared" si="18"/>
        <v>48.11</v>
      </c>
      <c r="H190" s="124">
        <f t="shared" si="19"/>
        <v>7470</v>
      </c>
      <c r="I190" s="125">
        <f t="shared" si="20"/>
        <v>9622</v>
      </c>
      <c r="J190" s="125"/>
      <c r="K190" s="122"/>
    </row>
    <row r="191" spans="1:11" s="34" customFormat="1" ht="34.5" customHeight="1">
      <c r="A191" s="118" t="s">
        <v>1684</v>
      </c>
      <c r="B191" s="119" t="s">
        <v>1468</v>
      </c>
      <c r="C191" s="120" t="s">
        <v>1469</v>
      </c>
      <c r="D191" s="121" t="s">
        <v>10</v>
      </c>
      <c r="E191" s="122">
        <v>12</v>
      </c>
      <c r="F191" s="123">
        <f>TRUNC(DESONERADA!F1267,2)</f>
        <v>48.44</v>
      </c>
      <c r="G191" s="124">
        <f t="shared" si="18"/>
        <v>62.4</v>
      </c>
      <c r="H191" s="124">
        <f t="shared" si="19"/>
        <v>581.28</v>
      </c>
      <c r="I191" s="125">
        <f t="shared" si="20"/>
        <v>748.8</v>
      </c>
      <c r="J191" s="125"/>
      <c r="K191" s="122"/>
    </row>
    <row r="192" spans="1:11" s="34" customFormat="1" ht="34.5" customHeight="1">
      <c r="A192" s="118" t="s">
        <v>1685</v>
      </c>
      <c r="B192" s="119" t="s">
        <v>1197</v>
      </c>
      <c r="C192" s="120" t="s">
        <v>1198</v>
      </c>
      <c r="D192" s="121" t="s">
        <v>10</v>
      </c>
      <c r="E192" s="122">
        <v>69</v>
      </c>
      <c r="F192" s="123">
        <f>TRUNC(DESONERADA!F1271,2)</f>
        <v>31.4</v>
      </c>
      <c r="G192" s="124">
        <f t="shared" si="18"/>
        <v>40.44</v>
      </c>
      <c r="H192" s="124">
        <f t="shared" si="19"/>
        <v>2166.6</v>
      </c>
      <c r="I192" s="125">
        <f t="shared" si="20"/>
        <v>2790.36</v>
      </c>
      <c r="J192" s="125"/>
      <c r="K192" s="122"/>
    </row>
    <row r="193" spans="1:11" s="34" customFormat="1" ht="34.5" customHeight="1">
      <c r="A193" s="118" t="s">
        <v>1686</v>
      </c>
      <c r="B193" s="119" t="s">
        <v>1472</v>
      </c>
      <c r="C193" s="120" t="s">
        <v>1473</v>
      </c>
      <c r="D193" s="121" t="s">
        <v>10</v>
      </c>
      <c r="E193" s="122">
        <v>6</v>
      </c>
      <c r="F193" s="123">
        <f>TRUNC(DESONERADA!F1275,2)</f>
        <v>45.48</v>
      </c>
      <c r="G193" s="124">
        <f t="shared" si="18"/>
        <v>58.58</v>
      </c>
      <c r="H193" s="124">
        <f t="shared" si="19"/>
        <v>272.88</v>
      </c>
      <c r="I193" s="125">
        <f t="shared" si="20"/>
        <v>351.48</v>
      </c>
      <c r="J193" s="125"/>
      <c r="K193" s="122"/>
    </row>
    <row r="194" spans="1:11" s="34" customFormat="1" ht="34.5" customHeight="1">
      <c r="A194" s="118" t="s">
        <v>1687</v>
      </c>
      <c r="B194" s="119" t="s">
        <v>1476</v>
      </c>
      <c r="C194" s="120" t="s">
        <v>1477</v>
      </c>
      <c r="D194" s="121" t="s">
        <v>10</v>
      </c>
      <c r="E194" s="122">
        <v>7</v>
      </c>
      <c r="F194" s="123">
        <f>TRUNC(DESONERADA!F1279,2)</f>
        <v>27.91</v>
      </c>
      <c r="G194" s="124">
        <f t="shared" si="18"/>
        <v>35.95</v>
      </c>
      <c r="H194" s="124">
        <f t="shared" si="19"/>
        <v>195.37</v>
      </c>
      <c r="I194" s="125">
        <f t="shared" si="20"/>
        <v>251.65</v>
      </c>
      <c r="J194" s="125"/>
      <c r="K194" s="122"/>
    </row>
    <row r="195" spans="1:11" s="34" customFormat="1" ht="34.5" customHeight="1">
      <c r="A195" s="118" t="s">
        <v>1688</v>
      </c>
      <c r="B195" s="119" t="s">
        <v>1480</v>
      </c>
      <c r="C195" s="120" t="s">
        <v>1481</v>
      </c>
      <c r="D195" s="121" t="s">
        <v>10</v>
      </c>
      <c r="E195" s="122">
        <f>17</f>
        <v>17</v>
      </c>
      <c r="F195" s="123">
        <f>TRUNC(DESONERADA!F1283,2)</f>
        <v>38.38</v>
      </c>
      <c r="G195" s="124">
        <f t="shared" si="18"/>
        <v>49.44</v>
      </c>
      <c r="H195" s="124">
        <f t="shared" si="19"/>
        <v>652.46</v>
      </c>
      <c r="I195" s="125">
        <f t="shared" si="20"/>
        <v>840.48</v>
      </c>
      <c r="J195" s="125"/>
      <c r="K195" s="122"/>
    </row>
    <row r="196" spans="1:11" s="34" customFormat="1" ht="34.5" customHeight="1">
      <c r="A196" s="118" t="s">
        <v>1689</v>
      </c>
      <c r="B196" s="119" t="s">
        <v>1214</v>
      </c>
      <c r="C196" s="120" t="s">
        <v>1213</v>
      </c>
      <c r="D196" s="121" t="s">
        <v>10</v>
      </c>
      <c r="E196" s="122">
        <v>8</v>
      </c>
      <c r="F196" s="123">
        <f>TRUNC(DESONERADA!F1287,2)</f>
        <v>21.46</v>
      </c>
      <c r="G196" s="124">
        <f t="shared" si="18"/>
        <v>27.64</v>
      </c>
      <c r="H196" s="124">
        <f t="shared" si="19"/>
        <v>171.68</v>
      </c>
      <c r="I196" s="125">
        <f t="shared" si="20"/>
        <v>221.12</v>
      </c>
      <c r="J196" s="125"/>
      <c r="K196" s="122"/>
    </row>
    <row r="197" spans="1:11" s="34" customFormat="1" ht="34.5" customHeight="1">
      <c r="A197" s="118" t="s">
        <v>1690</v>
      </c>
      <c r="B197" s="119" t="s">
        <v>1201</v>
      </c>
      <c r="C197" s="120" t="s">
        <v>1202</v>
      </c>
      <c r="D197" s="121" t="s">
        <v>10</v>
      </c>
      <c r="E197" s="122">
        <v>35</v>
      </c>
      <c r="F197" s="123">
        <f>TRUNC(DESONERADA!F1294,2)</f>
        <v>24.53</v>
      </c>
      <c r="G197" s="124">
        <f t="shared" si="18"/>
        <v>31.59</v>
      </c>
      <c r="H197" s="124">
        <f t="shared" si="19"/>
        <v>858.55</v>
      </c>
      <c r="I197" s="125">
        <f t="shared" si="20"/>
        <v>1105.65</v>
      </c>
      <c r="J197" s="125"/>
      <c r="K197" s="122"/>
    </row>
    <row r="198" spans="1:11" s="34" customFormat="1" ht="34.5" customHeight="1">
      <c r="A198" s="118" t="s">
        <v>1691</v>
      </c>
      <c r="B198" s="119" t="s">
        <v>510</v>
      </c>
      <c r="C198" s="120" t="s">
        <v>511</v>
      </c>
      <c r="D198" s="121" t="s">
        <v>10</v>
      </c>
      <c r="E198" s="122">
        <v>3</v>
      </c>
      <c r="F198" s="123">
        <f>TRUNC(DESONERADA!F1298,2)</f>
        <v>38.78</v>
      </c>
      <c r="G198" s="124">
        <f t="shared" si="18"/>
        <v>49.95</v>
      </c>
      <c r="H198" s="124">
        <f t="shared" si="19"/>
        <v>116.34</v>
      </c>
      <c r="I198" s="125">
        <f t="shared" si="20"/>
        <v>149.85</v>
      </c>
      <c r="J198" s="125"/>
      <c r="K198" s="122"/>
    </row>
    <row r="199" spans="1:11" s="34" customFormat="1" ht="34.5" customHeight="1">
      <c r="A199" s="118" t="s">
        <v>1692</v>
      </c>
      <c r="B199" s="119" t="s">
        <v>1205</v>
      </c>
      <c r="C199" s="120" t="s">
        <v>1206</v>
      </c>
      <c r="D199" s="121" t="s">
        <v>10</v>
      </c>
      <c r="E199" s="122">
        <v>2</v>
      </c>
      <c r="F199" s="123">
        <f>TRUNC(DESONERADA!F1302,2)</f>
        <v>53.03</v>
      </c>
      <c r="G199" s="124">
        <f t="shared" si="18"/>
        <v>68.31</v>
      </c>
      <c r="H199" s="124">
        <f t="shared" si="19"/>
        <v>106.06</v>
      </c>
      <c r="I199" s="125">
        <f t="shared" si="20"/>
        <v>136.62</v>
      </c>
      <c r="J199" s="125"/>
      <c r="K199" s="122"/>
    </row>
    <row r="200" spans="1:11" s="34" customFormat="1" ht="34.5" customHeight="1">
      <c r="A200" s="118" t="s">
        <v>1693</v>
      </c>
      <c r="B200" s="119" t="s">
        <v>1209</v>
      </c>
      <c r="C200" s="120" t="s">
        <v>1210</v>
      </c>
      <c r="D200" s="121" t="s">
        <v>10</v>
      </c>
      <c r="E200" s="122">
        <v>10</v>
      </c>
      <c r="F200" s="123">
        <f>TRUNC(DESONERADA!F1306,2)</f>
        <v>30.43</v>
      </c>
      <c r="G200" s="124">
        <f t="shared" si="18"/>
        <v>39.19</v>
      </c>
      <c r="H200" s="124">
        <f t="shared" si="19"/>
        <v>304.3</v>
      </c>
      <c r="I200" s="125">
        <f t="shared" si="20"/>
        <v>391.9</v>
      </c>
      <c r="J200" s="125"/>
      <c r="K200" s="122"/>
    </row>
    <row r="201" spans="1:11" s="34" customFormat="1" ht="60">
      <c r="A201" s="118" t="s">
        <v>1694</v>
      </c>
      <c r="B201" s="119" t="s">
        <v>516</v>
      </c>
      <c r="C201" s="120" t="s">
        <v>517</v>
      </c>
      <c r="D201" s="121" t="s">
        <v>10</v>
      </c>
      <c r="E201" s="122">
        <v>57</v>
      </c>
      <c r="F201" s="123">
        <f>TRUNC(DESONERADA!F1310,2)</f>
        <v>128.12</v>
      </c>
      <c r="G201" s="124">
        <f t="shared" si="18"/>
        <v>165.04</v>
      </c>
      <c r="H201" s="124">
        <f t="shared" si="19"/>
        <v>7302.84</v>
      </c>
      <c r="I201" s="125">
        <f t="shared" si="20"/>
        <v>9407.28</v>
      </c>
      <c r="J201" s="125"/>
      <c r="K201" s="122"/>
    </row>
    <row r="202" spans="1:11" s="34" customFormat="1" ht="60">
      <c r="A202" s="118" t="s">
        <v>1695</v>
      </c>
      <c r="B202" s="119" t="s">
        <v>528</v>
      </c>
      <c r="C202" s="120" t="s">
        <v>529</v>
      </c>
      <c r="D202" s="121" t="s">
        <v>10</v>
      </c>
      <c r="E202" s="122">
        <v>13</v>
      </c>
      <c r="F202" s="123">
        <f>TRUNC(DESONERADA!F1319,2)</f>
        <v>128.44</v>
      </c>
      <c r="G202" s="124">
        <f t="shared" si="18"/>
        <v>165.45</v>
      </c>
      <c r="H202" s="124">
        <f t="shared" si="19"/>
        <v>1669.72</v>
      </c>
      <c r="I202" s="125">
        <f t="shared" si="20"/>
        <v>2150.85</v>
      </c>
      <c r="J202" s="125"/>
      <c r="K202" s="122"/>
    </row>
    <row r="203" spans="1:11" s="34" customFormat="1" ht="45">
      <c r="A203" s="118" t="s">
        <v>1696</v>
      </c>
      <c r="B203" s="119" t="s">
        <v>1220</v>
      </c>
      <c r="C203" s="120" t="s">
        <v>1221</v>
      </c>
      <c r="D203" s="121" t="s">
        <v>10</v>
      </c>
      <c r="E203" s="122">
        <v>17</v>
      </c>
      <c r="F203" s="123">
        <f>TRUNC(DESONERADA!F1328,2)</f>
        <v>206.17</v>
      </c>
      <c r="G203" s="124">
        <f t="shared" si="18"/>
        <v>265.58</v>
      </c>
      <c r="H203" s="124">
        <f t="shared" si="19"/>
        <v>3504.89</v>
      </c>
      <c r="I203" s="125">
        <f t="shared" si="20"/>
        <v>4514.86</v>
      </c>
      <c r="J203" s="125" t="s">
        <v>5</v>
      </c>
      <c r="K203" s="122"/>
    </row>
    <row r="204" spans="1:11" s="34" customFormat="1" ht="75">
      <c r="A204" s="118" t="s">
        <v>1697</v>
      </c>
      <c r="B204" s="119" t="s">
        <v>1229</v>
      </c>
      <c r="C204" s="120" t="s">
        <v>1230</v>
      </c>
      <c r="D204" s="121" t="s">
        <v>10</v>
      </c>
      <c r="E204" s="122">
        <v>4</v>
      </c>
      <c r="F204" s="123">
        <f>TRUNC(DESONERADA!F1338,2)</f>
        <v>213.63</v>
      </c>
      <c r="G204" s="124">
        <f t="shared" si="18"/>
        <v>275.19</v>
      </c>
      <c r="H204" s="124">
        <f t="shared" si="19"/>
        <v>854.52</v>
      </c>
      <c r="I204" s="125">
        <f t="shared" si="20"/>
        <v>1100.76</v>
      </c>
      <c r="J204" s="125"/>
      <c r="K204" s="122"/>
    </row>
    <row r="205" spans="1:11" s="34" customFormat="1" ht="45">
      <c r="A205" s="118" t="s">
        <v>1698</v>
      </c>
      <c r="B205" s="119" t="s">
        <v>1484</v>
      </c>
      <c r="C205" s="120" t="s">
        <v>1233</v>
      </c>
      <c r="D205" s="121" t="s">
        <v>10</v>
      </c>
      <c r="E205" s="122">
        <v>21</v>
      </c>
      <c r="F205" s="123">
        <f>TRUNC(DESONERADA!F1345,2)</f>
        <v>76.82</v>
      </c>
      <c r="G205" s="124">
        <f t="shared" si="18"/>
        <v>98.95</v>
      </c>
      <c r="H205" s="124">
        <f t="shared" si="19"/>
        <v>1613.22</v>
      </c>
      <c r="I205" s="125">
        <f t="shared" si="20"/>
        <v>2077.95</v>
      </c>
      <c r="J205" s="125"/>
      <c r="K205" s="122"/>
    </row>
    <row r="206" spans="1:11" s="34" customFormat="1" ht="30">
      <c r="A206" s="118" t="s">
        <v>1699</v>
      </c>
      <c r="B206" s="119" t="s">
        <v>1238</v>
      </c>
      <c r="C206" s="120" t="s">
        <v>1239</v>
      </c>
      <c r="D206" s="121" t="s">
        <v>10</v>
      </c>
      <c r="E206" s="122">
        <v>113</v>
      </c>
      <c r="F206" s="123">
        <f>TRUNC(DESONERADA!F1351,2)</f>
        <v>54.37</v>
      </c>
      <c r="G206" s="124">
        <f aca="true" t="shared" si="21" ref="G206:G216">TRUNC(F206*1.2977,2)</f>
        <v>70.55</v>
      </c>
      <c r="H206" s="124">
        <f t="shared" si="19"/>
        <v>6143.81</v>
      </c>
      <c r="I206" s="125">
        <f t="shared" si="20"/>
        <v>7972.15</v>
      </c>
      <c r="J206" s="125"/>
      <c r="K206" s="122"/>
    </row>
    <row r="207" spans="1:11" s="34" customFormat="1" ht="30">
      <c r="A207" s="118" t="s">
        <v>1700</v>
      </c>
      <c r="B207" s="119" t="s">
        <v>1244</v>
      </c>
      <c r="C207" s="120" t="s">
        <v>1245</v>
      </c>
      <c r="D207" s="121" t="s">
        <v>10</v>
      </c>
      <c r="E207" s="122">
        <v>33</v>
      </c>
      <c r="F207" s="123">
        <f>TRUNC(DESONERADA!F1362,2)</f>
        <v>22.88</v>
      </c>
      <c r="G207" s="124">
        <f t="shared" si="21"/>
        <v>29.69</v>
      </c>
      <c r="H207" s="124">
        <f t="shared" si="19"/>
        <v>755.04</v>
      </c>
      <c r="I207" s="125">
        <f t="shared" si="20"/>
        <v>979.77</v>
      </c>
      <c r="J207" s="125"/>
      <c r="K207" s="122"/>
    </row>
    <row r="208" spans="1:11" s="34" customFormat="1" ht="30">
      <c r="A208" s="118" t="s">
        <v>1701</v>
      </c>
      <c r="B208" s="119" t="s">
        <v>1248</v>
      </c>
      <c r="C208" s="120" t="s">
        <v>1249</v>
      </c>
      <c r="D208" s="121" t="s">
        <v>10</v>
      </c>
      <c r="E208" s="122">
        <v>3</v>
      </c>
      <c r="F208" s="123">
        <f>TRUNC(DESONERADA!F1366,2)</f>
        <v>15.48</v>
      </c>
      <c r="G208" s="124">
        <f t="shared" si="21"/>
        <v>20.08</v>
      </c>
      <c r="H208" s="124">
        <f t="shared" si="19"/>
        <v>46.44</v>
      </c>
      <c r="I208" s="125">
        <f t="shared" si="20"/>
        <v>60.24</v>
      </c>
      <c r="J208" s="125"/>
      <c r="K208" s="122"/>
    </row>
    <row r="209" spans="1:11" s="34" customFormat="1" ht="90">
      <c r="A209" s="118" t="s">
        <v>1702</v>
      </c>
      <c r="B209" s="119" t="s">
        <v>1252</v>
      </c>
      <c r="C209" s="120" t="s">
        <v>1253</v>
      </c>
      <c r="D209" s="121" t="s">
        <v>10</v>
      </c>
      <c r="E209" s="122">
        <v>4</v>
      </c>
      <c r="F209" s="123">
        <f>TRUNC(DESONERADA!F1370,2)</f>
        <v>202.16</v>
      </c>
      <c r="G209" s="124">
        <f t="shared" si="21"/>
        <v>262.34</v>
      </c>
      <c r="H209" s="124">
        <f t="shared" si="19"/>
        <v>808.64</v>
      </c>
      <c r="I209" s="125">
        <f t="shared" si="20"/>
        <v>1049.36</v>
      </c>
      <c r="J209" s="125"/>
      <c r="K209" s="122"/>
    </row>
    <row r="210" spans="1:11" s="34" customFormat="1" ht="75">
      <c r="A210" s="118" t="s">
        <v>1703</v>
      </c>
      <c r="B210" s="119" t="s">
        <v>1262</v>
      </c>
      <c r="C210" s="120" t="s">
        <v>1263</v>
      </c>
      <c r="D210" s="121" t="s">
        <v>10</v>
      </c>
      <c r="E210" s="122">
        <v>4</v>
      </c>
      <c r="F210" s="123">
        <f>TRUNC(DESONERADA!F1382,2)</f>
        <v>199.12</v>
      </c>
      <c r="G210" s="124">
        <f t="shared" si="21"/>
        <v>258.39</v>
      </c>
      <c r="H210" s="124">
        <f t="shared" si="19"/>
        <v>796.48</v>
      </c>
      <c r="I210" s="125">
        <f t="shared" si="20"/>
        <v>1033.56</v>
      </c>
      <c r="J210" s="125"/>
      <c r="K210" s="122"/>
    </row>
    <row r="211" spans="1:11" s="34" customFormat="1" ht="45">
      <c r="A211" s="118" t="s">
        <v>1704</v>
      </c>
      <c r="B211" s="119" t="s">
        <v>1568</v>
      </c>
      <c r="C211" s="120" t="s">
        <v>1569</v>
      </c>
      <c r="D211" s="121" t="s">
        <v>10</v>
      </c>
      <c r="E211" s="122">
        <v>2</v>
      </c>
      <c r="F211" s="123">
        <f>TRUNC(DESONERADA!F1388,2)</f>
        <v>53.56</v>
      </c>
      <c r="G211" s="124">
        <f t="shared" si="21"/>
        <v>69.5</v>
      </c>
      <c r="H211" s="124">
        <f t="shared" si="19"/>
        <v>107.12</v>
      </c>
      <c r="I211" s="125">
        <f t="shared" si="20"/>
        <v>139</v>
      </c>
      <c r="J211" s="125"/>
      <c r="K211" s="122"/>
    </row>
    <row r="212" spans="1:11" s="34" customFormat="1" ht="45">
      <c r="A212" s="118" t="s">
        <v>1705</v>
      </c>
      <c r="B212" s="119" t="s">
        <v>1266</v>
      </c>
      <c r="C212" s="120" t="s">
        <v>1267</v>
      </c>
      <c r="D212" s="121" t="s">
        <v>10</v>
      </c>
      <c r="E212" s="122">
        <v>22</v>
      </c>
      <c r="F212" s="123">
        <f>TRUNC(DESONERADA!F1392,2)</f>
        <v>15.94</v>
      </c>
      <c r="G212" s="124">
        <f t="shared" si="21"/>
        <v>20.68</v>
      </c>
      <c r="H212" s="124">
        <f t="shared" si="19"/>
        <v>350.68</v>
      </c>
      <c r="I212" s="125">
        <f t="shared" si="20"/>
        <v>454.96</v>
      </c>
      <c r="J212" s="125"/>
      <c r="K212" s="122"/>
    </row>
    <row r="213" spans="1:11" s="34" customFormat="1" ht="45">
      <c r="A213" s="118" t="s">
        <v>1706</v>
      </c>
      <c r="B213" s="119" t="s">
        <v>1270</v>
      </c>
      <c r="C213" s="120" t="s">
        <v>1271</v>
      </c>
      <c r="D213" s="121" t="s">
        <v>10</v>
      </c>
      <c r="E213" s="122">
        <v>1</v>
      </c>
      <c r="F213" s="123">
        <f>TRUNC(DESONERADA!F1396,2)</f>
        <v>89.72</v>
      </c>
      <c r="G213" s="124">
        <f t="shared" si="21"/>
        <v>116.42</v>
      </c>
      <c r="H213" s="124">
        <f t="shared" si="19"/>
        <v>89.72</v>
      </c>
      <c r="I213" s="125">
        <f t="shared" si="20"/>
        <v>116.42</v>
      </c>
      <c r="J213" s="125"/>
      <c r="K213" s="122"/>
    </row>
    <row r="214" spans="1:11" s="34" customFormat="1" ht="60">
      <c r="A214" s="118" t="s">
        <v>1707</v>
      </c>
      <c r="B214" s="119" t="s">
        <v>1274</v>
      </c>
      <c r="C214" s="120" t="s">
        <v>1275</v>
      </c>
      <c r="D214" s="121" t="s">
        <v>2</v>
      </c>
      <c r="E214" s="122">
        <v>72</v>
      </c>
      <c r="F214" s="123">
        <f>TRUNC(DESONERADA!F1402,2)</f>
        <v>20.53</v>
      </c>
      <c r="G214" s="124">
        <f t="shared" si="21"/>
        <v>26.64</v>
      </c>
      <c r="H214" s="124">
        <f t="shared" si="19"/>
        <v>1478.16</v>
      </c>
      <c r="I214" s="125">
        <f t="shared" si="20"/>
        <v>1918.08</v>
      </c>
      <c r="J214" s="125"/>
      <c r="K214" s="122"/>
    </row>
    <row r="215" spans="1:11" s="34" customFormat="1" ht="60">
      <c r="A215" s="118" t="s">
        <v>1708</v>
      </c>
      <c r="B215" s="119" t="s">
        <v>1278</v>
      </c>
      <c r="C215" s="120" t="s">
        <v>1279</v>
      </c>
      <c r="D215" s="121" t="s">
        <v>2</v>
      </c>
      <c r="E215" s="122">
        <v>45</v>
      </c>
      <c r="F215" s="123">
        <f>TRUNC(DESONERADA!F1407,2)</f>
        <v>72.3</v>
      </c>
      <c r="G215" s="124">
        <f t="shared" si="21"/>
        <v>93.82</v>
      </c>
      <c r="H215" s="124">
        <f t="shared" si="19"/>
        <v>3253.5</v>
      </c>
      <c r="I215" s="125">
        <f t="shared" si="20"/>
        <v>4221.9</v>
      </c>
      <c r="J215" s="125"/>
      <c r="K215" s="122"/>
    </row>
    <row r="216" spans="1:11" s="34" customFormat="1" ht="75">
      <c r="A216" s="118" t="s">
        <v>1709</v>
      </c>
      <c r="B216" s="119" t="s">
        <v>1294</v>
      </c>
      <c r="C216" s="120" t="s">
        <v>1295</v>
      </c>
      <c r="D216" s="121" t="s">
        <v>10</v>
      </c>
      <c r="E216" s="122">
        <v>3</v>
      </c>
      <c r="F216" s="123">
        <f>TRUNC(DESONERADA!F1418,2)</f>
        <v>1320.97</v>
      </c>
      <c r="G216" s="124">
        <f t="shared" si="21"/>
        <v>1714.22</v>
      </c>
      <c r="H216" s="124">
        <f t="shared" si="19"/>
        <v>3962.91</v>
      </c>
      <c r="I216" s="125">
        <f t="shared" si="20"/>
        <v>5142.66</v>
      </c>
      <c r="J216" s="125"/>
      <c r="K216" s="122"/>
    </row>
    <row r="217" spans="1:11" s="72" customFormat="1" ht="15">
      <c r="A217" s="65" t="s">
        <v>1363</v>
      </c>
      <c r="B217" s="66"/>
      <c r="C217" s="67"/>
      <c r="D217" s="68"/>
      <c r="E217" s="69"/>
      <c r="F217" s="70"/>
      <c r="G217" s="73" t="s">
        <v>1710</v>
      </c>
      <c r="H217" s="75">
        <f>H216+H215+H214+H213+H212+H210+H209+H208+H207+H206+H205+H204+H203+H202+H201+H200+H199+H198+H197+H196+H195+H194+H193+H192+H191+H190+H189+H188+H187+H186+H185+H184+H183+H182+H181+H180+H179+H178+H177+H176+H175+H174+H211</f>
        <v>78826.63000000002</v>
      </c>
      <c r="I217" s="75">
        <f>I216+I215+I214+I213+I212+I210+I209+I208+I207+I206+I205+I204+I203+I202+I201+I200+I199+I198+I197+I196+I195+I194+I193+I192+I191+I190+I189+I188+I187+I186+I185+I184+I183+I182+I181+I180+I179+I178+I177+I176+I175+I174+I211</f>
        <v>101698.8</v>
      </c>
      <c r="J217" s="71"/>
      <c r="K217" s="69"/>
    </row>
    <row r="218" spans="1:11" s="21" customFormat="1" ht="15.75">
      <c r="A218" s="21" t="s">
        <v>1711</v>
      </c>
      <c r="B218" s="28"/>
      <c r="C218" s="29" t="s">
        <v>1308</v>
      </c>
      <c r="D218" s="29"/>
      <c r="E218" s="29"/>
      <c r="F218" s="29"/>
      <c r="G218" s="29"/>
      <c r="H218" s="29"/>
      <c r="I218" s="27"/>
      <c r="J218" s="29"/>
      <c r="K218" s="29"/>
    </row>
    <row r="219" spans="1:11" s="34" customFormat="1" ht="105">
      <c r="A219" s="118" t="s">
        <v>1712</v>
      </c>
      <c r="B219" s="119" t="s">
        <v>1309</v>
      </c>
      <c r="C219" s="120" t="s">
        <v>1310</v>
      </c>
      <c r="D219" s="121" t="s">
        <v>10</v>
      </c>
      <c r="E219" s="122">
        <v>2</v>
      </c>
      <c r="F219" s="123">
        <f>TRUNC(DESONERADA!F1433,2)</f>
        <v>7120.44</v>
      </c>
      <c r="G219" s="124">
        <f>TRUNC(F219*1.2977,2)</f>
        <v>9240.19</v>
      </c>
      <c r="H219" s="124">
        <f>TRUNC(F219*E219,2)</f>
        <v>14240.88</v>
      </c>
      <c r="I219" s="125">
        <f>TRUNC(E219*G219,2)</f>
        <v>18480.38</v>
      </c>
      <c r="J219" s="125"/>
      <c r="K219" s="122"/>
    </row>
    <row r="220" spans="1:11" s="72" customFormat="1" ht="15">
      <c r="A220" s="65" t="s">
        <v>1363</v>
      </c>
      <c r="B220" s="66"/>
      <c r="C220" s="67"/>
      <c r="D220" s="68"/>
      <c r="E220" s="69"/>
      <c r="F220" s="70"/>
      <c r="G220" s="73" t="s">
        <v>1713</v>
      </c>
      <c r="H220" s="75">
        <f>H219</f>
        <v>14240.88</v>
      </c>
      <c r="I220" s="75">
        <f>I219</f>
        <v>18480.38</v>
      </c>
      <c r="J220" s="71"/>
      <c r="K220" s="69"/>
    </row>
    <row r="221" spans="1:11" s="21" customFormat="1" ht="15.75">
      <c r="A221" s="21" t="s">
        <v>1714</v>
      </c>
      <c r="B221" s="28"/>
      <c r="C221" s="29" t="s">
        <v>1343</v>
      </c>
      <c r="D221" s="29"/>
      <c r="E221" s="29"/>
      <c r="F221" s="29"/>
      <c r="G221" s="29"/>
      <c r="H221" s="29"/>
      <c r="I221" s="27"/>
      <c r="J221" s="29"/>
      <c r="K221" s="29"/>
    </row>
    <row r="222" spans="1:11" s="34" customFormat="1" ht="30">
      <c r="A222" s="118" t="s">
        <v>1715</v>
      </c>
      <c r="B222" s="119" t="s">
        <v>1339</v>
      </c>
      <c r="C222" s="120" t="s">
        <v>1340</v>
      </c>
      <c r="D222" s="121" t="s">
        <v>10</v>
      </c>
      <c r="E222" s="122">
        <v>4</v>
      </c>
      <c r="F222" s="123">
        <f>TRUNC(DESONERADA!F1475,2)</f>
        <v>212.75</v>
      </c>
      <c r="G222" s="124">
        <f aca="true" t="shared" si="22" ref="G222:G228">TRUNC(F222*1.2977,2)</f>
        <v>276.08</v>
      </c>
      <c r="H222" s="124">
        <f aca="true" t="shared" si="23" ref="H222:H228">TRUNC(F222*E222,2)</f>
        <v>851</v>
      </c>
      <c r="I222" s="125">
        <f aca="true" t="shared" si="24" ref="I222:I228">TRUNC(E222*G222,2)</f>
        <v>1104.32</v>
      </c>
      <c r="J222" s="125"/>
      <c r="K222" s="122"/>
    </row>
    <row r="223" spans="1:11" s="34" customFormat="1" ht="30">
      <c r="A223" s="118" t="s">
        <v>1716</v>
      </c>
      <c r="B223" s="119" t="s">
        <v>792</v>
      </c>
      <c r="C223" s="120" t="s">
        <v>793</v>
      </c>
      <c r="D223" s="121" t="s">
        <v>10</v>
      </c>
      <c r="E223" s="122">
        <v>1</v>
      </c>
      <c r="F223" s="123">
        <f>TRUNC(DESONERADA!F1481,2)</f>
        <v>592.75</v>
      </c>
      <c r="G223" s="124">
        <f t="shared" si="22"/>
        <v>769.21</v>
      </c>
      <c r="H223" s="124">
        <f t="shared" si="23"/>
        <v>592.75</v>
      </c>
      <c r="I223" s="125">
        <f t="shared" si="24"/>
        <v>769.21</v>
      </c>
      <c r="J223" s="125"/>
      <c r="K223" s="122"/>
    </row>
    <row r="224" spans="1:11" s="34" customFormat="1" ht="60">
      <c r="A224" s="118" t="s">
        <v>1717</v>
      </c>
      <c r="B224" s="119" t="s">
        <v>1589</v>
      </c>
      <c r="C224" s="120" t="s">
        <v>1590</v>
      </c>
      <c r="D224" s="121" t="s">
        <v>10</v>
      </c>
      <c r="E224" s="122">
        <v>3</v>
      </c>
      <c r="F224" s="123">
        <f>TRUNC(DESONERADA!F1487,2)</f>
        <v>30.52</v>
      </c>
      <c r="G224" s="124">
        <f t="shared" si="22"/>
        <v>39.6</v>
      </c>
      <c r="H224" s="124">
        <f t="shared" si="23"/>
        <v>91.56</v>
      </c>
      <c r="I224" s="125">
        <f t="shared" si="24"/>
        <v>118.8</v>
      </c>
      <c r="J224" s="125"/>
      <c r="K224" s="122"/>
    </row>
    <row r="225" spans="1:11" s="34" customFormat="1" ht="60">
      <c r="A225" s="118" t="s">
        <v>1718</v>
      </c>
      <c r="B225" s="119" t="s">
        <v>1344</v>
      </c>
      <c r="C225" s="120" t="s">
        <v>1345</v>
      </c>
      <c r="D225" s="121" t="s">
        <v>10</v>
      </c>
      <c r="E225" s="122">
        <v>5</v>
      </c>
      <c r="F225" s="123">
        <f>TRUNC(DESONERADA!F1493,2)</f>
        <v>34.98</v>
      </c>
      <c r="G225" s="124">
        <f t="shared" si="22"/>
        <v>45.39</v>
      </c>
      <c r="H225" s="124">
        <f t="shared" si="23"/>
        <v>174.9</v>
      </c>
      <c r="I225" s="125">
        <f t="shared" si="24"/>
        <v>226.95</v>
      </c>
      <c r="J225" s="125"/>
      <c r="K225" s="122"/>
    </row>
    <row r="226" spans="1:11" s="34" customFormat="1" ht="60">
      <c r="A226" s="118" t="s">
        <v>1719</v>
      </c>
      <c r="B226" s="119" t="s">
        <v>1344</v>
      </c>
      <c r="C226" s="120" t="s">
        <v>1588</v>
      </c>
      <c r="D226" s="121" t="s">
        <v>10</v>
      </c>
      <c r="E226" s="122">
        <v>1</v>
      </c>
      <c r="F226" s="123">
        <f>TRUNC(DESONERADA!F1497,2)</f>
        <v>34.98</v>
      </c>
      <c r="G226" s="124">
        <f t="shared" si="22"/>
        <v>45.39</v>
      </c>
      <c r="H226" s="124">
        <f t="shared" si="23"/>
        <v>34.98</v>
      </c>
      <c r="I226" s="125">
        <f t="shared" si="24"/>
        <v>45.39</v>
      </c>
      <c r="J226" s="125"/>
      <c r="K226" s="122"/>
    </row>
    <row r="227" spans="1:11" s="34" customFormat="1" ht="75">
      <c r="A227" s="118" t="s">
        <v>1720</v>
      </c>
      <c r="B227" s="119" t="s">
        <v>1348</v>
      </c>
      <c r="C227" s="120" t="s">
        <v>1349</v>
      </c>
      <c r="D227" s="121" t="s">
        <v>10</v>
      </c>
      <c r="E227" s="122">
        <v>5</v>
      </c>
      <c r="F227" s="123">
        <f>TRUNC(DESONERADA!F1501,2)</f>
        <v>48.37</v>
      </c>
      <c r="G227" s="124">
        <f t="shared" si="22"/>
        <v>62.76</v>
      </c>
      <c r="H227" s="124">
        <f t="shared" si="23"/>
        <v>241.85</v>
      </c>
      <c r="I227" s="125">
        <f t="shared" si="24"/>
        <v>313.8</v>
      </c>
      <c r="J227" s="125"/>
      <c r="K227" s="122"/>
    </row>
    <row r="228" spans="1:11" s="34" customFormat="1" ht="30">
      <c r="A228" s="118" t="s">
        <v>1721</v>
      </c>
      <c r="B228" s="119" t="s">
        <v>1323</v>
      </c>
      <c r="C228" s="120" t="s">
        <v>1352</v>
      </c>
      <c r="D228" s="121" t="s">
        <v>10</v>
      </c>
      <c r="E228" s="122">
        <v>9</v>
      </c>
      <c r="F228" s="123">
        <f>TRUNC(DESONERADA!F1505,2)</f>
        <v>29</v>
      </c>
      <c r="G228" s="124">
        <f t="shared" si="22"/>
        <v>37.63</v>
      </c>
      <c r="H228" s="124">
        <f t="shared" si="23"/>
        <v>261</v>
      </c>
      <c r="I228" s="125">
        <f t="shared" si="24"/>
        <v>338.67</v>
      </c>
      <c r="J228" s="125"/>
      <c r="K228" s="122"/>
    </row>
    <row r="229" spans="1:11" s="72" customFormat="1" ht="15">
      <c r="A229" s="65" t="s">
        <v>1363</v>
      </c>
      <c r="B229" s="66"/>
      <c r="C229" s="67"/>
      <c r="D229" s="68"/>
      <c r="E229" s="69"/>
      <c r="F229" s="70"/>
      <c r="G229" s="73" t="s">
        <v>1456</v>
      </c>
      <c r="H229" s="75">
        <f>H228+H227+H225+H223+H222+H226+H224</f>
        <v>2248.04</v>
      </c>
      <c r="I229" s="75">
        <f>I228+I227+I225+I223+I222+I226+I224</f>
        <v>2917.14</v>
      </c>
      <c r="J229" s="71"/>
      <c r="K229" s="69"/>
    </row>
    <row r="230" spans="1:11" s="21" customFormat="1" ht="15.75">
      <c r="A230" s="21" t="s">
        <v>1722</v>
      </c>
      <c r="B230" s="28"/>
      <c r="C230" s="29" t="s">
        <v>1463</v>
      </c>
      <c r="D230" s="29"/>
      <c r="E230" s="29"/>
      <c r="F230" s="29"/>
      <c r="G230" s="29"/>
      <c r="H230" s="29"/>
      <c r="I230" s="27"/>
      <c r="J230" s="29"/>
      <c r="K230" s="29"/>
    </row>
    <row r="231" spans="1:10" s="34" customFormat="1" ht="45">
      <c r="A231" s="133" t="s">
        <v>1723</v>
      </c>
      <c r="B231" s="119" t="s">
        <v>567</v>
      </c>
      <c r="C231" s="120" t="s">
        <v>568</v>
      </c>
      <c r="D231" s="121" t="s">
        <v>0</v>
      </c>
      <c r="E231" s="122">
        <v>803.15</v>
      </c>
      <c r="F231" s="124">
        <f>TRUNC(DESONERADA!F1512,2)</f>
        <v>62.47</v>
      </c>
      <c r="G231" s="124">
        <f aca="true" t="shared" si="25" ref="G231:G236">TRUNC(F231*1.2882,2)</f>
        <v>80.47</v>
      </c>
      <c r="H231" s="124">
        <f aca="true" t="shared" si="26" ref="H231:H236">TRUNC(F231*E231,2)</f>
        <v>50172.78</v>
      </c>
      <c r="I231" s="125">
        <f aca="true" t="shared" si="27" ref="I231:I236">TRUNC(E231*G231,2)</f>
        <v>64629.48</v>
      </c>
      <c r="J231" s="134"/>
    </row>
    <row r="232" spans="1:10" s="34" customFormat="1" ht="45">
      <c r="A232" s="133" t="s">
        <v>1724</v>
      </c>
      <c r="B232" s="119" t="s">
        <v>584</v>
      </c>
      <c r="C232" s="120" t="s">
        <v>585</v>
      </c>
      <c r="D232" s="121" t="s">
        <v>2</v>
      </c>
      <c r="E232" s="122">
        <v>220.46</v>
      </c>
      <c r="F232" s="124">
        <f>TRUNC(DESONERADA!F1517,2)</f>
        <v>25.18</v>
      </c>
      <c r="G232" s="124">
        <f t="shared" si="25"/>
        <v>32.43</v>
      </c>
      <c r="H232" s="124">
        <f t="shared" si="26"/>
        <v>5551.18</v>
      </c>
      <c r="I232" s="125">
        <f t="shared" si="27"/>
        <v>7149.51</v>
      </c>
      <c r="J232" s="134"/>
    </row>
    <row r="233" spans="1:10" s="34" customFormat="1" ht="75">
      <c r="A233" s="133" t="s">
        <v>1725</v>
      </c>
      <c r="B233" s="119" t="s">
        <v>571</v>
      </c>
      <c r="C233" s="120" t="s">
        <v>572</v>
      </c>
      <c r="D233" s="121" t="s">
        <v>0</v>
      </c>
      <c r="E233" s="122">
        <v>803.15</v>
      </c>
      <c r="F233" s="124">
        <f>TRUNC(DESONERADA!F1524,2)</f>
        <v>114.83</v>
      </c>
      <c r="G233" s="124">
        <f t="shared" si="25"/>
        <v>147.92</v>
      </c>
      <c r="H233" s="124">
        <f t="shared" si="26"/>
        <v>92225.71</v>
      </c>
      <c r="I233" s="125">
        <f t="shared" si="27"/>
        <v>118801.94</v>
      </c>
      <c r="J233" s="134"/>
    </row>
    <row r="234" spans="1:10" s="34" customFormat="1" ht="30">
      <c r="A234" s="133" t="s">
        <v>1726</v>
      </c>
      <c r="B234" s="119" t="s">
        <v>583</v>
      </c>
      <c r="C234" s="120" t="s">
        <v>1555</v>
      </c>
      <c r="D234" s="121" t="s">
        <v>10</v>
      </c>
      <c r="E234" s="122">
        <v>29</v>
      </c>
      <c r="F234" s="124">
        <f>TRUNC(DESONERADA!F1533,2)</f>
        <v>1241.75</v>
      </c>
      <c r="G234" s="124">
        <f t="shared" si="25"/>
        <v>1599.62</v>
      </c>
      <c r="H234" s="124">
        <f t="shared" si="26"/>
        <v>36010.75</v>
      </c>
      <c r="I234" s="125">
        <f t="shared" si="27"/>
        <v>46388.98</v>
      </c>
      <c r="J234" s="134"/>
    </row>
    <row r="235" spans="1:10" s="34" customFormat="1" ht="45">
      <c r="A235" s="133" t="s">
        <v>1727</v>
      </c>
      <c r="B235" s="119" t="s">
        <v>588</v>
      </c>
      <c r="C235" s="120" t="s">
        <v>589</v>
      </c>
      <c r="D235" s="121" t="s">
        <v>0</v>
      </c>
      <c r="E235" s="122">
        <v>317.66</v>
      </c>
      <c r="F235" s="124">
        <f>TRUNC(DESONERADA!F1542,2)</f>
        <v>21.89</v>
      </c>
      <c r="G235" s="124">
        <f t="shared" si="25"/>
        <v>28.19</v>
      </c>
      <c r="H235" s="124">
        <f t="shared" si="26"/>
        <v>6953.57</v>
      </c>
      <c r="I235" s="125">
        <f t="shared" si="27"/>
        <v>8954.83</v>
      </c>
      <c r="J235" s="134"/>
    </row>
    <row r="236" spans="1:10" s="34" customFormat="1" ht="60">
      <c r="A236" s="133" t="s">
        <v>1728</v>
      </c>
      <c r="B236" s="119" t="s">
        <v>378</v>
      </c>
      <c r="C236" s="120" t="s">
        <v>1556</v>
      </c>
      <c r="D236" s="121" t="s">
        <v>2</v>
      </c>
      <c r="E236" s="122">
        <v>182.2</v>
      </c>
      <c r="F236" s="124">
        <f>TRUNC(DESONERADA!F1547,2)</f>
        <v>99.34</v>
      </c>
      <c r="G236" s="124">
        <f t="shared" si="25"/>
        <v>127.96</v>
      </c>
      <c r="H236" s="124">
        <f t="shared" si="26"/>
        <v>18099.74</v>
      </c>
      <c r="I236" s="125">
        <f t="shared" si="27"/>
        <v>23314.31</v>
      </c>
      <c r="J236" s="134"/>
    </row>
    <row r="237" spans="1:11" s="72" customFormat="1" ht="15">
      <c r="A237" s="65" t="s">
        <v>1363</v>
      </c>
      <c r="B237" s="66"/>
      <c r="C237" s="67"/>
      <c r="D237" s="68"/>
      <c r="E237" s="69"/>
      <c r="F237" s="70"/>
      <c r="G237" s="73" t="s">
        <v>1729</v>
      </c>
      <c r="H237" s="75">
        <f>H235+H234+H233+H232+H231+H236</f>
        <v>209013.72999999998</v>
      </c>
      <c r="I237" s="75">
        <f>I235+I234+I233+I232+I231+I236</f>
        <v>269239.05000000005</v>
      </c>
      <c r="J237" s="71"/>
      <c r="K237" s="69"/>
    </row>
    <row r="238" spans="1:11" s="21" customFormat="1" ht="15.75">
      <c r="A238" s="21" t="s">
        <v>1730</v>
      </c>
      <c r="B238" s="28"/>
      <c r="C238" s="29" t="s">
        <v>1554</v>
      </c>
      <c r="D238" s="29"/>
      <c r="E238" s="29"/>
      <c r="F238" s="29"/>
      <c r="G238" s="29"/>
      <c r="H238" s="29"/>
      <c r="I238" s="27"/>
      <c r="J238" s="29"/>
      <c r="K238" s="29"/>
    </row>
    <row r="239" spans="1:10" s="34" customFormat="1" ht="75">
      <c r="A239" s="133" t="s">
        <v>1731</v>
      </c>
      <c r="B239" s="119" t="s">
        <v>604</v>
      </c>
      <c r="C239" s="120" t="s">
        <v>605</v>
      </c>
      <c r="D239" s="121" t="s">
        <v>2</v>
      </c>
      <c r="E239" s="122">
        <v>33.6</v>
      </c>
      <c r="F239" s="124">
        <f>TRUNC(DESONERADA!F1557,2)</f>
        <v>100.97</v>
      </c>
      <c r="G239" s="124">
        <f aca="true" t="shared" si="28" ref="G239:G247">TRUNC(F239*1.2882,2)</f>
        <v>130.06</v>
      </c>
      <c r="H239" s="124">
        <f aca="true" t="shared" si="29" ref="H239:H247">TRUNC(F239*E239,2)</f>
        <v>3392.59</v>
      </c>
      <c r="I239" s="125">
        <f aca="true" t="shared" si="30" ref="I239:I247">TRUNC(E239*G239,2)</f>
        <v>4370.01</v>
      </c>
      <c r="J239" s="134"/>
    </row>
    <row r="240" spans="1:10" s="34" customFormat="1" ht="45">
      <c r="A240" s="133" t="s">
        <v>1732</v>
      </c>
      <c r="B240" s="119" t="s">
        <v>1496</v>
      </c>
      <c r="C240" s="120" t="s">
        <v>1485</v>
      </c>
      <c r="D240" s="121" t="s">
        <v>1</v>
      </c>
      <c r="E240" s="122">
        <v>6.27</v>
      </c>
      <c r="F240" s="124">
        <f>TRUNC(DESONERADA!F1566,2)</f>
        <v>685.83</v>
      </c>
      <c r="G240" s="124">
        <f t="shared" si="28"/>
        <v>883.48</v>
      </c>
      <c r="H240" s="124">
        <f t="shared" si="29"/>
        <v>4300.15</v>
      </c>
      <c r="I240" s="125">
        <f t="shared" si="30"/>
        <v>5539.41</v>
      </c>
      <c r="J240" s="134"/>
    </row>
    <row r="241" spans="1:10" s="34" customFormat="1" ht="30">
      <c r="A241" s="133" t="s">
        <v>1733</v>
      </c>
      <c r="B241" s="119" t="s">
        <v>1495</v>
      </c>
      <c r="C241" s="120" t="s">
        <v>1492</v>
      </c>
      <c r="D241" s="121" t="s">
        <v>0</v>
      </c>
      <c r="E241" s="122">
        <v>125.48</v>
      </c>
      <c r="F241" s="124">
        <f>TRUNC(DESONERADA!F1574,2)</f>
        <v>17.89</v>
      </c>
      <c r="G241" s="124">
        <f t="shared" si="28"/>
        <v>23.04</v>
      </c>
      <c r="H241" s="124">
        <f t="shared" si="29"/>
        <v>2244.83</v>
      </c>
      <c r="I241" s="125">
        <f t="shared" si="30"/>
        <v>2891.05</v>
      </c>
      <c r="J241" s="134"/>
    </row>
    <row r="242" spans="1:10" s="34" customFormat="1" ht="60">
      <c r="A242" s="133" t="s">
        <v>1734</v>
      </c>
      <c r="B242" s="119" t="s">
        <v>1512</v>
      </c>
      <c r="C242" s="120" t="s">
        <v>1513</v>
      </c>
      <c r="D242" s="121" t="s">
        <v>0</v>
      </c>
      <c r="E242" s="122">
        <v>125.48</v>
      </c>
      <c r="F242" s="124">
        <f>TRUNC(DESONERADA!F1579,2)</f>
        <v>71.56</v>
      </c>
      <c r="G242" s="124">
        <f t="shared" si="28"/>
        <v>92.18</v>
      </c>
      <c r="H242" s="124">
        <f t="shared" si="29"/>
        <v>8979.34</v>
      </c>
      <c r="I242" s="125">
        <f t="shared" si="30"/>
        <v>11566.74</v>
      </c>
      <c r="J242" s="134"/>
    </row>
    <row r="243" spans="1:10" s="34" customFormat="1" ht="30">
      <c r="A243" s="133" t="s">
        <v>1735</v>
      </c>
      <c r="B243" s="119" t="s">
        <v>1497</v>
      </c>
      <c r="C243" s="120" t="s">
        <v>1498</v>
      </c>
      <c r="D243" s="121" t="s">
        <v>0</v>
      </c>
      <c r="E243" s="122">
        <v>46.74</v>
      </c>
      <c r="F243" s="124">
        <f>TRUNC(DESONERADA!F1589,2)</f>
        <v>86.35</v>
      </c>
      <c r="G243" s="124">
        <f t="shared" si="28"/>
        <v>111.23</v>
      </c>
      <c r="H243" s="124">
        <f t="shared" si="29"/>
        <v>4035.99</v>
      </c>
      <c r="I243" s="125">
        <f t="shared" si="30"/>
        <v>5198.89</v>
      </c>
      <c r="J243" s="134"/>
    </row>
    <row r="244" spans="1:10" s="34" customFormat="1" ht="60">
      <c r="A244" s="133" t="s">
        <v>1736</v>
      </c>
      <c r="B244" s="119" t="s">
        <v>536</v>
      </c>
      <c r="C244" s="120" t="s">
        <v>537</v>
      </c>
      <c r="D244" s="121" t="s">
        <v>10</v>
      </c>
      <c r="E244" s="122">
        <v>3</v>
      </c>
      <c r="F244" s="124">
        <f>TRUNC(DESONERADA!F1600,2)</f>
        <v>1235.36</v>
      </c>
      <c r="G244" s="124">
        <f t="shared" si="28"/>
        <v>1591.39</v>
      </c>
      <c r="H244" s="124">
        <f t="shared" si="29"/>
        <v>3706.08</v>
      </c>
      <c r="I244" s="125">
        <f t="shared" si="30"/>
        <v>4774.17</v>
      </c>
      <c r="J244" s="134"/>
    </row>
    <row r="245" spans="1:10" s="34" customFormat="1" ht="45">
      <c r="A245" s="133" t="s">
        <v>2434</v>
      </c>
      <c r="B245" s="119" t="s">
        <v>2423</v>
      </c>
      <c r="C245" s="120" t="s">
        <v>2424</v>
      </c>
      <c r="D245" s="121" t="s">
        <v>0</v>
      </c>
      <c r="E245" s="122">
        <v>207.8</v>
      </c>
      <c r="F245" s="124">
        <f>TRUNC(DESONERADA!F1606,2)</f>
        <v>10.71</v>
      </c>
      <c r="G245" s="124">
        <f t="shared" si="28"/>
        <v>13.79</v>
      </c>
      <c r="H245" s="124">
        <f t="shared" si="29"/>
        <v>2225.53</v>
      </c>
      <c r="I245" s="125">
        <f t="shared" si="30"/>
        <v>2865.56</v>
      </c>
      <c r="J245" s="134"/>
    </row>
    <row r="246" spans="1:10" s="34" customFormat="1" ht="60">
      <c r="A246" s="133" t="s">
        <v>2435</v>
      </c>
      <c r="B246" s="119" t="s">
        <v>2433</v>
      </c>
      <c r="C246" s="120" t="s">
        <v>2430</v>
      </c>
      <c r="D246" s="121" t="s">
        <v>0</v>
      </c>
      <c r="E246" s="122">
        <v>10</v>
      </c>
      <c r="F246" s="124">
        <f>TRUNC(DESONERADA!F1610,2)</f>
        <v>13.2</v>
      </c>
      <c r="G246" s="124">
        <f t="shared" si="28"/>
        <v>17</v>
      </c>
      <c r="H246" s="124">
        <f t="shared" si="29"/>
        <v>132</v>
      </c>
      <c r="I246" s="125">
        <f t="shared" si="30"/>
        <v>170</v>
      </c>
      <c r="J246" s="134"/>
    </row>
    <row r="247" spans="1:10" s="34" customFormat="1" ht="45">
      <c r="A247" s="133" t="s">
        <v>2461</v>
      </c>
      <c r="B247" s="119" t="s">
        <v>2463</v>
      </c>
      <c r="C247" s="120" t="s">
        <v>2462</v>
      </c>
      <c r="D247" s="121" t="s">
        <v>0</v>
      </c>
      <c r="E247" s="122">
        <v>14.38</v>
      </c>
      <c r="F247" s="124">
        <f>TRUNC(DESONERADA!F1613,2)</f>
        <v>103.58</v>
      </c>
      <c r="G247" s="124">
        <f t="shared" si="28"/>
        <v>133.43</v>
      </c>
      <c r="H247" s="124">
        <f t="shared" si="29"/>
        <v>1489.48</v>
      </c>
      <c r="I247" s="125">
        <f t="shared" si="30"/>
        <v>1918.72</v>
      </c>
      <c r="J247" s="134"/>
    </row>
    <row r="248" spans="1:11" s="72" customFormat="1" ht="15">
      <c r="A248" s="65" t="s">
        <v>1363</v>
      </c>
      <c r="B248" s="66"/>
      <c r="C248" s="67"/>
      <c r="D248" s="68"/>
      <c r="E248" s="69"/>
      <c r="F248" s="70"/>
      <c r="G248" s="73" t="s">
        <v>1737</v>
      </c>
      <c r="H248" s="75">
        <f>H244+H243+H242+H241+H240+H239+H245+H246+H247</f>
        <v>30505.989999999998</v>
      </c>
      <c r="I248" s="75">
        <f>I244+I243+I242+I241+I240+I239+I245+I246+I247</f>
        <v>39294.55</v>
      </c>
      <c r="J248" s="71"/>
      <c r="K248" s="69"/>
    </row>
    <row r="249" spans="1:11" s="21" customFormat="1" ht="15.75">
      <c r="A249" s="21" t="s">
        <v>1738</v>
      </c>
      <c r="B249" s="28"/>
      <c r="C249" s="29" t="s">
        <v>1518</v>
      </c>
      <c r="D249" s="29"/>
      <c r="E249" s="29"/>
      <c r="F249" s="29"/>
      <c r="G249" s="29"/>
      <c r="H249" s="29"/>
      <c r="I249" s="27"/>
      <c r="J249" s="29"/>
      <c r="K249" s="29"/>
    </row>
    <row r="250" spans="1:10" s="34" customFormat="1" ht="60">
      <c r="A250" s="133" t="s">
        <v>1739</v>
      </c>
      <c r="B250" s="119" t="s">
        <v>1560</v>
      </c>
      <c r="C250" s="120" t="s">
        <v>1557</v>
      </c>
      <c r="D250" s="121" t="s">
        <v>0</v>
      </c>
      <c r="E250" s="122">
        <v>53.74</v>
      </c>
      <c r="F250" s="124">
        <f>TRUNC(DESONERADA!F1624,2)</f>
        <v>419.22</v>
      </c>
      <c r="G250" s="124">
        <f>TRUNC(F250*1.2882,2)</f>
        <v>540.03</v>
      </c>
      <c r="H250" s="124">
        <f>TRUNC(F250*E250,2)</f>
        <v>22528.88</v>
      </c>
      <c r="I250" s="125">
        <f>TRUNC(E250*G250,2)</f>
        <v>29021.21</v>
      </c>
      <c r="J250" s="134"/>
    </row>
    <row r="251" spans="1:10" s="34" customFormat="1" ht="30">
      <c r="A251" s="133" t="s">
        <v>1740</v>
      </c>
      <c r="B251" s="119" t="s">
        <v>1560</v>
      </c>
      <c r="C251" s="120" t="s">
        <v>1562</v>
      </c>
      <c r="D251" s="121" t="s">
        <v>0</v>
      </c>
      <c r="E251" s="122">
        <v>11.56</v>
      </c>
      <c r="F251" s="124">
        <f>TRUNC(DESONERADA!F1633,2)</f>
        <v>952.23</v>
      </c>
      <c r="G251" s="124">
        <f>TRUNC(F251*1.2882,2)</f>
        <v>1226.66</v>
      </c>
      <c r="H251" s="124">
        <f>TRUNC(F251*E251,2)</f>
        <v>11007.77</v>
      </c>
      <c r="I251" s="125">
        <f>TRUNC(E251*G251,2)</f>
        <v>14180.18</v>
      </c>
      <c r="J251" s="134"/>
    </row>
    <row r="252" spans="1:11" s="72" customFormat="1" ht="15">
      <c r="A252" s="65" t="s">
        <v>1363</v>
      </c>
      <c r="B252" s="66"/>
      <c r="C252" s="67"/>
      <c r="D252" s="68"/>
      <c r="E252" s="69"/>
      <c r="F252" s="70"/>
      <c r="G252" s="73" t="s">
        <v>1741</v>
      </c>
      <c r="H252" s="75">
        <f>H251+H250</f>
        <v>33536.65</v>
      </c>
      <c r="I252" s="75">
        <f>I251+I250</f>
        <v>43201.39</v>
      </c>
      <c r="J252" s="71"/>
      <c r="K252" s="69"/>
    </row>
    <row r="253" spans="1:11" s="21" customFormat="1" ht="15.75">
      <c r="A253" s="21" t="s">
        <v>1742</v>
      </c>
      <c r="B253" s="28"/>
      <c r="C253" s="29" t="s">
        <v>1519</v>
      </c>
      <c r="D253" s="29"/>
      <c r="E253" s="29"/>
      <c r="F253" s="29"/>
      <c r="G253" s="29"/>
      <c r="H253" s="29"/>
      <c r="I253" s="27"/>
      <c r="J253" s="29"/>
      <c r="K253" s="29"/>
    </row>
    <row r="254" spans="1:10" s="34" customFormat="1" ht="60">
      <c r="A254" s="133" t="s">
        <v>1743</v>
      </c>
      <c r="B254" s="119" t="s">
        <v>57</v>
      </c>
      <c r="C254" s="120" t="s">
        <v>45</v>
      </c>
      <c r="D254" s="121" t="s">
        <v>10</v>
      </c>
      <c r="E254" s="122">
        <v>15</v>
      </c>
      <c r="F254" s="124">
        <f>TRUNC(DESONERADA!F1644,2)</f>
        <v>258.86</v>
      </c>
      <c r="G254" s="124">
        <f>TRUNC(F254*1.2882,2)</f>
        <v>333.46</v>
      </c>
      <c r="H254" s="124">
        <f>TRUNC(F254*E254,2)</f>
        <v>3882.9</v>
      </c>
      <c r="I254" s="125">
        <f>TRUNC(E254*G254,2)</f>
        <v>5001.9</v>
      </c>
      <c r="J254" s="134"/>
    </row>
    <row r="255" spans="1:11" s="72" customFormat="1" ht="15">
      <c r="A255" s="65" t="s">
        <v>1363</v>
      </c>
      <c r="B255" s="66"/>
      <c r="C255" s="67"/>
      <c r="D255" s="68"/>
      <c r="E255" s="69"/>
      <c r="F255" s="70"/>
      <c r="G255" s="73" t="s">
        <v>1741</v>
      </c>
      <c r="H255" s="75">
        <f>H254</f>
        <v>3882.9</v>
      </c>
      <c r="I255" s="75">
        <f>I254</f>
        <v>5001.9</v>
      </c>
      <c r="J255" s="71"/>
      <c r="K255" s="69"/>
    </row>
    <row r="256" spans="1:11" s="42" customFormat="1" ht="15.75">
      <c r="A256" s="38" t="s">
        <v>22</v>
      </c>
      <c r="B256" s="39"/>
      <c r="C256" s="40"/>
      <c r="D256" s="39"/>
      <c r="E256" s="39"/>
      <c r="F256" s="39" t="s">
        <v>44</v>
      </c>
      <c r="G256" s="39"/>
      <c r="H256" s="41">
        <f>H18+H25+H43+H67+H84+H90+H172+H217+H220+H229+H237+H248+H252+H255</f>
        <v>1440401.64</v>
      </c>
      <c r="I256" s="41">
        <f>I18+I25+I43+I67+I84+I90+I172+I217+I220+I229+I237+I248+I252+I255</f>
        <v>1855244.8899999997</v>
      </c>
      <c r="J256" s="39"/>
      <c r="K256" s="39"/>
    </row>
  </sheetData>
  <sheetProtection/>
  <mergeCells count="15">
    <mergeCell ref="J10:J11"/>
    <mergeCell ref="K10:K11"/>
    <mergeCell ref="A9:G9"/>
    <mergeCell ref="A10:A11"/>
    <mergeCell ref="B10:B11"/>
    <mergeCell ref="C10:C11"/>
    <mergeCell ref="D10:D11"/>
    <mergeCell ref="E10:E11"/>
    <mergeCell ref="F10:I10"/>
    <mergeCell ref="D3:G3"/>
    <mergeCell ref="D4:G4"/>
    <mergeCell ref="D5:G5"/>
    <mergeCell ref="D6:G6"/>
    <mergeCell ref="D7:G7"/>
    <mergeCell ref="D8:G8"/>
  </mergeCells>
  <printOptions/>
  <pageMargins left="0.5118110236220472" right="0.5118110236220472" top="0.7874015748031497" bottom="0.7874015748031497" header="0.31496062992125984" footer="0.31496062992125984"/>
  <pageSetup horizontalDpi="600" verticalDpi="600" orientation="portrait" paperSize="9" scale="39" r:id="rId2"/>
  <headerFooter>
    <oddFooter>&amp;C&amp;A&amp;RPágina &amp;P de &amp;N</oddFooter>
  </headerFooter>
  <drawing r:id="rId1"/>
</worksheet>
</file>

<file path=xl/worksheets/sheet3.xml><?xml version="1.0" encoding="utf-8"?>
<worksheet xmlns="http://schemas.openxmlformats.org/spreadsheetml/2006/main" xmlns:r="http://schemas.openxmlformats.org/officeDocument/2006/relationships">
  <dimension ref="A1:L1698"/>
  <sheetViews>
    <sheetView view="pageBreakPreview" zoomScale="70" zoomScaleSheetLayoutView="70" zoomScalePageLayoutView="0" workbookViewId="0" topLeftCell="A1">
      <selection activeCell="C13" sqref="C13"/>
    </sheetView>
  </sheetViews>
  <sheetFormatPr defaultColWidth="9.140625" defaultRowHeight="15"/>
  <cols>
    <col min="2" max="2" width="23.421875" style="0" customWidth="1"/>
    <col min="3" max="3" width="90.421875" style="1" customWidth="1"/>
    <col min="4" max="4" width="11.140625" style="0" customWidth="1"/>
    <col min="5" max="5" width="10.7109375" style="0" bestFit="1" customWidth="1"/>
    <col min="6" max="6" width="19.00390625" style="0" bestFit="1" customWidth="1"/>
    <col min="7" max="7" width="13.8515625" style="0" bestFit="1" customWidth="1"/>
    <col min="8" max="8" width="16.8515625" style="0" bestFit="1" customWidth="1"/>
    <col min="9" max="9" width="17.140625" style="0" bestFit="1" customWidth="1"/>
    <col min="10" max="11" width="10.7109375" style="0" bestFit="1" customWidth="1"/>
  </cols>
  <sheetData>
    <row r="1" spans="1:11" ht="15.75">
      <c r="A1" s="2"/>
      <c r="B1" s="3"/>
      <c r="C1" s="4" t="s">
        <v>13</v>
      </c>
      <c r="D1" s="5"/>
      <c r="E1" s="6"/>
      <c r="F1" s="7"/>
      <c r="G1" s="8"/>
      <c r="J1" s="6"/>
      <c r="K1" s="6"/>
    </row>
    <row r="2" spans="1:11" ht="15.75">
      <c r="A2" s="9"/>
      <c r="B2" s="10"/>
      <c r="C2" s="11" t="s">
        <v>14</v>
      </c>
      <c r="D2" s="12"/>
      <c r="E2" s="13"/>
      <c r="F2" s="14"/>
      <c r="G2" s="15"/>
      <c r="J2" s="13"/>
      <c r="K2" s="13"/>
    </row>
    <row r="3" spans="1:7" ht="15.75">
      <c r="A3" s="9"/>
      <c r="B3" s="10"/>
      <c r="C3" s="11" t="s">
        <v>15</v>
      </c>
      <c r="D3" s="135" t="s">
        <v>40</v>
      </c>
      <c r="E3" s="136"/>
      <c r="F3" s="136"/>
      <c r="G3" s="137"/>
    </row>
    <row r="4" spans="1:7" ht="15.75" customHeight="1">
      <c r="A4" s="9"/>
      <c r="B4" s="10"/>
      <c r="C4" s="16" t="s">
        <v>2486</v>
      </c>
      <c r="D4" s="138" t="s">
        <v>2490</v>
      </c>
      <c r="E4" s="139"/>
      <c r="F4" s="139"/>
      <c r="G4" s="140"/>
    </row>
    <row r="5" spans="1:7" ht="30">
      <c r="A5" s="9"/>
      <c r="B5" s="10"/>
      <c r="C5" s="22" t="s">
        <v>2487</v>
      </c>
      <c r="D5" s="141" t="s">
        <v>2488</v>
      </c>
      <c r="E5" s="142"/>
      <c r="F5" s="142"/>
      <c r="G5" s="143"/>
    </row>
    <row r="6" spans="1:7" ht="15.75">
      <c r="A6" s="9"/>
      <c r="B6" s="10"/>
      <c r="C6" s="17" t="s">
        <v>2491</v>
      </c>
      <c r="D6" s="144" t="s">
        <v>2489</v>
      </c>
      <c r="E6" s="145"/>
      <c r="F6" s="145"/>
      <c r="G6" s="146"/>
    </row>
    <row r="7" spans="1:7" ht="15.75">
      <c r="A7" s="9"/>
      <c r="B7" s="10"/>
      <c r="C7" s="23" t="s">
        <v>2493</v>
      </c>
      <c r="D7" s="144" t="s">
        <v>42</v>
      </c>
      <c r="E7" s="145"/>
      <c r="F7" s="145"/>
      <c r="G7" s="146"/>
    </row>
    <row r="8" spans="1:7" ht="15.75">
      <c r="A8" s="18"/>
      <c r="B8" s="19"/>
      <c r="C8" s="20"/>
      <c r="D8" s="147" t="s">
        <v>24</v>
      </c>
      <c r="E8" s="148"/>
      <c r="F8" s="148"/>
      <c r="G8" s="149"/>
    </row>
    <row r="9" spans="1:7" ht="15">
      <c r="A9" s="151" t="s">
        <v>16</v>
      </c>
      <c r="B9" s="152"/>
      <c r="C9" s="152"/>
      <c r="D9" s="152"/>
      <c r="E9" s="152"/>
      <c r="F9" s="152"/>
      <c r="G9" s="152"/>
    </row>
    <row r="10" spans="1:11" s="25" customFormat="1" ht="12.75" customHeight="1">
      <c r="A10" s="153" t="s">
        <v>17</v>
      </c>
      <c r="B10" s="154" t="s">
        <v>25</v>
      </c>
      <c r="C10" s="154" t="s">
        <v>18</v>
      </c>
      <c r="D10" s="153" t="s">
        <v>10</v>
      </c>
      <c r="E10" s="150" t="s">
        <v>19</v>
      </c>
      <c r="F10" s="155" t="s">
        <v>20</v>
      </c>
      <c r="G10" s="155"/>
      <c r="H10" s="155"/>
      <c r="I10" s="155"/>
      <c r="J10" s="150" t="s">
        <v>19</v>
      </c>
      <c r="K10" s="150" t="s">
        <v>19</v>
      </c>
    </row>
    <row r="11" spans="1:11" s="25" customFormat="1" ht="12.75" customHeight="1">
      <c r="A11" s="153"/>
      <c r="B11" s="154"/>
      <c r="C11" s="154"/>
      <c r="D11" s="153"/>
      <c r="E11" s="150"/>
      <c r="F11" s="26" t="s">
        <v>28</v>
      </c>
      <c r="G11" s="26" t="s">
        <v>29</v>
      </c>
      <c r="H11" s="26" t="s">
        <v>30</v>
      </c>
      <c r="I11" s="24" t="s">
        <v>31</v>
      </c>
      <c r="J11" s="150"/>
      <c r="K11" s="150"/>
    </row>
    <row r="12" spans="1:11" s="21" customFormat="1" ht="15.75">
      <c r="A12" s="21" t="s">
        <v>11</v>
      </c>
      <c r="B12" s="28"/>
      <c r="C12" s="29" t="s">
        <v>12</v>
      </c>
      <c r="D12" s="29"/>
      <c r="E12" s="29"/>
      <c r="F12" s="29"/>
      <c r="G12" s="29"/>
      <c r="H12" s="29"/>
      <c r="I12" s="27"/>
      <c r="J12" s="29"/>
      <c r="K12" s="29"/>
    </row>
    <row r="13" spans="1:11" s="107" customFormat="1" ht="60">
      <c r="A13" s="99" t="s">
        <v>6</v>
      </c>
      <c r="B13" s="100" t="s">
        <v>1744</v>
      </c>
      <c r="C13" s="101" t="s">
        <v>60</v>
      </c>
      <c r="D13" s="102" t="s">
        <v>0</v>
      </c>
      <c r="E13" s="103">
        <v>10</v>
      </c>
      <c r="F13" s="104">
        <f>TRUNC(G19,2)</f>
        <v>211.28</v>
      </c>
      <c r="G13" s="105">
        <f>TRUNC(F13*1.2247,2)</f>
        <v>258.75</v>
      </c>
      <c r="H13" s="105">
        <f>TRUNC(F13*E13,2)</f>
        <v>2112.8</v>
      </c>
      <c r="I13" s="106">
        <f>TRUNC(E13*G13,2)</f>
        <v>2587.5</v>
      </c>
      <c r="J13" s="106">
        <f>TRUNC(F13*H13,2)</f>
        <v>446392.38</v>
      </c>
      <c r="K13" s="103">
        <v>80</v>
      </c>
    </row>
    <row r="14" spans="1:11" s="34" customFormat="1" ht="30">
      <c r="A14" s="30"/>
      <c r="B14" s="43" t="s">
        <v>61</v>
      </c>
      <c r="C14" s="45" t="s">
        <v>62</v>
      </c>
      <c r="D14" s="46" t="s">
        <v>0</v>
      </c>
      <c r="E14" s="44">
        <v>1</v>
      </c>
      <c r="F14" s="31">
        <f>TRUNC(71.5834,2)</f>
        <v>71.58</v>
      </c>
      <c r="G14" s="32">
        <f>TRUNC(E14*F14,2)</f>
        <v>71.58</v>
      </c>
      <c r="H14" s="32"/>
      <c r="I14" s="33"/>
      <c r="J14" s="33"/>
      <c r="K14" s="44"/>
    </row>
    <row r="15" spans="1:11" s="34" customFormat="1" ht="30">
      <c r="A15" s="30"/>
      <c r="B15" s="43" t="s">
        <v>63</v>
      </c>
      <c r="C15" s="45" t="s">
        <v>64</v>
      </c>
      <c r="D15" s="46" t="s">
        <v>3</v>
      </c>
      <c r="E15" s="44">
        <v>0.3</v>
      </c>
      <c r="F15" s="31">
        <f>TRUNC(15.94,2)</f>
        <v>15.94</v>
      </c>
      <c r="G15" s="32">
        <f>TRUNC(E15*F15,2)</f>
        <v>4.78</v>
      </c>
      <c r="H15" s="32"/>
      <c r="I15" s="33"/>
      <c r="J15" s="33"/>
      <c r="K15" s="44"/>
    </row>
    <row r="16" spans="1:11" s="34" customFormat="1" ht="15">
      <c r="A16" s="30"/>
      <c r="B16" s="43" t="s">
        <v>65</v>
      </c>
      <c r="C16" s="45" t="s">
        <v>66</v>
      </c>
      <c r="D16" s="46" t="s">
        <v>2</v>
      </c>
      <c r="E16" s="44">
        <v>9.2</v>
      </c>
      <c r="F16" s="31">
        <f>TRUNC(5.45,2)</f>
        <v>5.45</v>
      </c>
      <c r="G16" s="32">
        <f>TRUNC(E16*F16,2)</f>
        <v>50.14</v>
      </c>
      <c r="H16" s="32"/>
      <c r="I16" s="33"/>
      <c r="J16" s="33"/>
      <c r="K16" s="44"/>
    </row>
    <row r="17" spans="1:11" s="34" customFormat="1" ht="30">
      <c r="A17" s="30"/>
      <c r="B17" s="43" t="s">
        <v>33</v>
      </c>
      <c r="C17" s="45" t="s">
        <v>34</v>
      </c>
      <c r="D17" s="46" t="s">
        <v>4</v>
      </c>
      <c r="E17" s="44">
        <v>2.06</v>
      </c>
      <c r="F17" s="31">
        <f>TRUNC(16.55,2)</f>
        <v>16.55</v>
      </c>
      <c r="G17" s="32">
        <f>TRUNC(E17*F17,2)</f>
        <v>34.09</v>
      </c>
      <c r="H17" s="32"/>
      <c r="I17" s="33"/>
      <c r="J17" s="33"/>
      <c r="K17" s="44"/>
    </row>
    <row r="18" spans="1:11" s="34" customFormat="1" ht="30">
      <c r="A18" s="30"/>
      <c r="B18" s="43" t="s">
        <v>1745</v>
      </c>
      <c r="C18" s="45" t="s">
        <v>1746</v>
      </c>
      <c r="D18" s="46" t="s">
        <v>4</v>
      </c>
      <c r="E18" s="44">
        <v>2.06</v>
      </c>
      <c r="F18" s="31">
        <f>TRUNC(24.61,2)</f>
        <v>24.61</v>
      </c>
      <c r="G18" s="32">
        <f>TRUNC(E18*F18,2)</f>
        <v>50.69</v>
      </c>
      <c r="H18" s="32"/>
      <c r="I18" s="33"/>
      <c r="J18" s="33"/>
      <c r="K18" s="44"/>
    </row>
    <row r="19" spans="1:11" s="34" customFormat="1" ht="15">
      <c r="A19" s="30"/>
      <c r="B19" s="43"/>
      <c r="C19" s="45"/>
      <c r="D19" s="46"/>
      <c r="E19" s="44" t="s">
        <v>5</v>
      </c>
      <c r="F19" s="31"/>
      <c r="G19" s="32">
        <f>TRUNC(SUM(G14:G18),2)</f>
        <v>211.28</v>
      </c>
      <c r="H19" s="32"/>
      <c r="I19" s="33"/>
      <c r="J19" s="33"/>
      <c r="K19" s="44"/>
    </row>
    <row r="20" spans="1:11" s="107" customFormat="1" ht="120">
      <c r="A20" s="99" t="s">
        <v>7</v>
      </c>
      <c r="B20" s="100" t="s">
        <v>1747</v>
      </c>
      <c r="C20" s="101" t="s">
        <v>96</v>
      </c>
      <c r="D20" s="102" t="s">
        <v>0</v>
      </c>
      <c r="E20" s="103">
        <v>40</v>
      </c>
      <c r="F20" s="104">
        <f>TRUNC(G92,2)</f>
        <v>458.6</v>
      </c>
      <c r="G20" s="105">
        <f>TRUNC(F20*1.2247,2)</f>
        <v>561.64</v>
      </c>
      <c r="H20" s="105">
        <f>TRUNC(F20*E20,2)</f>
        <v>18344</v>
      </c>
      <c r="I20" s="106">
        <f>TRUNC(E20*G20,2)</f>
        <v>22465.6</v>
      </c>
      <c r="J20" s="106"/>
      <c r="K20" s="103"/>
    </row>
    <row r="21" spans="1:11" s="34" customFormat="1" ht="15">
      <c r="A21" s="30"/>
      <c r="B21" s="43" t="s">
        <v>153</v>
      </c>
      <c r="C21" s="45" t="s">
        <v>154</v>
      </c>
      <c r="D21" s="46" t="s">
        <v>10</v>
      </c>
      <c r="E21" s="44">
        <v>0.0213</v>
      </c>
      <c r="F21" s="31">
        <f>TRUNC(1.75,2)</f>
        <v>1.75</v>
      </c>
      <c r="G21" s="32">
        <f aca="true" t="shared" si="0" ref="G21:G52">TRUNC(E21*F21,2)</f>
        <v>0.03</v>
      </c>
      <c r="H21" s="32"/>
      <c r="I21" s="33"/>
      <c r="J21" s="33"/>
      <c r="K21" s="44"/>
    </row>
    <row r="22" spans="1:11" s="34" customFormat="1" ht="15">
      <c r="A22" s="30"/>
      <c r="B22" s="43" t="s">
        <v>97</v>
      </c>
      <c r="C22" s="45" t="s">
        <v>98</v>
      </c>
      <c r="D22" s="46" t="s">
        <v>10</v>
      </c>
      <c r="E22" s="44">
        <v>0.0267</v>
      </c>
      <c r="F22" s="31">
        <f>TRUNC(0.56,2)</f>
        <v>0.56</v>
      </c>
      <c r="G22" s="32">
        <f t="shared" si="0"/>
        <v>0.01</v>
      </c>
      <c r="H22" s="32"/>
      <c r="I22" s="33"/>
      <c r="J22" s="33"/>
      <c r="K22" s="44"/>
    </row>
    <row r="23" spans="1:11" s="34" customFormat="1" ht="15">
      <c r="A23" s="30"/>
      <c r="B23" s="43" t="s">
        <v>113</v>
      </c>
      <c r="C23" s="45" t="s">
        <v>114</v>
      </c>
      <c r="D23" s="46" t="s">
        <v>10</v>
      </c>
      <c r="E23" s="44">
        <v>0.0133</v>
      </c>
      <c r="F23" s="31">
        <f>TRUNC(73.77,2)</f>
        <v>73.77</v>
      </c>
      <c r="G23" s="32">
        <f t="shared" si="0"/>
        <v>0.98</v>
      </c>
      <c r="H23" s="32"/>
      <c r="I23" s="33"/>
      <c r="J23" s="33"/>
      <c r="K23" s="44"/>
    </row>
    <row r="24" spans="1:11" s="34" customFormat="1" ht="30">
      <c r="A24" s="30"/>
      <c r="B24" s="43" t="s">
        <v>165</v>
      </c>
      <c r="C24" s="45" t="s">
        <v>166</v>
      </c>
      <c r="D24" s="46" t="s">
        <v>10</v>
      </c>
      <c r="E24" s="44">
        <v>0.0212</v>
      </c>
      <c r="F24" s="31">
        <f>TRUNC(6.7,2)</f>
        <v>6.7</v>
      </c>
      <c r="G24" s="32">
        <f t="shared" si="0"/>
        <v>0.14</v>
      </c>
      <c r="H24" s="32"/>
      <c r="I24" s="33"/>
      <c r="J24" s="33"/>
      <c r="K24" s="44"/>
    </row>
    <row r="25" spans="1:11" s="34" customFormat="1" ht="30">
      <c r="A25" s="30"/>
      <c r="B25" s="43" t="s">
        <v>109</v>
      </c>
      <c r="C25" s="45" t="s">
        <v>110</v>
      </c>
      <c r="D25" s="46" t="s">
        <v>10</v>
      </c>
      <c r="E25" s="44">
        <v>0.0222</v>
      </c>
      <c r="F25" s="31">
        <f>TRUNC(28.23,2)</f>
        <v>28.23</v>
      </c>
      <c r="G25" s="32">
        <f t="shared" si="0"/>
        <v>0.62</v>
      </c>
      <c r="H25" s="32"/>
      <c r="I25" s="33"/>
      <c r="J25" s="33"/>
      <c r="K25" s="44"/>
    </row>
    <row r="26" spans="1:11" s="34" customFormat="1" ht="30">
      <c r="A26" s="30"/>
      <c r="B26" s="43" t="s">
        <v>111</v>
      </c>
      <c r="C26" s="45" t="s">
        <v>112</v>
      </c>
      <c r="D26" s="46" t="s">
        <v>3</v>
      </c>
      <c r="E26" s="44">
        <v>0.6799999999999999</v>
      </c>
      <c r="F26" s="31">
        <f>TRUNC(8.11,2)</f>
        <v>8.11</v>
      </c>
      <c r="G26" s="32">
        <f t="shared" si="0"/>
        <v>5.51</v>
      </c>
      <c r="H26" s="32"/>
      <c r="I26" s="33"/>
      <c r="J26" s="33"/>
      <c r="K26" s="44"/>
    </row>
    <row r="27" spans="1:11" s="34" customFormat="1" ht="30">
      <c r="A27" s="30"/>
      <c r="B27" s="43" t="s">
        <v>105</v>
      </c>
      <c r="C27" s="45" t="s">
        <v>106</v>
      </c>
      <c r="D27" s="46" t="s">
        <v>10</v>
      </c>
      <c r="E27" s="44">
        <v>0.0267</v>
      </c>
      <c r="F27" s="31">
        <f>TRUNC(38.47,2)</f>
        <v>38.47</v>
      </c>
      <c r="G27" s="32">
        <f t="shared" si="0"/>
        <v>1.02</v>
      </c>
      <c r="H27" s="32"/>
      <c r="I27" s="33"/>
      <c r="J27" s="33"/>
      <c r="K27" s="44"/>
    </row>
    <row r="28" spans="1:11" s="34" customFormat="1" ht="15">
      <c r="A28" s="30"/>
      <c r="B28" s="43" t="s">
        <v>103</v>
      </c>
      <c r="C28" s="45" t="s">
        <v>104</v>
      </c>
      <c r="D28" s="46" t="s">
        <v>10</v>
      </c>
      <c r="E28" s="44">
        <v>0.0427</v>
      </c>
      <c r="F28" s="31">
        <f>TRUNC(6.63,2)</f>
        <v>6.63</v>
      </c>
      <c r="G28" s="32">
        <f t="shared" si="0"/>
        <v>0.28</v>
      </c>
      <c r="H28" s="32"/>
      <c r="I28" s="33"/>
      <c r="J28" s="33"/>
      <c r="K28" s="44"/>
    </row>
    <row r="29" spans="1:11" s="34" customFormat="1" ht="15">
      <c r="A29" s="30"/>
      <c r="B29" s="43" t="s">
        <v>101</v>
      </c>
      <c r="C29" s="45" t="s">
        <v>102</v>
      </c>
      <c r="D29" s="46" t="s">
        <v>10</v>
      </c>
      <c r="E29" s="44">
        <v>0.032</v>
      </c>
      <c r="F29" s="31">
        <f>TRUNC(30.75,2)</f>
        <v>30.75</v>
      </c>
      <c r="G29" s="32">
        <f t="shared" si="0"/>
        <v>0.98</v>
      </c>
      <c r="H29" s="32"/>
      <c r="I29" s="33"/>
      <c r="J29" s="33"/>
      <c r="K29" s="44"/>
    </row>
    <row r="30" spans="1:11" s="34" customFormat="1" ht="15">
      <c r="A30" s="30"/>
      <c r="B30" s="43" t="s">
        <v>99</v>
      </c>
      <c r="C30" s="45" t="s">
        <v>100</v>
      </c>
      <c r="D30" s="46" t="s">
        <v>10</v>
      </c>
      <c r="E30" s="44">
        <v>0.0267</v>
      </c>
      <c r="F30" s="31">
        <f>TRUNC(1.08,2)</f>
        <v>1.08</v>
      </c>
      <c r="G30" s="32">
        <f t="shared" si="0"/>
        <v>0.02</v>
      </c>
      <c r="H30" s="32"/>
      <c r="I30" s="33"/>
      <c r="J30" s="33"/>
      <c r="K30" s="44"/>
    </row>
    <row r="31" spans="1:11" s="34" customFormat="1" ht="15">
      <c r="A31" s="30"/>
      <c r="B31" s="43" t="s">
        <v>141</v>
      </c>
      <c r="C31" s="45" t="s">
        <v>142</v>
      </c>
      <c r="D31" s="46" t="s">
        <v>10</v>
      </c>
      <c r="E31" s="44">
        <v>0.0255</v>
      </c>
      <c r="F31" s="31">
        <f>TRUNC(5.35,2)</f>
        <v>5.35</v>
      </c>
      <c r="G31" s="32">
        <f t="shared" si="0"/>
        <v>0.13</v>
      </c>
      <c r="H31" s="32"/>
      <c r="I31" s="33"/>
      <c r="J31" s="33"/>
      <c r="K31" s="44"/>
    </row>
    <row r="32" spans="1:11" s="34" customFormat="1" ht="15">
      <c r="A32" s="30"/>
      <c r="B32" s="43" t="s">
        <v>145</v>
      </c>
      <c r="C32" s="45" t="s">
        <v>146</v>
      </c>
      <c r="D32" s="46" t="s">
        <v>10</v>
      </c>
      <c r="E32" s="44">
        <v>0.053934</v>
      </c>
      <c r="F32" s="31">
        <f>TRUNC(4.22,2)</f>
        <v>4.22</v>
      </c>
      <c r="G32" s="32">
        <f t="shared" si="0"/>
        <v>0.22</v>
      </c>
      <c r="H32" s="32"/>
      <c r="I32" s="33"/>
      <c r="J32" s="33"/>
      <c r="K32" s="44"/>
    </row>
    <row r="33" spans="1:11" s="34" customFormat="1" ht="15">
      <c r="A33" s="30"/>
      <c r="B33" s="43" t="s">
        <v>115</v>
      </c>
      <c r="C33" s="45" t="s">
        <v>116</v>
      </c>
      <c r="D33" s="46" t="s">
        <v>2</v>
      </c>
      <c r="E33" s="44">
        <v>0.7020510000000001</v>
      </c>
      <c r="F33" s="31">
        <f>TRUNC(4,2)</f>
        <v>4</v>
      </c>
      <c r="G33" s="32">
        <f t="shared" si="0"/>
        <v>2.8</v>
      </c>
      <c r="H33" s="32"/>
      <c r="I33" s="33"/>
      <c r="J33" s="33"/>
      <c r="K33" s="44"/>
    </row>
    <row r="34" spans="1:11" s="34" customFormat="1" ht="15">
      <c r="A34" s="30"/>
      <c r="B34" s="43" t="s">
        <v>117</v>
      </c>
      <c r="C34" s="45" t="s">
        <v>118</v>
      </c>
      <c r="D34" s="46" t="s">
        <v>10</v>
      </c>
      <c r="E34" s="44">
        <v>0.1336</v>
      </c>
      <c r="F34" s="31">
        <f>TRUNC(1.72,2)</f>
        <v>1.72</v>
      </c>
      <c r="G34" s="32">
        <f t="shared" si="0"/>
        <v>0.22</v>
      </c>
      <c r="H34" s="32"/>
      <c r="I34" s="33"/>
      <c r="J34" s="33"/>
      <c r="K34" s="44"/>
    </row>
    <row r="35" spans="1:11" s="34" customFormat="1" ht="15">
      <c r="A35" s="30"/>
      <c r="B35" s="43" t="s">
        <v>155</v>
      </c>
      <c r="C35" s="45" t="s">
        <v>156</v>
      </c>
      <c r="D35" s="46" t="s">
        <v>0</v>
      </c>
      <c r="E35" s="44">
        <v>0.49</v>
      </c>
      <c r="F35" s="31">
        <f>TRUNC(20.8626,2)</f>
        <v>20.86</v>
      </c>
      <c r="G35" s="32">
        <f t="shared" si="0"/>
        <v>10.22</v>
      </c>
      <c r="H35" s="32"/>
      <c r="I35" s="33"/>
      <c r="J35" s="33"/>
      <c r="K35" s="44"/>
    </row>
    <row r="36" spans="1:11" s="34" customFormat="1" ht="15">
      <c r="A36" s="30"/>
      <c r="B36" s="43" t="s">
        <v>129</v>
      </c>
      <c r="C36" s="45" t="s">
        <v>130</v>
      </c>
      <c r="D36" s="46" t="s">
        <v>10</v>
      </c>
      <c r="E36" s="44">
        <v>0.0133</v>
      </c>
      <c r="F36" s="31">
        <f>TRUNC(70.8,2)</f>
        <v>70.8</v>
      </c>
      <c r="G36" s="32">
        <f t="shared" si="0"/>
        <v>0.94</v>
      </c>
      <c r="H36" s="32"/>
      <c r="I36" s="33"/>
      <c r="J36" s="33"/>
      <c r="K36" s="44"/>
    </row>
    <row r="37" spans="1:11" s="34" customFormat="1" ht="30">
      <c r="A37" s="30"/>
      <c r="B37" s="43" t="s">
        <v>151</v>
      </c>
      <c r="C37" s="45" t="s">
        <v>152</v>
      </c>
      <c r="D37" s="46" t="s">
        <v>10</v>
      </c>
      <c r="E37" s="44">
        <v>0.0106</v>
      </c>
      <c r="F37" s="31">
        <f>TRUNC(225,2)</f>
        <v>225</v>
      </c>
      <c r="G37" s="32">
        <f t="shared" si="0"/>
        <v>2.38</v>
      </c>
      <c r="H37" s="32"/>
      <c r="I37" s="33"/>
      <c r="J37" s="33"/>
      <c r="K37" s="44"/>
    </row>
    <row r="38" spans="1:11" s="34" customFormat="1" ht="15">
      <c r="A38" s="30"/>
      <c r="B38" s="43" t="s">
        <v>149</v>
      </c>
      <c r="C38" s="45" t="s">
        <v>150</v>
      </c>
      <c r="D38" s="46" t="s">
        <v>10</v>
      </c>
      <c r="E38" s="44">
        <v>0.0106</v>
      </c>
      <c r="F38" s="31">
        <f>TRUNC(90,2)</f>
        <v>90</v>
      </c>
      <c r="G38" s="32">
        <f t="shared" si="0"/>
        <v>0.95</v>
      </c>
      <c r="H38" s="32"/>
      <c r="I38" s="33"/>
      <c r="J38" s="33"/>
      <c r="K38" s="44"/>
    </row>
    <row r="39" spans="1:11" s="34" customFormat="1" ht="15">
      <c r="A39" s="30"/>
      <c r="B39" s="43" t="s">
        <v>147</v>
      </c>
      <c r="C39" s="45" t="s">
        <v>148</v>
      </c>
      <c r="D39" s="46" t="s">
        <v>10</v>
      </c>
      <c r="E39" s="44">
        <v>0.0106</v>
      </c>
      <c r="F39" s="31">
        <f>TRUNC(97.85,2)</f>
        <v>97.85</v>
      </c>
      <c r="G39" s="32">
        <f t="shared" si="0"/>
        <v>1.03</v>
      </c>
      <c r="H39" s="32"/>
      <c r="I39" s="33"/>
      <c r="J39" s="33"/>
      <c r="K39" s="44"/>
    </row>
    <row r="40" spans="1:11" s="34" customFormat="1" ht="30">
      <c r="A40" s="30"/>
      <c r="B40" s="43" t="s">
        <v>131</v>
      </c>
      <c r="C40" s="45" t="s">
        <v>132</v>
      </c>
      <c r="D40" s="46" t="s">
        <v>10</v>
      </c>
      <c r="E40" s="44">
        <v>0.0106</v>
      </c>
      <c r="F40" s="31">
        <f>TRUNC(21.19,2)</f>
        <v>21.19</v>
      </c>
      <c r="G40" s="32">
        <f t="shared" si="0"/>
        <v>0.22</v>
      </c>
      <c r="H40" s="32"/>
      <c r="I40" s="33"/>
      <c r="J40" s="33"/>
      <c r="K40" s="44"/>
    </row>
    <row r="41" spans="1:11" s="34" customFormat="1" ht="30">
      <c r="A41" s="30"/>
      <c r="B41" s="43" t="s">
        <v>143</v>
      </c>
      <c r="C41" s="45" t="s">
        <v>144</v>
      </c>
      <c r="D41" s="46" t="s">
        <v>10</v>
      </c>
      <c r="E41" s="44">
        <v>0.016</v>
      </c>
      <c r="F41" s="31">
        <f>TRUNC(20.34,2)</f>
        <v>20.34</v>
      </c>
      <c r="G41" s="32">
        <f t="shared" si="0"/>
        <v>0.32</v>
      </c>
      <c r="H41" s="32"/>
      <c r="I41" s="33"/>
      <c r="J41" s="33"/>
      <c r="K41" s="44"/>
    </row>
    <row r="42" spans="1:11" s="34" customFormat="1" ht="15">
      <c r="A42" s="30"/>
      <c r="B42" s="43" t="s">
        <v>161</v>
      </c>
      <c r="C42" s="45" t="s">
        <v>162</v>
      </c>
      <c r="D42" s="46" t="s">
        <v>10</v>
      </c>
      <c r="E42" s="44">
        <v>0.1069</v>
      </c>
      <c r="F42" s="31">
        <f>TRUNC(0.09,2)</f>
        <v>0.09</v>
      </c>
      <c r="G42" s="32">
        <f t="shared" si="0"/>
        <v>0</v>
      </c>
      <c r="H42" s="32"/>
      <c r="I42" s="33"/>
      <c r="J42" s="33"/>
      <c r="K42" s="44"/>
    </row>
    <row r="43" spans="1:11" s="34" customFormat="1" ht="15">
      <c r="A43" s="30"/>
      <c r="B43" s="43" t="s">
        <v>139</v>
      </c>
      <c r="C43" s="45" t="s">
        <v>140</v>
      </c>
      <c r="D43" s="46" t="s">
        <v>10</v>
      </c>
      <c r="E43" s="44">
        <v>0.0213</v>
      </c>
      <c r="F43" s="31">
        <f>TRUNC(1.63,2)</f>
        <v>1.63</v>
      </c>
      <c r="G43" s="32">
        <f t="shared" si="0"/>
        <v>0.03</v>
      </c>
      <c r="H43" s="32"/>
      <c r="I43" s="33"/>
      <c r="J43" s="33"/>
      <c r="K43" s="44"/>
    </row>
    <row r="44" spans="1:11" s="34" customFormat="1" ht="15">
      <c r="A44" s="30"/>
      <c r="B44" s="43" t="s">
        <v>137</v>
      </c>
      <c r="C44" s="45" t="s">
        <v>138</v>
      </c>
      <c r="D44" s="46" t="s">
        <v>0</v>
      </c>
      <c r="E44" s="44">
        <v>0.0356</v>
      </c>
      <c r="F44" s="31">
        <f>TRUNC(58.71,2)</f>
        <v>58.71</v>
      </c>
      <c r="G44" s="32">
        <f t="shared" si="0"/>
        <v>2.09</v>
      </c>
      <c r="H44" s="32"/>
      <c r="I44" s="33"/>
      <c r="J44" s="33"/>
      <c r="K44" s="44"/>
    </row>
    <row r="45" spans="1:11" s="34" customFormat="1" ht="15">
      <c r="A45" s="30"/>
      <c r="B45" s="43" t="s">
        <v>135</v>
      </c>
      <c r="C45" s="45" t="s">
        <v>136</v>
      </c>
      <c r="D45" s="46" t="s">
        <v>10</v>
      </c>
      <c r="E45" s="44">
        <v>0.03232</v>
      </c>
      <c r="F45" s="31">
        <f>TRUNC(2.12,2)</f>
        <v>2.12</v>
      </c>
      <c r="G45" s="32">
        <f t="shared" si="0"/>
        <v>0.06</v>
      </c>
      <c r="H45" s="32"/>
      <c r="I45" s="33"/>
      <c r="J45" s="33"/>
      <c r="K45" s="44"/>
    </row>
    <row r="46" spans="1:11" s="34" customFormat="1" ht="30">
      <c r="A46" s="30"/>
      <c r="B46" s="43" t="s">
        <v>63</v>
      </c>
      <c r="C46" s="45" t="s">
        <v>64</v>
      </c>
      <c r="D46" s="46" t="s">
        <v>3</v>
      </c>
      <c r="E46" s="44">
        <v>0.01</v>
      </c>
      <c r="F46" s="31">
        <f>TRUNC(15.94,2)</f>
        <v>15.94</v>
      </c>
      <c r="G46" s="32">
        <f t="shared" si="0"/>
        <v>0.15</v>
      </c>
      <c r="H46" s="32"/>
      <c r="I46" s="33"/>
      <c r="J46" s="33"/>
      <c r="K46" s="44"/>
    </row>
    <row r="47" spans="1:11" s="34" customFormat="1" ht="15">
      <c r="A47" s="30"/>
      <c r="B47" s="43" t="s">
        <v>65</v>
      </c>
      <c r="C47" s="45" t="s">
        <v>66</v>
      </c>
      <c r="D47" s="46" t="s">
        <v>2</v>
      </c>
      <c r="E47" s="44">
        <v>2.44</v>
      </c>
      <c r="F47" s="31">
        <f>TRUNC(5.45,2)</f>
        <v>5.45</v>
      </c>
      <c r="G47" s="32">
        <f t="shared" si="0"/>
        <v>13.29</v>
      </c>
      <c r="H47" s="32"/>
      <c r="I47" s="33"/>
      <c r="J47" s="33"/>
      <c r="K47" s="44"/>
    </row>
    <row r="48" spans="1:11" s="34" customFormat="1" ht="15">
      <c r="A48" s="30"/>
      <c r="B48" s="43" t="s">
        <v>1748</v>
      </c>
      <c r="C48" s="45" t="s">
        <v>1749</v>
      </c>
      <c r="D48" s="46" t="s">
        <v>2</v>
      </c>
      <c r="E48" s="44">
        <v>0.69</v>
      </c>
      <c r="F48" s="31">
        <f>TRUNC(6.2736,2)</f>
        <v>6.27</v>
      </c>
      <c r="G48" s="32">
        <f t="shared" si="0"/>
        <v>4.32</v>
      </c>
      <c r="H48" s="32"/>
      <c r="I48" s="33"/>
      <c r="J48" s="33"/>
      <c r="K48" s="44"/>
    </row>
    <row r="49" spans="1:11" s="34" customFormat="1" ht="15">
      <c r="A49" s="30"/>
      <c r="B49" s="43" t="s">
        <v>133</v>
      </c>
      <c r="C49" s="45" t="s">
        <v>134</v>
      </c>
      <c r="D49" s="46" t="s">
        <v>10</v>
      </c>
      <c r="E49" s="44">
        <v>0.3</v>
      </c>
      <c r="F49" s="31">
        <f>TRUNC(0.89,2)</f>
        <v>0.89</v>
      </c>
      <c r="G49" s="32">
        <f t="shared" si="0"/>
        <v>0.26</v>
      </c>
      <c r="H49" s="32"/>
      <c r="I49" s="33"/>
      <c r="J49" s="33"/>
      <c r="K49" s="44"/>
    </row>
    <row r="50" spans="1:11" s="34" customFormat="1" ht="15">
      <c r="A50" s="30"/>
      <c r="B50" s="43" t="s">
        <v>157</v>
      </c>
      <c r="C50" s="45" t="s">
        <v>158</v>
      </c>
      <c r="D50" s="46" t="s">
        <v>10</v>
      </c>
      <c r="E50" s="44">
        <v>0.010706</v>
      </c>
      <c r="F50" s="31">
        <f>TRUNC(9.71,2)</f>
        <v>9.71</v>
      </c>
      <c r="G50" s="32">
        <f t="shared" si="0"/>
        <v>0.1</v>
      </c>
      <c r="H50" s="32"/>
      <c r="I50" s="33"/>
      <c r="J50" s="33"/>
      <c r="K50" s="44"/>
    </row>
    <row r="51" spans="1:11" s="34" customFormat="1" ht="30">
      <c r="A51" s="30"/>
      <c r="B51" s="43" t="s">
        <v>191</v>
      </c>
      <c r="C51" s="45" t="s">
        <v>192</v>
      </c>
      <c r="D51" s="46" t="s">
        <v>10</v>
      </c>
      <c r="E51" s="44">
        <v>0.0534</v>
      </c>
      <c r="F51" s="31">
        <f>TRUNC(33,2)</f>
        <v>33</v>
      </c>
      <c r="G51" s="32">
        <f t="shared" si="0"/>
        <v>1.76</v>
      </c>
      <c r="H51" s="32"/>
      <c r="I51" s="33"/>
      <c r="J51" s="33"/>
      <c r="K51" s="44"/>
    </row>
    <row r="52" spans="1:11" s="34" customFormat="1" ht="30">
      <c r="A52" s="30"/>
      <c r="B52" s="43" t="s">
        <v>183</v>
      </c>
      <c r="C52" s="45" t="s">
        <v>184</v>
      </c>
      <c r="D52" s="46" t="s">
        <v>10</v>
      </c>
      <c r="E52" s="44">
        <v>0.0106</v>
      </c>
      <c r="F52" s="31">
        <f>TRUNC(19.47,2)</f>
        <v>19.47</v>
      </c>
      <c r="G52" s="32">
        <f t="shared" si="0"/>
        <v>0.2</v>
      </c>
      <c r="H52" s="32"/>
      <c r="I52" s="33"/>
      <c r="J52" s="33"/>
      <c r="K52" s="44"/>
    </row>
    <row r="53" spans="1:11" s="34" customFormat="1" ht="15">
      <c r="A53" s="30"/>
      <c r="B53" s="43" t="s">
        <v>71</v>
      </c>
      <c r="C53" s="45" t="s">
        <v>72</v>
      </c>
      <c r="D53" s="46" t="s">
        <v>10</v>
      </c>
      <c r="E53" s="44">
        <v>0.0855</v>
      </c>
      <c r="F53" s="31">
        <f>TRUNC(1.18,2)</f>
        <v>1.18</v>
      </c>
      <c r="G53" s="32">
        <f aca="true" t="shared" si="1" ref="G53:G84">TRUNC(E53*F53,2)</f>
        <v>0.1</v>
      </c>
      <c r="H53" s="32"/>
      <c r="I53" s="33"/>
      <c r="J53" s="33"/>
      <c r="K53" s="44"/>
    </row>
    <row r="54" spans="1:11" s="34" customFormat="1" ht="15">
      <c r="A54" s="30"/>
      <c r="B54" s="43" t="s">
        <v>205</v>
      </c>
      <c r="C54" s="45" t="s">
        <v>206</v>
      </c>
      <c r="D54" s="46" t="s">
        <v>10</v>
      </c>
      <c r="E54" s="44">
        <v>0.962</v>
      </c>
      <c r="F54" s="31">
        <f>TRUNC(4.7,2)</f>
        <v>4.7</v>
      </c>
      <c r="G54" s="32">
        <f t="shared" si="1"/>
        <v>4.52</v>
      </c>
      <c r="H54" s="32"/>
      <c r="I54" s="33"/>
      <c r="J54" s="33"/>
      <c r="K54" s="44"/>
    </row>
    <row r="55" spans="1:11" s="34" customFormat="1" ht="15">
      <c r="A55" s="30"/>
      <c r="B55" s="43" t="s">
        <v>185</v>
      </c>
      <c r="C55" s="45" t="s">
        <v>186</v>
      </c>
      <c r="D55" s="46" t="s">
        <v>10</v>
      </c>
      <c r="E55" s="44">
        <v>0.0106</v>
      </c>
      <c r="F55" s="31">
        <f>TRUNC(28,2)</f>
        <v>28</v>
      </c>
      <c r="G55" s="32">
        <f t="shared" si="1"/>
        <v>0.29</v>
      </c>
      <c r="H55" s="32"/>
      <c r="I55" s="33"/>
      <c r="J55" s="33"/>
      <c r="K55" s="44"/>
    </row>
    <row r="56" spans="1:11" s="34" customFormat="1" ht="15">
      <c r="A56" s="30"/>
      <c r="B56" s="43" t="s">
        <v>187</v>
      </c>
      <c r="C56" s="45" t="s">
        <v>188</v>
      </c>
      <c r="D56" s="46" t="s">
        <v>10</v>
      </c>
      <c r="E56" s="44">
        <v>0.010706</v>
      </c>
      <c r="F56" s="31">
        <f>TRUNC(3.79,2)</f>
        <v>3.79</v>
      </c>
      <c r="G56" s="32">
        <f t="shared" si="1"/>
        <v>0.04</v>
      </c>
      <c r="H56" s="32"/>
      <c r="I56" s="33"/>
      <c r="J56" s="33"/>
      <c r="K56" s="44"/>
    </row>
    <row r="57" spans="1:11" s="34" customFormat="1" ht="15">
      <c r="A57" s="30"/>
      <c r="B57" s="43" t="s">
        <v>189</v>
      </c>
      <c r="C57" s="45" t="s">
        <v>190</v>
      </c>
      <c r="D57" s="46" t="s">
        <v>10</v>
      </c>
      <c r="E57" s="44">
        <v>0.0534</v>
      </c>
      <c r="F57" s="31">
        <f>TRUNC(56.37,2)</f>
        <v>56.37</v>
      </c>
      <c r="G57" s="32">
        <f t="shared" si="1"/>
        <v>3.01</v>
      </c>
      <c r="H57" s="32"/>
      <c r="I57" s="33"/>
      <c r="J57" s="33"/>
      <c r="K57" s="44"/>
    </row>
    <row r="58" spans="1:11" s="34" customFormat="1" ht="15">
      <c r="A58" s="30"/>
      <c r="B58" s="43" t="s">
        <v>179</v>
      </c>
      <c r="C58" s="45" t="s">
        <v>180</v>
      </c>
      <c r="D58" s="46" t="s">
        <v>10</v>
      </c>
      <c r="E58" s="44">
        <v>0.0106</v>
      </c>
      <c r="F58" s="31">
        <f>TRUNC(6.45,2)</f>
        <v>6.45</v>
      </c>
      <c r="G58" s="32">
        <f t="shared" si="1"/>
        <v>0.06</v>
      </c>
      <c r="H58" s="32"/>
      <c r="I58" s="33"/>
      <c r="J58" s="33"/>
      <c r="K58" s="44"/>
    </row>
    <row r="59" spans="1:11" s="34" customFormat="1" ht="30">
      <c r="A59" s="30"/>
      <c r="B59" s="43" t="s">
        <v>169</v>
      </c>
      <c r="C59" s="45" t="s">
        <v>170</v>
      </c>
      <c r="D59" s="46" t="s">
        <v>10</v>
      </c>
      <c r="E59" s="44">
        <v>0.1188</v>
      </c>
      <c r="F59" s="31">
        <f>TRUNC(51.66,2)</f>
        <v>51.66</v>
      </c>
      <c r="G59" s="32">
        <f t="shared" si="1"/>
        <v>6.13</v>
      </c>
      <c r="H59" s="32"/>
      <c r="I59" s="33"/>
      <c r="J59" s="33"/>
      <c r="K59" s="44"/>
    </row>
    <row r="60" spans="1:11" s="34" customFormat="1" ht="30">
      <c r="A60" s="30"/>
      <c r="B60" s="43" t="s">
        <v>107</v>
      </c>
      <c r="C60" s="45" t="s">
        <v>108</v>
      </c>
      <c r="D60" s="46" t="s">
        <v>10</v>
      </c>
      <c r="E60" s="44">
        <v>0.0267</v>
      </c>
      <c r="F60" s="31">
        <f>TRUNC(48.29,2)</f>
        <v>48.29</v>
      </c>
      <c r="G60" s="32">
        <f t="shared" si="1"/>
        <v>1.28</v>
      </c>
      <c r="H60" s="32"/>
      <c r="I60" s="33"/>
      <c r="J60" s="33"/>
      <c r="K60" s="44"/>
    </row>
    <row r="61" spans="1:11" s="34" customFormat="1" ht="15">
      <c r="A61" s="30"/>
      <c r="B61" s="43" t="s">
        <v>167</v>
      </c>
      <c r="C61" s="45" t="s">
        <v>168</v>
      </c>
      <c r="D61" s="46" t="s">
        <v>10</v>
      </c>
      <c r="E61" s="44">
        <v>0.0106</v>
      </c>
      <c r="F61" s="31">
        <f>TRUNC(131.12,2)</f>
        <v>131.12</v>
      </c>
      <c r="G61" s="32">
        <f t="shared" si="1"/>
        <v>1.38</v>
      </c>
      <c r="H61" s="32"/>
      <c r="I61" s="33"/>
      <c r="J61" s="33"/>
      <c r="K61" s="44"/>
    </row>
    <row r="62" spans="1:11" s="34" customFormat="1" ht="15">
      <c r="A62" s="30"/>
      <c r="B62" s="43" t="s">
        <v>171</v>
      </c>
      <c r="C62" s="45" t="s">
        <v>172</v>
      </c>
      <c r="D62" s="46" t="s">
        <v>10</v>
      </c>
      <c r="E62" s="44">
        <v>0.0106</v>
      </c>
      <c r="F62" s="31">
        <f>TRUNC(112.9,2)</f>
        <v>112.9</v>
      </c>
      <c r="G62" s="32">
        <f t="shared" si="1"/>
        <v>1.19</v>
      </c>
      <c r="H62" s="32"/>
      <c r="I62" s="33"/>
      <c r="J62" s="33"/>
      <c r="K62" s="44"/>
    </row>
    <row r="63" spans="1:11" s="34" customFormat="1" ht="15">
      <c r="A63" s="30"/>
      <c r="B63" s="43" t="s">
        <v>163</v>
      </c>
      <c r="C63" s="45" t="s">
        <v>164</v>
      </c>
      <c r="D63" s="46" t="s">
        <v>10</v>
      </c>
      <c r="E63" s="44">
        <v>1.12</v>
      </c>
      <c r="F63" s="31">
        <f>TRUNC(0.0877,2)</f>
        <v>0.08</v>
      </c>
      <c r="G63" s="32">
        <f t="shared" si="1"/>
        <v>0.08</v>
      </c>
      <c r="H63" s="32"/>
      <c r="I63" s="33"/>
      <c r="J63" s="33"/>
      <c r="K63" s="44"/>
    </row>
    <row r="64" spans="1:11" s="34" customFormat="1" ht="15">
      <c r="A64" s="30"/>
      <c r="B64" s="43" t="s">
        <v>175</v>
      </c>
      <c r="C64" s="45" t="s">
        <v>176</v>
      </c>
      <c r="D64" s="46" t="s">
        <v>10</v>
      </c>
      <c r="E64" s="44">
        <v>0.03232</v>
      </c>
      <c r="F64" s="31">
        <f>TRUNC(3.04,2)</f>
        <v>3.04</v>
      </c>
      <c r="G64" s="32">
        <f t="shared" si="1"/>
        <v>0.09</v>
      </c>
      <c r="H64" s="32"/>
      <c r="I64" s="33"/>
      <c r="J64" s="33"/>
      <c r="K64" s="44"/>
    </row>
    <row r="65" spans="1:11" s="34" customFormat="1" ht="15">
      <c r="A65" s="30"/>
      <c r="B65" s="43" t="s">
        <v>181</v>
      </c>
      <c r="C65" s="45" t="s">
        <v>182</v>
      </c>
      <c r="D65" s="46" t="s">
        <v>10</v>
      </c>
      <c r="E65" s="44">
        <v>0.0106</v>
      </c>
      <c r="F65" s="31">
        <f>TRUNC(66.5,2)</f>
        <v>66.5</v>
      </c>
      <c r="G65" s="32">
        <f t="shared" si="1"/>
        <v>0.7</v>
      </c>
      <c r="H65" s="32"/>
      <c r="I65" s="33"/>
      <c r="J65" s="33"/>
      <c r="K65" s="44"/>
    </row>
    <row r="66" spans="1:11" s="34" customFormat="1" ht="15">
      <c r="A66" s="30"/>
      <c r="B66" s="43" t="s">
        <v>203</v>
      </c>
      <c r="C66" s="45" t="s">
        <v>204</v>
      </c>
      <c r="D66" s="46" t="s">
        <v>10</v>
      </c>
      <c r="E66" s="44">
        <v>0.0356</v>
      </c>
      <c r="F66" s="31">
        <f>TRUNC(3.68,2)</f>
        <v>3.68</v>
      </c>
      <c r="G66" s="32">
        <f t="shared" si="1"/>
        <v>0.13</v>
      </c>
      <c r="H66" s="32"/>
      <c r="I66" s="33"/>
      <c r="J66" s="33"/>
      <c r="K66" s="44"/>
    </row>
    <row r="67" spans="1:11" s="34" customFormat="1" ht="15">
      <c r="A67" s="30"/>
      <c r="B67" s="43" t="s">
        <v>121</v>
      </c>
      <c r="C67" s="45" t="s">
        <v>122</v>
      </c>
      <c r="D67" s="46" t="s">
        <v>10</v>
      </c>
      <c r="E67" s="44">
        <v>0.0534</v>
      </c>
      <c r="F67" s="31">
        <f>TRUNC(2.26,2)</f>
        <v>2.26</v>
      </c>
      <c r="G67" s="32">
        <f t="shared" si="1"/>
        <v>0.12</v>
      </c>
      <c r="H67" s="32"/>
      <c r="I67" s="33"/>
      <c r="J67" s="33"/>
      <c r="K67" s="44"/>
    </row>
    <row r="68" spans="1:11" s="34" customFormat="1" ht="15">
      <c r="A68" s="30"/>
      <c r="B68" s="43" t="s">
        <v>123</v>
      </c>
      <c r="C68" s="45" t="s">
        <v>124</v>
      </c>
      <c r="D68" s="46" t="s">
        <v>10</v>
      </c>
      <c r="E68" s="44">
        <v>0.0106</v>
      </c>
      <c r="F68" s="31">
        <f>TRUNC(6.29,2)</f>
        <v>6.29</v>
      </c>
      <c r="G68" s="32">
        <f t="shared" si="1"/>
        <v>0.06</v>
      </c>
      <c r="H68" s="32"/>
      <c r="I68" s="33"/>
      <c r="J68" s="33"/>
      <c r="K68" s="44"/>
    </row>
    <row r="69" spans="1:11" s="34" customFormat="1" ht="15">
      <c r="A69" s="30"/>
      <c r="B69" s="43" t="s">
        <v>125</v>
      </c>
      <c r="C69" s="45" t="s">
        <v>126</v>
      </c>
      <c r="D69" s="46" t="s">
        <v>10</v>
      </c>
      <c r="E69" s="44">
        <v>0.0534</v>
      </c>
      <c r="F69" s="31">
        <f>TRUNC(6.6,2)</f>
        <v>6.6</v>
      </c>
      <c r="G69" s="32">
        <f t="shared" si="1"/>
        <v>0.35</v>
      </c>
      <c r="H69" s="32"/>
      <c r="I69" s="33"/>
      <c r="J69" s="33"/>
      <c r="K69" s="44"/>
    </row>
    <row r="70" spans="1:11" s="34" customFormat="1" ht="15">
      <c r="A70" s="30"/>
      <c r="B70" s="43" t="s">
        <v>127</v>
      </c>
      <c r="C70" s="45" t="s">
        <v>128</v>
      </c>
      <c r="D70" s="46" t="s">
        <v>10</v>
      </c>
      <c r="E70" s="44">
        <v>0.0534</v>
      </c>
      <c r="F70" s="31">
        <f>TRUNC(16.85,2)</f>
        <v>16.85</v>
      </c>
      <c r="G70" s="32">
        <f t="shared" si="1"/>
        <v>0.89</v>
      </c>
      <c r="H70" s="32"/>
      <c r="I70" s="33"/>
      <c r="J70" s="33"/>
      <c r="K70" s="44"/>
    </row>
    <row r="71" spans="1:11" s="34" customFormat="1" ht="15">
      <c r="A71" s="30"/>
      <c r="B71" s="43" t="s">
        <v>173</v>
      </c>
      <c r="C71" s="45" t="s">
        <v>174</v>
      </c>
      <c r="D71" s="46" t="s">
        <v>10</v>
      </c>
      <c r="E71" s="44">
        <v>0.0534</v>
      </c>
      <c r="F71" s="31">
        <f>TRUNC(1.23,2)</f>
        <v>1.23</v>
      </c>
      <c r="G71" s="32">
        <f t="shared" si="1"/>
        <v>0.06</v>
      </c>
      <c r="H71" s="32"/>
      <c r="I71" s="33"/>
      <c r="J71" s="33"/>
      <c r="K71" s="44"/>
    </row>
    <row r="72" spans="1:11" s="34" customFormat="1" ht="30">
      <c r="A72" s="30"/>
      <c r="B72" s="43" t="s">
        <v>159</v>
      </c>
      <c r="C72" s="45" t="s">
        <v>160</v>
      </c>
      <c r="D72" s="46" t="s">
        <v>10</v>
      </c>
      <c r="E72" s="44">
        <v>0.0106</v>
      </c>
      <c r="F72" s="31">
        <f>TRUNC(10.09,2)</f>
        <v>10.09</v>
      </c>
      <c r="G72" s="32">
        <f t="shared" si="1"/>
        <v>0.1</v>
      </c>
      <c r="H72" s="32"/>
      <c r="I72" s="33"/>
      <c r="J72" s="33"/>
      <c r="K72" s="44"/>
    </row>
    <row r="73" spans="1:11" s="34" customFormat="1" ht="15">
      <c r="A73" s="30"/>
      <c r="B73" s="43" t="s">
        <v>207</v>
      </c>
      <c r="C73" s="45" t="s">
        <v>208</v>
      </c>
      <c r="D73" s="46" t="s">
        <v>10</v>
      </c>
      <c r="E73" s="44">
        <v>0.0267</v>
      </c>
      <c r="F73" s="31">
        <f>TRUNC(1.95,2)</f>
        <v>1.95</v>
      </c>
      <c r="G73" s="32">
        <f t="shared" si="1"/>
        <v>0.05</v>
      </c>
      <c r="H73" s="32"/>
      <c r="I73" s="33"/>
      <c r="J73" s="33"/>
      <c r="K73" s="44"/>
    </row>
    <row r="74" spans="1:11" s="34" customFormat="1" ht="15">
      <c r="A74" s="30"/>
      <c r="B74" s="43" t="s">
        <v>201</v>
      </c>
      <c r="C74" s="45" t="s">
        <v>202</v>
      </c>
      <c r="D74" s="46" t="s">
        <v>10</v>
      </c>
      <c r="E74" s="44">
        <v>0.0106</v>
      </c>
      <c r="F74" s="31">
        <f>TRUNC(39.04,2)</f>
        <v>39.04</v>
      </c>
      <c r="G74" s="32">
        <f t="shared" si="1"/>
        <v>0.41</v>
      </c>
      <c r="H74" s="32"/>
      <c r="I74" s="33"/>
      <c r="J74" s="33"/>
      <c r="K74" s="44"/>
    </row>
    <row r="75" spans="1:11" s="34" customFormat="1" ht="15">
      <c r="A75" s="30"/>
      <c r="B75" s="43" t="s">
        <v>199</v>
      </c>
      <c r="C75" s="45" t="s">
        <v>200</v>
      </c>
      <c r="D75" s="46" t="s">
        <v>10</v>
      </c>
      <c r="E75" s="44">
        <v>0.0106</v>
      </c>
      <c r="F75" s="31">
        <f>TRUNC(25.63,2)</f>
        <v>25.63</v>
      </c>
      <c r="G75" s="32">
        <f t="shared" si="1"/>
        <v>0.27</v>
      </c>
      <c r="H75" s="32"/>
      <c r="I75" s="33"/>
      <c r="J75" s="33"/>
      <c r="K75" s="44"/>
    </row>
    <row r="76" spans="1:11" s="34" customFormat="1" ht="15">
      <c r="A76" s="30"/>
      <c r="B76" s="43" t="s">
        <v>197</v>
      </c>
      <c r="C76" s="45" t="s">
        <v>198</v>
      </c>
      <c r="D76" s="46" t="s">
        <v>10</v>
      </c>
      <c r="E76" s="44">
        <v>0.0106</v>
      </c>
      <c r="F76" s="31">
        <f>TRUNC(13.34,2)</f>
        <v>13.34</v>
      </c>
      <c r="G76" s="32">
        <f t="shared" si="1"/>
        <v>0.14</v>
      </c>
      <c r="H76" s="32"/>
      <c r="I76" s="33"/>
      <c r="J76" s="33"/>
      <c r="K76" s="44"/>
    </row>
    <row r="77" spans="1:11" s="34" customFormat="1" ht="15">
      <c r="A77" s="30"/>
      <c r="B77" s="43" t="s">
        <v>195</v>
      </c>
      <c r="C77" s="45" t="s">
        <v>196</v>
      </c>
      <c r="D77" s="46" t="s">
        <v>10</v>
      </c>
      <c r="E77" s="44">
        <v>0.0106</v>
      </c>
      <c r="F77" s="31">
        <f>TRUNC(3.6,2)</f>
        <v>3.6</v>
      </c>
      <c r="G77" s="32">
        <f t="shared" si="1"/>
        <v>0.03</v>
      </c>
      <c r="H77" s="32"/>
      <c r="I77" s="33"/>
      <c r="J77" s="33"/>
      <c r="K77" s="44"/>
    </row>
    <row r="78" spans="1:11" s="34" customFormat="1" ht="30">
      <c r="A78" s="30"/>
      <c r="B78" s="43" t="s">
        <v>193</v>
      </c>
      <c r="C78" s="45" t="s">
        <v>194</v>
      </c>
      <c r="D78" s="46" t="s">
        <v>10</v>
      </c>
      <c r="E78" s="44">
        <v>0.0534</v>
      </c>
      <c r="F78" s="31">
        <f>TRUNC(35,2)</f>
        <v>35</v>
      </c>
      <c r="G78" s="32">
        <f t="shared" si="1"/>
        <v>1.86</v>
      </c>
      <c r="H78" s="32"/>
      <c r="I78" s="33"/>
      <c r="J78" s="33"/>
      <c r="K78" s="44"/>
    </row>
    <row r="79" spans="1:11" s="34" customFormat="1" ht="15">
      <c r="A79" s="30"/>
      <c r="B79" s="43" t="s">
        <v>119</v>
      </c>
      <c r="C79" s="45" t="s">
        <v>120</v>
      </c>
      <c r="D79" s="46" t="s">
        <v>10</v>
      </c>
      <c r="E79" s="44">
        <v>0.1069</v>
      </c>
      <c r="F79" s="31">
        <f>TRUNC(2.24,2)</f>
        <v>2.24</v>
      </c>
      <c r="G79" s="32">
        <f t="shared" si="1"/>
        <v>0.23</v>
      </c>
      <c r="H79" s="32"/>
      <c r="I79" s="33"/>
      <c r="J79" s="33"/>
      <c r="K79" s="44"/>
    </row>
    <row r="80" spans="1:11" s="34" customFormat="1" ht="30">
      <c r="A80" s="30"/>
      <c r="B80" s="43" t="s">
        <v>177</v>
      </c>
      <c r="C80" s="45" t="s">
        <v>178</v>
      </c>
      <c r="D80" s="46" t="s">
        <v>10</v>
      </c>
      <c r="E80" s="44">
        <v>0.0534</v>
      </c>
      <c r="F80" s="31">
        <f>TRUNC(30,2)</f>
        <v>30</v>
      </c>
      <c r="G80" s="32">
        <f t="shared" si="1"/>
        <v>1.6</v>
      </c>
      <c r="H80" s="32"/>
      <c r="I80" s="33"/>
      <c r="J80" s="33"/>
      <c r="K80" s="44"/>
    </row>
    <row r="81" spans="1:11" s="34" customFormat="1" ht="30">
      <c r="A81" s="30"/>
      <c r="B81" s="43" t="s">
        <v>1750</v>
      </c>
      <c r="C81" s="45" t="s">
        <v>1751</v>
      </c>
      <c r="D81" s="46" t="s">
        <v>4</v>
      </c>
      <c r="E81" s="44">
        <v>0.07210000000000001</v>
      </c>
      <c r="F81" s="31">
        <f>TRUNC(24.61,2)</f>
        <v>24.61</v>
      </c>
      <c r="G81" s="32">
        <f t="shared" si="1"/>
        <v>1.77</v>
      </c>
      <c r="H81" s="32"/>
      <c r="I81" s="33"/>
      <c r="J81" s="33"/>
      <c r="K81" s="44"/>
    </row>
    <row r="82" spans="1:11" s="34" customFormat="1" ht="30">
      <c r="A82" s="30"/>
      <c r="B82" s="43" t="s">
        <v>1752</v>
      </c>
      <c r="C82" s="45" t="s">
        <v>1753</v>
      </c>
      <c r="D82" s="46" t="s">
        <v>4</v>
      </c>
      <c r="E82" s="44">
        <v>0.4841</v>
      </c>
      <c r="F82" s="31">
        <f>TRUNC(22.86,2)</f>
        <v>22.86</v>
      </c>
      <c r="G82" s="32">
        <f t="shared" si="1"/>
        <v>11.06</v>
      </c>
      <c r="H82" s="32"/>
      <c r="I82" s="33"/>
      <c r="J82" s="33"/>
      <c r="K82" s="44"/>
    </row>
    <row r="83" spans="1:11" s="34" customFormat="1" ht="30">
      <c r="A83" s="30"/>
      <c r="B83" s="43" t="s">
        <v>1754</v>
      </c>
      <c r="C83" s="45" t="s">
        <v>1755</v>
      </c>
      <c r="D83" s="46" t="s">
        <v>4</v>
      </c>
      <c r="E83" s="44">
        <v>0.8137000000000001</v>
      </c>
      <c r="F83" s="31">
        <f>TRUNC(22.86,2)</f>
        <v>22.86</v>
      </c>
      <c r="G83" s="32">
        <f t="shared" si="1"/>
        <v>18.6</v>
      </c>
      <c r="H83" s="32"/>
      <c r="I83" s="33"/>
      <c r="J83" s="33"/>
      <c r="K83" s="44"/>
    </row>
    <row r="84" spans="1:11" s="34" customFormat="1" ht="30">
      <c r="A84" s="30"/>
      <c r="B84" s="43" t="s">
        <v>33</v>
      </c>
      <c r="C84" s="45" t="s">
        <v>34</v>
      </c>
      <c r="D84" s="46" t="s">
        <v>4</v>
      </c>
      <c r="E84" s="44">
        <v>10.8562</v>
      </c>
      <c r="F84" s="31">
        <f>TRUNC(16.55,2)</f>
        <v>16.55</v>
      </c>
      <c r="G84" s="32">
        <f t="shared" si="1"/>
        <v>179.67</v>
      </c>
      <c r="H84" s="32"/>
      <c r="I84" s="33"/>
      <c r="J84" s="33"/>
      <c r="K84" s="44"/>
    </row>
    <row r="85" spans="1:11" s="34" customFormat="1" ht="30">
      <c r="A85" s="30"/>
      <c r="B85" s="43" t="s">
        <v>1745</v>
      </c>
      <c r="C85" s="45" t="s">
        <v>1746</v>
      </c>
      <c r="D85" s="46" t="s">
        <v>4</v>
      </c>
      <c r="E85" s="44">
        <v>5.2427</v>
      </c>
      <c r="F85" s="31">
        <f>TRUNC(24.61,2)</f>
        <v>24.61</v>
      </c>
      <c r="G85" s="32">
        <f aca="true" t="shared" si="2" ref="G85:G91">TRUNC(E85*F85,2)</f>
        <v>129.02</v>
      </c>
      <c r="H85" s="32"/>
      <c r="I85" s="33"/>
      <c r="J85" s="33"/>
      <c r="K85" s="44"/>
    </row>
    <row r="86" spans="1:11" s="34" customFormat="1" ht="15">
      <c r="A86" s="30"/>
      <c r="B86" s="43" t="s">
        <v>1756</v>
      </c>
      <c r="C86" s="45" t="s">
        <v>1757</v>
      </c>
      <c r="D86" s="46" t="s">
        <v>0</v>
      </c>
      <c r="E86" s="44">
        <v>0.64</v>
      </c>
      <c r="F86" s="31">
        <f>TRUNC(29.6403,2)</f>
        <v>29.64</v>
      </c>
      <c r="G86" s="32">
        <f t="shared" si="2"/>
        <v>18.96</v>
      </c>
      <c r="H86" s="32"/>
      <c r="I86" s="33"/>
      <c r="J86" s="33"/>
      <c r="K86" s="44"/>
    </row>
    <row r="87" spans="1:11" s="34" customFormat="1" ht="15">
      <c r="A87" s="30"/>
      <c r="B87" s="43" t="s">
        <v>1758</v>
      </c>
      <c r="C87" s="45" t="s">
        <v>1759</v>
      </c>
      <c r="D87" s="46" t="s">
        <v>1</v>
      </c>
      <c r="E87" s="44">
        <v>0.044</v>
      </c>
      <c r="F87" s="31">
        <f>TRUNC(75.3534,2)</f>
        <v>75.35</v>
      </c>
      <c r="G87" s="32">
        <f t="shared" si="2"/>
        <v>3.31</v>
      </c>
      <c r="H87" s="32"/>
      <c r="I87" s="33"/>
      <c r="J87" s="33"/>
      <c r="K87" s="44"/>
    </row>
    <row r="88" spans="1:11" s="34" customFormat="1" ht="15">
      <c r="A88" s="30"/>
      <c r="B88" s="43" t="s">
        <v>1760</v>
      </c>
      <c r="C88" s="45" t="s">
        <v>1761</v>
      </c>
      <c r="D88" s="46" t="s">
        <v>1</v>
      </c>
      <c r="E88" s="44">
        <v>0.01</v>
      </c>
      <c r="F88" s="31">
        <f>TRUNC(258.9348,2)</f>
        <v>258.93</v>
      </c>
      <c r="G88" s="32">
        <f t="shared" si="2"/>
        <v>2.58</v>
      </c>
      <c r="H88" s="32"/>
      <c r="I88" s="33"/>
      <c r="J88" s="33"/>
      <c r="K88" s="44"/>
    </row>
    <row r="89" spans="1:11" s="34" customFormat="1" ht="15">
      <c r="A89" s="30"/>
      <c r="B89" s="43" t="s">
        <v>1762</v>
      </c>
      <c r="C89" s="45" t="s">
        <v>1763</v>
      </c>
      <c r="D89" s="46" t="s">
        <v>1</v>
      </c>
      <c r="E89" s="44">
        <v>0.034</v>
      </c>
      <c r="F89" s="31">
        <f>TRUNC(277.3833,2)</f>
        <v>277.38</v>
      </c>
      <c r="G89" s="32">
        <f t="shared" si="2"/>
        <v>9.43</v>
      </c>
      <c r="H89" s="32"/>
      <c r="I89" s="33"/>
      <c r="J89" s="33"/>
      <c r="K89" s="44"/>
    </row>
    <row r="90" spans="1:11" s="34" customFormat="1" ht="15">
      <c r="A90" s="30"/>
      <c r="B90" s="43" t="s">
        <v>1764</v>
      </c>
      <c r="C90" s="45" t="s">
        <v>1765</v>
      </c>
      <c r="D90" s="46" t="s">
        <v>1</v>
      </c>
      <c r="E90" s="44">
        <v>0.044</v>
      </c>
      <c r="F90" s="31">
        <f>TRUNC(82.5898,2)</f>
        <v>82.58</v>
      </c>
      <c r="G90" s="32">
        <f t="shared" si="2"/>
        <v>3.63</v>
      </c>
      <c r="H90" s="32"/>
      <c r="I90" s="33"/>
      <c r="J90" s="33"/>
      <c r="K90" s="44"/>
    </row>
    <row r="91" spans="1:11" s="34" customFormat="1" ht="15">
      <c r="A91" s="30"/>
      <c r="B91" s="43" t="s">
        <v>1766</v>
      </c>
      <c r="C91" s="45" t="s">
        <v>1767</v>
      </c>
      <c r="D91" s="46" t="s">
        <v>0</v>
      </c>
      <c r="E91" s="44">
        <v>0.11</v>
      </c>
      <c r="F91" s="31">
        <f>TRUNC(37.4673,2)</f>
        <v>37.46</v>
      </c>
      <c r="G91" s="32">
        <f t="shared" si="2"/>
        <v>4.12</v>
      </c>
      <c r="H91" s="32"/>
      <c r="I91" s="33"/>
      <c r="J91" s="33"/>
      <c r="K91" s="44"/>
    </row>
    <row r="92" spans="1:11" s="34" customFormat="1" ht="15">
      <c r="A92" s="30"/>
      <c r="B92" s="43"/>
      <c r="C92" s="45"/>
      <c r="D92" s="46"/>
      <c r="E92" s="44" t="s">
        <v>5</v>
      </c>
      <c r="F92" s="31"/>
      <c r="G92" s="32">
        <f>TRUNC(SUM(G21:G91),2)</f>
        <v>458.6</v>
      </c>
      <c r="H92" s="32"/>
      <c r="I92" s="33"/>
      <c r="J92" s="33"/>
      <c r="K92" s="44"/>
    </row>
    <row r="93" spans="1:11" s="107" customFormat="1" ht="60">
      <c r="A93" s="99" t="s">
        <v>8</v>
      </c>
      <c r="B93" s="100" t="s">
        <v>1768</v>
      </c>
      <c r="C93" s="101" t="s">
        <v>228</v>
      </c>
      <c r="D93" s="102" t="s">
        <v>10</v>
      </c>
      <c r="E93" s="103">
        <v>1</v>
      </c>
      <c r="F93" s="104">
        <f>TRUNC(G110,2)</f>
        <v>3758.08</v>
      </c>
      <c r="G93" s="105">
        <f>TRUNC(F93*1.2247,2)</f>
        <v>4602.52</v>
      </c>
      <c r="H93" s="105">
        <f>TRUNC(F93*E93,2)</f>
        <v>3758.08</v>
      </c>
      <c r="I93" s="106">
        <f>TRUNC(E93*G93,2)</f>
        <v>4602.52</v>
      </c>
      <c r="J93" s="106"/>
      <c r="K93" s="103"/>
    </row>
    <row r="94" spans="1:11" s="34" customFormat="1" ht="15">
      <c r="A94" s="30"/>
      <c r="B94" s="43" t="s">
        <v>235</v>
      </c>
      <c r="C94" s="45" t="s">
        <v>236</v>
      </c>
      <c r="D94" s="46" t="s">
        <v>2</v>
      </c>
      <c r="E94" s="44">
        <v>3.44</v>
      </c>
      <c r="F94" s="31">
        <f>TRUNC(23.5397,2)</f>
        <v>23.53</v>
      </c>
      <c r="G94" s="32">
        <f aca="true" t="shared" si="3" ref="G94:G109">TRUNC(E94*F94,2)</f>
        <v>80.94</v>
      </c>
      <c r="H94" s="32"/>
      <c r="I94" s="33"/>
      <c r="J94" s="33"/>
      <c r="K94" s="44"/>
    </row>
    <row r="95" spans="1:11" s="34" customFormat="1" ht="15">
      <c r="A95" s="30"/>
      <c r="B95" s="43" t="s">
        <v>65</v>
      </c>
      <c r="C95" s="45" t="s">
        <v>66</v>
      </c>
      <c r="D95" s="46" t="s">
        <v>2</v>
      </c>
      <c r="E95" s="44">
        <v>25</v>
      </c>
      <c r="F95" s="31">
        <f>TRUNC(5.45,2)</f>
        <v>5.45</v>
      </c>
      <c r="G95" s="32">
        <f t="shared" si="3"/>
        <v>136.25</v>
      </c>
      <c r="H95" s="32"/>
      <c r="I95" s="33"/>
      <c r="J95" s="33"/>
      <c r="K95" s="44"/>
    </row>
    <row r="96" spans="1:11" s="34" customFormat="1" ht="30">
      <c r="A96" s="30"/>
      <c r="B96" s="43" t="s">
        <v>63</v>
      </c>
      <c r="C96" s="45" t="s">
        <v>64</v>
      </c>
      <c r="D96" s="46" t="s">
        <v>3</v>
      </c>
      <c r="E96" s="44">
        <v>1</v>
      </c>
      <c r="F96" s="31">
        <f>TRUNC(15.94,2)</f>
        <v>15.94</v>
      </c>
      <c r="G96" s="32">
        <f t="shared" si="3"/>
        <v>15.94</v>
      </c>
      <c r="H96" s="32"/>
      <c r="I96" s="33"/>
      <c r="J96" s="33"/>
      <c r="K96" s="44"/>
    </row>
    <row r="97" spans="1:11" s="34" customFormat="1" ht="15">
      <c r="A97" s="30"/>
      <c r="B97" s="43" t="s">
        <v>231</v>
      </c>
      <c r="C97" s="45" t="s">
        <v>232</v>
      </c>
      <c r="D97" s="46" t="s">
        <v>10</v>
      </c>
      <c r="E97" s="44">
        <v>30</v>
      </c>
      <c r="F97" s="31">
        <f>TRUNC(0.7,2)</f>
        <v>0.7</v>
      </c>
      <c r="G97" s="32">
        <f t="shared" si="3"/>
        <v>21</v>
      </c>
      <c r="H97" s="32"/>
      <c r="I97" s="33"/>
      <c r="J97" s="33"/>
      <c r="K97" s="44"/>
    </row>
    <row r="98" spans="1:11" s="34" customFormat="1" ht="15">
      <c r="A98" s="30"/>
      <c r="B98" s="43" t="s">
        <v>233</v>
      </c>
      <c r="C98" s="45" t="s">
        <v>234</v>
      </c>
      <c r="D98" s="46" t="s">
        <v>2</v>
      </c>
      <c r="E98" s="44">
        <v>30</v>
      </c>
      <c r="F98" s="31">
        <f>TRUNC(19.91,2)</f>
        <v>19.91</v>
      </c>
      <c r="G98" s="32">
        <f t="shared" si="3"/>
        <v>597.3</v>
      </c>
      <c r="H98" s="32"/>
      <c r="I98" s="33"/>
      <c r="J98" s="33"/>
      <c r="K98" s="44"/>
    </row>
    <row r="99" spans="1:11" s="34" customFormat="1" ht="30">
      <c r="A99" s="30"/>
      <c r="B99" s="43" t="s">
        <v>237</v>
      </c>
      <c r="C99" s="45" t="s">
        <v>238</v>
      </c>
      <c r="D99" s="46" t="s">
        <v>10</v>
      </c>
      <c r="E99" s="44">
        <v>1</v>
      </c>
      <c r="F99" s="31">
        <f>TRUNC(380,2)</f>
        <v>380</v>
      </c>
      <c r="G99" s="32">
        <f t="shared" si="3"/>
        <v>380</v>
      </c>
      <c r="H99" s="32"/>
      <c r="I99" s="33"/>
      <c r="J99" s="33"/>
      <c r="K99" s="44"/>
    </row>
    <row r="100" spans="1:11" s="34" customFormat="1" ht="30">
      <c r="A100" s="30"/>
      <c r="B100" s="43" t="s">
        <v>229</v>
      </c>
      <c r="C100" s="45" t="s">
        <v>230</v>
      </c>
      <c r="D100" s="46" t="s">
        <v>10</v>
      </c>
      <c r="E100" s="44">
        <v>1</v>
      </c>
      <c r="F100" s="31">
        <f>TRUNC(21,2)</f>
        <v>21</v>
      </c>
      <c r="G100" s="32">
        <f t="shared" si="3"/>
        <v>21</v>
      </c>
      <c r="H100" s="32"/>
      <c r="I100" s="33"/>
      <c r="J100" s="33"/>
      <c r="K100" s="44"/>
    </row>
    <row r="101" spans="1:11" s="34" customFormat="1" ht="30">
      <c r="A101" s="30"/>
      <c r="B101" s="43" t="s">
        <v>131</v>
      </c>
      <c r="C101" s="45" t="s">
        <v>132</v>
      </c>
      <c r="D101" s="46" t="s">
        <v>10</v>
      </c>
      <c r="E101" s="44">
        <v>1</v>
      </c>
      <c r="F101" s="31">
        <f>TRUNC(21.19,2)</f>
        <v>21.19</v>
      </c>
      <c r="G101" s="32">
        <f t="shared" si="3"/>
        <v>21.19</v>
      </c>
      <c r="H101" s="32"/>
      <c r="I101" s="33"/>
      <c r="J101" s="33"/>
      <c r="K101" s="44"/>
    </row>
    <row r="102" spans="1:11" s="34" customFormat="1" ht="30">
      <c r="A102" s="30"/>
      <c r="B102" s="43" t="s">
        <v>1745</v>
      </c>
      <c r="C102" s="45" t="s">
        <v>1746</v>
      </c>
      <c r="D102" s="46" t="s">
        <v>4</v>
      </c>
      <c r="E102" s="44">
        <v>8.24</v>
      </c>
      <c r="F102" s="31">
        <f>TRUNC(24.61,2)</f>
        <v>24.61</v>
      </c>
      <c r="G102" s="32">
        <f t="shared" si="3"/>
        <v>202.78</v>
      </c>
      <c r="H102" s="32"/>
      <c r="I102" s="33"/>
      <c r="J102" s="33"/>
      <c r="K102" s="44"/>
    </row>
    <row r="103" spans="1:11" s="34" customFormat="1" ht="15">
      <c r="A103" s="30"/>
      <c r="B103" s="43" t="s">
        <v>35</v>
      </c>
      <c r="C103" s="45" t="s">
        <v>36</v>
      </c>
      <c r="D103" s="46" t="s">
        <v>4</v>
      </c>
      <c r="E103" s="44">
        <v>8.24</v>
      </c>
      <c r="F103" s="31">
        <f>TRUNC(22.86,2)</f>
        <v>22.86</v>
      </c>
      <c r="G103" s="32">
        <f t="shared" si="3"/>
        <v>188.36</v>
      </c>
      <c r="H103" s="32"/>
      <c r="I103" s="33"/>
      <c r="J103" s="33"/>
      <c r="K103" s="44"/>
    </row>
    <row r="104" spans="1:11" s="34" customFormat="1" ht="30">
      <c r="A104" s="30"/>
      <c r="B104" s="43" t="s">
        <v>1754</v>
      </c>
      <c r="C104" s="45" t="s">
        <v>1755</v>
      </c>
      <c r="D104" s="46" t="s">
        <v>4</v>
      </c>
      <c r="E104" s="44">
        <v>11.33</v>
      </c>
      <c r="F104" s="31">
        <f>TRUNC(22.86,2)</f>
        <v>22.86</v>
      </c>
      <c r="G104" s="32">
        <f t="shared" si="3"/>
        <v>259</v>
      </c>
      <c r="H104" s="32"/>
      <c r="I104" s="33"/>
      <c r="J104" s="33"/>
      <c r="K104" s="44"/>
    </row>
    <row r="105" spans="1:11" s="34" customFormat="1" ht="30">
      <c r="A105" s="30"/>
      <c r="B105" s="43" t="s">
        <v>33</v>
      </c>
      <c r="C105" s="45" t="s">
        <v>34</v>
      </c>
      <c r="D105" s="46" t="s">
        <v>4</v>
      </c>
      <c r="E105" s="44">
        <v>8.24</v>
      </c>
      <c r="F105" s="31">
        <f>TRUNC(16.55,2)</f>
        <v>16.55</v>
      </c>
      <c r="G105" s="32">
        <f t="shared" si="3"/>
        <v>136.37</v>
      </c>
      <c r="H105" s="32"/>
      <c r="I105" s="33"/>
      <c r="J105" s="33"/>
      <c r="K105" s="44"/>
    </row>
    <row r="106" spans="1:11" s="34" customFormat="1" ht="30">
      <c r="A106" s="30"/>
      <c r="B106" s="43" t="s">
        <v>241</v>
      </c>
      <c r="C106" s="45" t="s">
        <v>242</v>
      </c>
      <c r="D106" s="46" t="s">
        <v>10</v>
      </c>
      <c r="E106" s="44">
        <v>1</v>
      </c>
      <c r="F106" s="31">
        <f>TRUNC(896.94,2)</f>
        <v>896.94</v>
      </c>
      <c r="G106" s="32">
        <f t="shared" si="3"/>
        <v>896.94</v>
      </c>
      <c r="H106" s="32"/>
      <c r="I106" s="33"/>
      <c r="J106" s="33"/>
      <c r="K106" s="44"/>
    </row>
    <row r="107" spans="1:11" s="34" customFormat="1" ht="15">
      <c r="A107" s="30"/>
      <c r="B107" s="43" t="s">
        <v>1769</v>
      </c>
      <c r="C107" s="45" t="s">
        <v>1770</v>
      </c>
      <c r="D107" s="46" t="s">
        <v>10</v>
      </c>
      <c r="E107" s="44">
        <v>1</v>
      </c>
      <c r="F107" s="31">
        <f>TRUNC(557.2932,2)</f>
        <v>557.29</v>
      </c>
      <c r="G107" s="32">
        <f t="shared" si="3"/>
        <v>557.29</v>
      </c>
      <c r="H107" s="32"/>
      <c r="I107" s="33"/>
      <c r="J107" s="33"/>
      <c r="K107" s="44"/>
    </row>
    <row r="108" spans="1:11" s="34" customFormat="1" ht="15">
      <c r="A108" s="30"/>
      <c r="B108" s="43" t="s">
        <v>1771</v>
      </c>
      <c r="C108" s="45" t="s">
        <v>1772</v>
      </c>
      <c r="D108" s="46" t="s">
        <v>1</v>
      </c>
      <c r="E108" s="44">
        <v>0.018</v>
      </c>
      <c r="F108" s="31">
        <f>TRUNC(366.9965,2)</f>
        <v>366.99</v>
      </c>
      <c r="G108" s="32">
        <f t="shared" si="3"/>
        <v>6.6</v>
      </c>
      <c r="H108" s="32"/>
      <c r="I108" s="33"/>
      <c r="J108" s="33"/>
      <c r="K108" s="44"/>
    </row>
    <row r="109" spans="1:11" s="34" customFormat="1" ht="15">
      <c r="A109" s="30"/>
      <c r="B109" s="43" t="s">
        <v>1756</v>
      </c>
      <c r="C109" s="45" t="s">
        <v>1757</v>
      </c>
      <c r="D109" s="46" t="s">
        <v>0</v>
      </c>
      <c r="E109" s="44">
        <v>8</v>
      </c>
      <c r="F109" s="31">
        <f>TRUNC(29.6403,2)</f>
        <v>29.64</v>
      </c>
      <c r="G109" s="32">
        <f t="shared" si="3"/>
        <v>237.12</v>
      </c>
      <c r="H109" s="32"/>
      <c r="I109" s="33"/>
      <c r="J109" s="33"/>
      <c r="K109" s="44"/>
    </row>
    <row r="110" spans="1:11" s="34" customFormat="1" ht="15">
      <c r="A110" s="30"/>
      <c r="B110" s="43"/>
      <c r="C110" s="45"/>
      <c r="D110" s="46"/>
      <c r="E110" s="44" t="s">
        <v>5</v>
      </c>
      <c r="F110" s="31"/>
      <c r="G110" s="32">
        <f>TRUNC(SUM(G94:G109),2)</f>
        <v>3758.08</v>
      </c>
      <c r="H110" s="32"/>
      <c r="I110" s="33"/>
      <c r="J110" s="33"/>
      <c r="K110" s="44"/>
    </row>
    <row r="111" spans="1:11" s="107" customFormat="1" ht="60">
      <c r="A111" s="99" t="s">
        <v>9</v>
      </c>
      <c r="B111" s="100" t="s">
        <v>1773</v>
      </c>
      <c r="C111" s="101" t="s">
        <v>70</v>
      </c>
      <c r="D111" s="102" t="s">
        <v>10</v>
      </c>
      <c r="E111" s="103">
        <v>1</v>
      </c>
      <c r="F111" s="104">
        <f>TRUNC(G125,2)</f>
        <v>2072.88</v>
      </c>
      <c r="G111" s="105">
        <f>TRUNC(F111*1.2247,2)</f>
        <v>2538.65</v>
      </c>
      <c r="H111" s="105">
        <f>TRUNC(F111*E111,2)</f>
        <v>2072.88</v>
      </c>
      <c r="I111" s="106">
        <f>TRUNC(E111*G111,2)</f>
        <v>2538.65</v>
      </c>
      <c r="J111" s="106"/>
      <c r="K111" s="103">
        <v>2000</v>
      </c>
    </row>
    <row r="112" spans="1:11" s="34" customFormat="1" ht="15">
      <c r="A112" s="30"/>
      <c r="B112" s="43" t="s">
        <v>71</v>
      </c>
      <c r="C112" s="45" t="s">
        <v>72</v>
      </c>
      <c r="D112" s="46" t="s">
        <v>10</v>
      </c>
      <c r="E112" s="44">
        <v>1</v>
      </c>
      <c r="F112" s="31">
        <f>TRUNC(1.18,2)</f>
        <v>1.18</v>
      </c>
      <c r="G112" s="32">
        <f aca="true" t="shared" si="4" ref="G112:G124">TRUNC(E112*F112,2)</f>
        <v>1.18</v>
      </c>
      <c r="H112" s="32"/>
      <c r="I112" s="33"/>
      <c r="J112" s="33"/>
      <c r="K112" s="44"/>
    </row>
    <row r="113" spans="1:11" s="34" customFormat="1" ht="15">
      <c r="A113" s="30"/>
      <c r="B113" s="43" t="s">
        <v>73</v>
      </c>
      <c r="C113" s="45" t="s">
        <v>74</v>
      </c>
      <c r="D113" s="46" t="s">
        <v>10</v>
      </c>
      <c r="E113" s="44">
        <v>4</v>
      </c>
      <c r="F113" s="31">
        <f>TRUNC(22.6,2)</f>
        <v>22.6</v>
      </c>
      <c r="G113" s="32">
        <f t="shared" si="4"/>
        <v>90.4</v>
      </c>
      <c r="H113" s="32"/>
      <c r="I113" s="33"/>
      <c r="J113" s="33"/>
      <c r="K113" s="44"/>
    </row>
    <row r="114" spans="1:11" s="34" customFormat="1" ht="15">
      <c r="A114" s="30"/>
      <c r="B114" s="43" t="s">
        <v>75</v>
      </c>
      <c r="C114" s="45" t="s">
        <v>76</v>
      </c>
      <c r="D114" s="46" t="s">
        <v>10</v>
      </c>
      <c r="E114" s="44">
        <v>4</v>
      </c>
      <c r="F114" s="31">
        <f>TRUNC(4.53,2)</f>
        <v>4.53</v>
      </c>
      <c r="G114" s="32">
        <f t="shared" si="4"/>
        <v>18.12</v>
      </c>
      <c r="H114" s="32"/>
      <c r="I114" s="33"/>
      <c r="J114" s="33"/>
      <c r="K114" s="44"/>
    </row>
    <row r="115" spans="1:11" s="34" customFormat="1" ht="15">
      <c r="A115" s="30"/>
      <c r="B115" s="43" t="s">
        <v>77</v>
      </c>
      <c r="C115" s="45" t="s">
        <v>78</v>
      </c>
      <c r="D115" s="46" t="s">
        <v>2</v>
      </c>
      <c r="E115" s="44">
        <v>6</v>
      </c>
      <c r="F115" s="31">
        <f>TRUNC(54.1,2)</f>
        <v>54.1</v>
      </c>
      <c r="G115" s="32">
        <f t="shared" si="4"/>
        <v>324.6</v>
      </c>
      <c r="H115" s="32"/>
      <c r="I115" s="33"/>
      <c r="J115" s="33"/>
      <c r="K115" s="44"/>
    </row>
    <row r="116" spans="1:11" s="34" customFormat="1" ht="15">
      <c r="A116" s="30"/>
      <c r="B116" s="43" t="s">
        <v>79</v>
      </c>
      <c r="C116" s="45" t="s">
        <v>80</v>
      </c>
      <c r="D116" s="46" t="s">
        <v>2</v>
      </c>
      <c r="E116" s="44">
        <v>1</v>
      </c>
      <c r="F116" s="31">
        <f>TRUNC(13.65,2)</f>
        <v>13.65</v>
      </c>
      <c r="G116" s="32">
        <f t="shared" si="4"/>
        <v>13.65</v>
      </c>
      <c r="H116" s="32"/>
      <c r="I116" s="33"/>
      <c r="J116" s="33"/>
      <c r="K116" s="44"/>
    </row>
    <row r="117" spans="1:11" s="34" customFormat="1" ht="15">
      <c r="A117" s="30"/>
      <c r="B117" s="43" t="s">
        <v>81</v>
      </c>
      <c r="C117" s="45" t="s">
        <v>82</v>
      </c>
      <c r="D117" s="46" t="s">
        <v>10</v>
      </c>
      <c r="E117" s="44">
        <v>1</v>
      </c>
      <c r="F117" s="31">
        <f>TRUNC(110.84,2)</f>
        <v>110.84</v>
      </c>
      <c r="G117" s="32">
        <f t="shared" si="4"/>
        <v>110.84</v>
      </c>
      <c r="H117" s="32"/>
      <c r="I117" s="33"/>
      <c r="J117" s="33"/>
      <c r="K117" s="44"/>
    </row>
    <row r="118" spans="1:11" s="34" customFormat="1" ht="15">
      <c r="A118" s="30"/>
      <c r="B118" s="43" t="s">
        <v>83</v>
      </c>
      <c r="C118" s="45" t="s">
        <v>84</v>
      </c>
      <c r="D118" s="46" t="s">
        <v>10</v>
      </c>
      <c r="E118" s="44">
        <v>2</v>
      </c>
      <c r="F118" s="31">
        <f>TRUNC(3.99,2)</f>
        <v>3.99</v>
      </c>
      <c r="G118" s="32">
        <f t="shared" si="4"/>
        <v>7.98</v>
      </c>
      <c r="H118" s="32"/>
      <c r="I118" s="33"/>
      <c r="J118" s="33"/>
      <c r="K118" s="44"/>
    </row>
    <row r="119" spans="1:11" s="34" customFormat="1" ht="15">
      <c r="A119" s="30"/>
      <c r="B119" s="43" t="s">
        <v>85</v>
      </c>
      <c r="C119" s="45" t="s">
        <v>86</v>
      </c>
      <c r="D119" s="46" t="s">
        <v>10</v>
      </c>
      <c r="E119" s="44">
        <v>3</v>
      </c>
      <c r="F119" s="31">
        <f>TRUNC(51.95,2)</f>
        <v>51.95</v>
      </c>
      <c r="G119" s="32">
        <f t="shared" si="4"/>
        <v>155.85</v>
      </c>
      <c r="H119" s="32"/>
      <c r="I119" s="33"/>
      <c r="J119" s="33"/>
      <c r="K119" s="44"/>
    </row>
    <row r="120" spans="1:11" s="34" customFormat="1" ht="30">
      <c r="A120" s="30"/>
      <c r="B120" s="43" t="s">
        <v>87</v>
      </c>
      <c r="C120" s="45" t="s">
        <v>88</v>
      </c>
      <c r="D120" s="46" t="s">
        <v>10</v>
      </c>
      <c r="E120" s="44">
        <v>4</v>
      </c>
      <c r="F120" s="31">
        <f>TRUNC(6.89,2)</f>
        <v>6.89</v>
      </c>
      <c r="G120" s="32">
        <f t="shared" si="4"/>
        <v>27.56</v>
      </c>
      <c r="H120" s="32"/>
      <c r="I120" s="33"/>
      <c r="J120" s="33"/>
      <c r="K120" s="44"/>
    </row>
    <row r="121" spans="1:11" s="34" customFormat="1" ht="30">
      <c r="A121" s="30"/>
      <c r="B121" s="43" t="s">
        <v>89</v>
      </c>
      <c r="C121" s="45" t="s">
        <v>90</v>
      </c>
      <c r="D121" s="46" t="s">
        <v>2</v>
      </c>
      <c r="E121" s="44">
        <v>20</v>
      </c>
      <c r="F121" s="31">
        <f>TRUNC(10.28,2)</f>
        <v>10.28</v>
      </c>
      <c r="G121" s="32">
        <f t="shared" si="4"/>
        <v>205.6</v>
      </c>
      <c r="H121" s="32"/>
      <c r="I121" s="33"/>
      <c r="J121" s="33"/>
      <c r="K121" s="44"/>
    </row>
    <row r="122" spans="1:11" s="34" customFormat="1" ht="15">
      <c r="A122" s="30"/>
      <c r="B122" s="43" t="s">
        <v>91</v>
      </c>
      <c r="C122" s="45" t="s">
        <v>92</v>
      </c>
      <c r="D122" s="46" t="s">
        <v>2</v>
      </c>
      <c r="E122" s="44">
        <v>2</v>
      </c>
      <c r="F122" s="31">
        <f>TRUNC(71.45,2)</f>
        <v>71.45</v>
      </c>
      <c r="G122" s="32">
        <f t="shared" si="4"/>
        <v>142.9</v>
      </c>
      <c r="H122" s="32"/>
      <c r="I122" s="33"/>
      <c r="J122" s="33"/>
      <c r="K122" s="44"/>
    </row>
    <row r="123" spans="1:11" s="34" customFormat="1" ht="30">
      <c r="A123" s="30"/>
      <c r="B123" s="43" t="s">
        <v>33</v>
      </c>
      <c r="C123" s="45" t="s">
        <v>34</v>
      </c>
      <c r="D123" s="46" t="s">
        <v>4</v>
      </c>
      <c r="E123" s="44">
        <v>24.72</v>
      </c>
      <c r="F123" s="31">
        <f>TRUNC(16.55,2)</f>
        <v>16.55</v>
      </c>
      <c r="G123" s="32">
        <f t="shared" si="4"/>
        <v>409.11</v>
      </c>
      <c r="H123" s="32"/>
      <c r="I123" s="33"/>
      <c r="J123" s="33"/>
      <c r="K123" s="44"/>
    </row>
    <row r="124" spans="1:11" s="34" customFormat="1" ht="30">
      <c r="A124" s="30"/>
      <c r="B124" s="43" t="s">
        <v>1752</v>
      </c>
      <c r="C124" s="45" t="s">
        <v>1753</v>
      </c>
      <c r="D124" s="46" t="s">
        <v>4</v>
      </c>
      <c r="E124" s="44">
        <v>24.72</v>
      </c>
      <c r="F124" s="31">
        <f>TRUNC(22.86,2)</f>
        <v>22.86</v>
      </c>
      <c r="G124" s="32">
        <f t="shared" si="4"/>
        <v>565.09</v>
      </c>
      <c r="H124" s="32"/>
      <c r="I124" s="33"/>
      <c r="J124" s="33"/>
      <c r="K124" s="44"/>
    </row>
    <row r="125" spans="1:11" s="34" customFormat="1" ht="15">
      <c r="A125" s="30"/>
      <c r="B125" s="43"/>
      <c r="C125" s="45"/>
      <c r="D125" s="46"/>
      <c r="E125" s="44" t="s">
        <v>5</v>
      </c>
      <c r="F125" s="31"/>
      <c r="G125" s="32">
        <f>TRUNC(SUM(G112:G124),2)</f>
        <v>2072.88</v>
      </c>
      <c r="H125" s="32"/>
      <c r="I125" s="33"/>
      <c r="J125" s="33"/>
      <c r="K125" s="44"/>
    </row>
    <row r="126" spans="1:11" s="107" customFormat="1" ht="30">
      <c r="A126" s="99" t="s">
        <v>37</v>
      </c>
      <c r="B126" s="100" t="s">
        <v>1774</v>
      </c>
      <c r="C126" s="101" t="s">
        <v>248</v>
      </c>
      <c r="D126" s="102" t="s">
        <v>2</v>
      </c>
      <c r="E126" s="103">
        <v>123</v>
      </c>
      <c r="F126" s="104">
        <f>TRUNC(58.316385,2)</f>
        <v>58.31</v>
      </c>
      <c r="G126" s="105">
        <f>TRUNC(F126*1.2247,2)</f>
        <v>71.41</v>
      </c>
      <c r="H126" s="105">
        <f>TRUNC(F126*E126,2)</f>
        <v>7172.13</v>
      </c>
      <c r="I126" s="106">
        <f>TRUNC(E126*G126,2)</f>
        <v>8783.43</v>
      </c>
      <c r="J126" s="106"/>
      <c r="K126" s="103"/>
    </row>
    <row r="127" spans="1:11" s="34" customFormat="1" ht="15">
      <c r="A127" s="30"/>
      <c r="B127" s="43" t="s">
        <v>1775</v>
      </c>
      <c r="C127" s="45" t="s">
        <v>250</v>
      </c>
      <c r="D127" s="46" t="s">
        <v>2</v>
      </c>
      <c r="E127" s="44">
        <v>0.55</v>
      </c>
      <c r="F127" s="31">
        <f>TRUNC(6.93,2)</f>
        <v>6.93</v>
      </c>
      <c r="G127" s="32">
        <f aca="true" t="shared" si="5" ref="G127:G137">TRUNC(E127*F127,2)</f>
        <v>3.81</v>
      </c>
      <c r="H127" s="32"/>
      <c r="I127" s="33"/>
      <c r="J127" s="33"/>
      <c r="K127" s="44"/>
    </row>
    <row r="128" spans="1:11" s="34" customFormat="1" ht="15">
      <c r="A128" s="30"/>
      <c r="B128" s="43" t="s">
        <v>1776</v>
      </c>
      <c r="C128" s="45" t="s">
        <v>252</v>
      </c>
      <c r="D128" s="46" t="s">
        <v>253</v>
      </c>
      <c r="E128" s="44">
        <v>0.0256</v>
      </c>
      <c r="F128" s="31">
        <f>TRUNC(22.49,2)</f>
        <v>22.49</v>
      </c>
      <c r="G128" s="32">
        <f t="shared" si="5"/>
        <v>0.57</v>
      </c>
      <c r="H128" s="32"/>
      <c r="I128" s="33"/>
      <c r="J128" s="33"/>
      <c r="K128" s="44"/>
    </row>
    <row r="129" spans="1:11" s="34" customFormat="1" ht="15">
      <c r="A129" s="30"/>
      <c r="B129" s="43" t="s">
        <v>1777</v>
      </c>
      <c r="C129" s="45" t="s">
        <v>255</v>
      </c>
      <c r="D129" s="46" t="s">
        <v>3</v>
      </c>
      <c r="E129" s="44">
        <v>0.111</v>
      </c>
      <c r="F129" s="31">
        <f>TRUNC(15.07,2)</f>
        <v>15.07</v>
      </c>
      <c r="G129" s="32">
        <f t="shared" si="5"/>
        <v>1.67</v>
      </c>
      <c r="H129" s="32"/>
      <c r="I129" s="33"/>
      <c r="J129" s="33"/>
      <c r="K129" s="44"/>
    </row>
    <row r="130" spans="1:11" s="34" customFormat="1" ht="30">
      <c r="A130" s="30"/>
      <c r="B130" s="43" t="s">
        <v>1778</v>
      </c>
      <c r="C130" s="45" t="s">
        <v>257</v>
      </c>
      <c r="D130" s="46" t="s">
        <v>2</v>
      </c>
      <c r="E130" s="44">
        <v>0.4125</v>
      </c>
      <c r="F130" s="31">
        <f>TRUNC(25.22,2)</f>
        <v>25.22</v>
      </c>
      <c r="G130" s="32">
        <f t="shared" si="5"/>
        <v>10.4</v>
      </c>
      <c r="H130" s="32"/>
      <c r="I130" s="33"/>
      <c r="J130" s="33"/>
      <c r="K130" s="44"/>
    </row>
    <row r="131" spans="1:11" s="34" customFormat="1" ht="30">
      <c r="A131" s="30"/>
      <c r="B131" s="43" t="s">
        <v>1779</v>
      </c>
      <c r="C131" s="45" t="s">
        <v>259</v>
      </c>
      <c r="D131" s="46" t="s">
        <v>2</v>
      </c>
      <c r="E131" s="44">
        <v>0.7445</v>
      </c>
      <c r="F131" s="31">
        <f>TRUNC(7.02,2)</f>
        <v>7.02</v>
      </c>
      <c r="G131" s="32">
        <f t="shared" si="5"/>
        <v>5.22</v>
      </c>
      <c r="H131" s="32"/>
      <c r="I131" s="33"/>
      <c r="J131" s="33"/>
      <c r="K131" s="44"/>
    </row>
    <row r="132" spans="1:11" s="34" customFormat="1" ht="15">
      <c r="A132" s="30"/>
      <c r="B132" s="43" t="s">
        <v>1780</v>
      </c>
      <c r="C132" s="45" t="s">
        <v>261</v>
      </c>
      <c r="D132" s="46" t="s">
        <v>4</v>
      </c>
      <c r="E132" s="44">
        <v>0.7125</v>
      </c>
      <c r="F132" s="31">
        <f>TRUNC(29.7,2)</f>
        <v>29.7</v>
      </c>
      <c r="G132" s="32">
        <f t="shared" si="5"/>
        <v>21.16</v>
      </c>
      <c r="H132" s="32"/>
      <c r="I132" s="33"/>
      <c r="J132" s="33"/>
      <c r="K132" s="44"/>
    </row>
    <row r="133" spans="1:11" s="34" customFormat="1" ht="15">
      <c r="A133" s="30"/>
      <c r="B133" s="43" t="s">
        <v>1781</v>
      </c>
      <c r="C133" s="45" t="s">
        <v>263</v>
      </c>
      <c r="D133" s="46" t="s">
        <v>4</v>
      </c>
      <c r="E133" s="44">
        <v>0.3563</v>
      </c>
      <c r="F133" s="31">
        <f>TRUNC(24.91,2)</f>
        <v>24.91</v>
      </c>
      <c r="G133" s="32">
        <f t="shared" si="5"/>
        <v>8.87</v>
      </c>
      <c r="H133" s="32"/>
      <c r="I133" s="33"/>
      <c r="J133" s="33"/>
      <c r="K133" s="44"/>
    </row>
    <row r="134" spans="1:11" s="34" customFormat="1" ht="15">
      <c r="A134" s="30"/>
      <c r="B134" s="43" t="s">
        <v>1782</v>
      </c>
      <c r="C134" s="45" t="s">
        <v>1783</v>
      </c>
      <c r="D134" s="46" t="s">
        <v>10</v>
      </c>
      <c r="E134" s="44">
        <v>1.5</v>
      </c>
      <c r="F134" s="31">
        <f>TRUNC(2.76,2)</f>
        <v>2.76</v>
      </c>
      <c r="G134" s="32">
        <f t="shared" si="5"/>
        <v>4.14</v>
      </c>
      <c r="H134" s="32"/>
      <c r="I134" s="33"/>
      <c r="J134" s="33"/>
      <c r="K134" s="44"/>
    </row>
    <row r="135" spans="1:11" s="34" customFormat="1" ht="30">
      <c r="A135" s="30"/>
      <c r="B135" s="43" t="s">
        <v>1784</v>
      </c>
      <c r="C135" s="45" t="s">
        <v>1785</v>
      </c>
      <c r="D135" s="46" t="s">
        <v>1</v>
      </c>
      <c r="E135" s="44">
        <v>0.0046</v>
      </c>
      <c r="F135" s="31">
        <f>TRUNC(375.02,2)</f>
        <v>375.02</v>
      </c>
      <c r="G135" s="32">
        <f t="shared" si="5"/>
        <v>1.72</v>
      </c>
      <c r="H135" s="32"/>
      <c r="I135" s="33"/>
      <c r="J135" s="33"/>
      <c r="K135" s="44"/>
    </row>
    <row r="136" spans="1:11" s="34" customFormat="1" ht="30">
      <c r="A136" s="30"/>
      <c r="B136" s="43" t="s">
        <v>1786</v>
      </c>
      <c r="C136" s="45" t="s">
        <v>1787</v>
      </c>
      <c r="D136" s="46" t="s">
        <v>38</v>
      </c>
      <c r="E136" s="44">
        <v>0.0168</v>
      </c>
      <c r="F136" s="31">
        <f>TRUNC(34.47,2)</f>
        <v>34.47</v>
      </c>
      <c r="G136" s="32">
        <f t="shared" si="5"/>
        <v>0.57</v>
      </c>
      <c r="H136" s="32"/>
      <c r="I136" s="33"/>
      <c r="J136" s="33"/>
      <c r="K136" s="44"/>
    </row>
    <row r="137" spans="1:11" s="34" customFormat="1" ht="30">
      <c r="A137" s="30"/>
      <c r="B137" s="43" t="s">
        <v>1788</v>
      </c>
      <c r="C137" s="45" t="s">
        <v>1789</v>
      </c>
      <c r="D137" s="46" t="s">
        <v>21</v>
      </c>
      <c r="E137" s="44">
        <v>0.0039</v>
      </c>
      <c r="F137" s="31">
        <f>TRUNC(37.4,2)</f>
        <v>37.4</v>
      </c>
      <c r="G137" s="32">
        <f t="shared" si="5"/>
        <v>0.14</v>
      </c>
      <c r="H137" s="32"/>
      <c r="I137" s="33"/>
      <c r="J137" s="33"/>
      <c r="K137" s="44"/>
    </row>
    <row r="138" spans="1:11" s="34" customFormat="1" ht="15">
      <c r="A138" s="30"/>
      <c r="B138" s="43"/>
      <c r="C138" s="45"/>
      <c r="D138" s="46"/>
      <c r="E138" s="44" t="s">
        <v>5</v>
      </c>
      <c r="F138" s="31"/>
      <c r="G138" s="32">
        <f>TRUNC(SUM(G127:G137),2)</f>
        <v>58.27</v>
      </c>
      <c r="H138" s="32"/>
      <c r="I138" s="33"/>
      <c r="J138" s="33"/>
      <c r="K138" s="44"/>
    </row>
    <row r="139" spans="1:11" s="72" customFormat="1" ht="15">
      <c r="A139" s="65" t="s">
        <v>1363</v>
      </c>
      <c r="B139" s="66"/>
      <c r="C139" s="67"/>
      <c r="D139" s="68"/>
      <c r="E139" s="69"/>
      <c r="F139" s="70"/>
      <c r="G139" s="73" t="s">
        <v>23</v>
      </c>
      <c r="H139" s="74">
        <f>H126+H111+H93+H20+H13</f>
        <v>33459.89</v>
      </c>
      <c r="I139" s="75">
        <f>I126+I111+I93+I20+I13</f>
        <v>40977.7</v>
      </c>
      <c r="J139" s="71"/>
      <c r="K139" s="69"/>
    </row>
    <row r="140" spans="1:11" s="21" customFormat="1" ht="15.75">
      <c r="A140" s="21" t="s">
        <v>888</v>
      </c>
      <c r="B140" s="28"/>
      <c r="C140" s="29" t="s">
        <v>272</v>
      </c>
      <c r="D140" s="29"/>
      <c r="E140" s="29"/>
      <c r="F140" s="29"/>
      <c r="G140" s="29"/>
      <c r="H140" s="29"/>
      <c r="I140" s="27"/>
      <c r="J140" s="29"/>
      <c r="K140" s="29"/>
    </row>
    <row r="141" spans="1:11" s="107" customFormat="1" ht="75">
      <c r="A141" s="99" t="s">
        <v>1358</v>
      </c>
      <c r="B141" s="100" t="s">
        <v>1790</v>
      </c>
      <c r="C141" s="101" t="s">
        <v>274</v>
      </c>
      <c r="D141" s="102" t="s">
        <v>1</v>
      </c>
      <c r="E141" s="103">
        <v>225.6</v>
      </c>
      <c r="F141" s="104">
        <f>TRUNC(G145,2)</f>
        <v>136.61</v>
      </c>
      <c r="G141" s="105">
        <f>TRUNC(F141*1.2247,2)</f>
        <v>167.3</v>
      </c>
      <c r="H141" s="105">
        <f>TRUNC(F141*E141,2)</f>
        <v>30819.21</v>
      </c>
      <c r="I141" s="106">
        <f>TRUNC(E141*G141,2)</f>
        <v>37742.88</v>
      </c>
      <c r="J141" s="106"/>
      <c r="K141" s="103"/>
    </row>
    <row r="142" spans="1:11" s="34" customFormat="1" ht="30">
      <c r="A142" s="30"/>
      <c r="B142" s="43" t="s">
        <v>33</v>
      </c>
      <c r="C142" s="45" t="s">
        <v>34</v>
      </c>
      <c r="D142" s="46" t="s">
        <v>4</v>
      </c>
      <c r="E142" s="44">
        <v>6.901000000000001</v>
      </c>
      <c r="F142" s="31">
        <f>TRUNC(16.55,2)</f>
        <v>16.55</v>
      </c>
      <c r="G142" s="32">
        <f>TRUNC(E142*F142,2)</f>
        <v>114.21</v>
      </c>
      <c r="H142" s="32"/>
      <c r="I142" s="33"/>
      <c r="J142" s="33"/>
      <c r="K142" s="44"/>
    </row>
    <row r="143" spans="1:11" s="34" customFormat="1" ht="15">
      <c r="A143" s="30"/>
      <c r="B143" s="43" t="s">
        <v>1791</v>
      </c>
      <c r="C143" s="45" t="s">
        <v>1792</v>
      </c>
      <c r="D143" s="46" t="s">
        <v>4</v>
      </c>
      <c r="E143" s="44">
        <v>0.34</v>
      </c>
      <c r="F143" s="31">
        <f>TRUNC(49.8489,2)</f>
        <v>49.84</v>
      </c>
      <c r="G143" s="32">
        <f>TRUNC(E143*F143,2)</f>
        <v>16.94</v>
      </c>
      <c r="H143" s="32"/>
      <c r="I143" s="33"/>
      <c r="J143" s="33"/>
      <c r="K143" s="44"/>
    </row>
    <row r="144" spans="1:11" s="34" customFormat="1" ht="15">
      <c r="A144" s="30"/>
      <c r="B144" s="43" t="s">
        <v>1793</v>
      </c>
      <c r="C144" s="45" t="s">
        <v>1794</v>
      </c>
      <c r="D144" s="46" t="s">
        <v>4</v>
      </c>
      <c r="E144" s="44">
        <v>0.0356</v>
      </c>
      <c r="F144" s="31">
        <f>TRUNC(153.517,2)</f>
        <v>153.51</v>
      </c>
      <c r="G144" s="32">
        <f>TRUNC(E144*F144,2)</f>
        <v>5.46</v>
      </c>
      <c r="H144" s="32"/>
      <c r="I144" s="33"/>
      <c r="J144" s="33"/>
      <c r="K144" s="44"/>
    </row>
    <row r="145" spans="1:11" s="34" customFormat="1" ht="15">
      <c r="A145" s="30"/>
      <c r="B145" s="43"/>
      <c r="C145" s="45"/>
      <c r="D145" s="46"/>
      <c r="E145" s="44" t="s">
        <v>5</v>
      </c>
      <c r="F145" s="31"/>
      <c r="G145" s="32">
        <f>TRUNC(SUM(G142:G144),2)</f>
        <v>136.61</v>
      </c>
      <c r="H145" s="32"/>
      <c r="I145" s="33"/>
      <c r="J145" s="33"/>
      <c r="K145" s="44"/>
    </row>
    <row r="146" spans="1:11" s="107" customFormat="1" ht="45">
      <c r="A146" s="99" t="s">
        <v>1359</v>
      </c>
      <c r="B146" s="100" t="s">
        <v>1795</v>
      </c>
      <c r="C146" s="101" t="s">
        <v>280</v>
      </c>
      <c r="D146" s="102" t="s">
        <v>1</v>
      </c>
      <c r="E146" s="103">
        <v>137</v>
      </c>
      <c r="F146" s="104">
        <f>TRUNC(G148,2)</f>
        <v>57.95</v>
      </c>
      <c r="G146" s="105">
        <f>TRUNC(F146*1.2247,2)</f>
        <v>70.97</v>
      </c>
      <c r="H146" s="105">
        <f>TRUNC(F146*E146,2)</f>
        <v>7939.15</v>
      </c>
      <c r="I146" s="106">
        <f>TRUNC(E146*G146,2)</f>
        <v>9722.89</v>
      </c>
      <c r="J146" s="106"/>
      <c r="K146" s="103"/>
    </row>
    <row r="147" spans="1:11" s="34" customFormat="1" ht="30">
      <c r="A147" s="30"/>
      <c r="B147" s="43" t="s">
        <v>33</v>
      </c>
      <c r="C147" s="45" t="s">
        <v>34</v>
      </c>
      <c r="D147" s="46" t="s">
        <v>4</v>
      </c>
      <c r="E147" s="44">
        <v>3.502</v>
      </c>
      <c r="F147" s="31">
        <f>TRUNC(16.55,2)</f>
        <v>16.55</v>
      </c>
      <c r="G147" s="32">
        <f>TRUNC(E147*F147,2)</f>
        <v>57.95</v>
      </c>
      <c r="H147" s="32"/>
      <c r="I147" s="33"/>
      <c r="J147" s="33"/>
      <c r="K147" s="44"/>
    </row>
    <row r="148" spans="1:11" s="34" customFormat="1" ht="15">
      <c r="A148" s="30"/>
      <c r="B148" s="43"/>
      <c r="C148" s="45"/>
      <c r="D148" s="46"/>
      <c r="E148" s="44" t="s">
        <v>5</v>
      </c>
      <c r="F148" s="31"/>
      <c r="G148" s="32">
        <f>TRUNC(SUM(G147:G147),2)</f>
        <v>57.95</v>
      </c>
      <c r="H148" s="32"/>
      <c r="I148" s="33"/>
      <c r="J148" s="33"/>
      <c r="K148" s="44"/>
    </row>
    <row r="149" spans="1:11" s="107" customFormat="1" ht="30">
      <c r="A149" s="99" t="s">
        <v>1360</v>
      </c>
      <c r="B149" s="100" t="s">
        <v>1796</v>
      </c>
      <c r="C149" s="101" t="s">
        <v>282</v>
      </c>
      <c r="D149" s="102" t="s">
        <v>0</v>
      </c>
      <c r="E149" s="103">
        <v>121.3</v>
      </c>
      <c r="F149" s="104">
        <f>TRUNC(G157,2)</f>
        <v>2.08</v>
      </c>
      <c r="G149" s="105">
        <f>TRUNC(F149*1.2247,2)</f>
        <v>2.54</v>
      </c>
      <c r="H149" s="105">
        <f>TRUNC(F149*E149,2)</f>
        <v>252.3</v>
      </c>
      <c r="I149" s="106">
        <f>TRUNC(E149*G149,2)</f>
        <v>308.1</v>
      </c>
      <c r="J149" s="106"/>
      <c r="K149" s="103"/>
    </row>
    <row r="150" spans="1:11" s="34" customFormat="1" ht="15">
      <c r="A150" s="30"/>
      <c r="B150" s="43" t="s">
        <v>43</v>
      </c>
      <c r="C150" s="45" t="s">
        <v>32</v>
      </c>
      <c r="D150" s="46" t="s">
        <v>4</v>
      </c>
      <c r="E150" s="44">
        <v>0.008</v>
      </c>
      <c r="F150" s="31">
        <f>TRUNC(23.42,2)</f>
        <v>23.42</v>
      </c>
      <c r="G150" s="32">
        <f aca="true" t="shared" si="6" ref="G150:G156">TRUNC(E150*F150,2)</f>
        <v>0.18</v>
      </c>
      <c r="H150" s="32"/>
      <c r="I150" s="33"/>
      <c r="J150" s="33"/>
      <c r="K150" s="44"/>
    </row>
    <row r="151" spans="1:11" s="34" customFormat="1" ht="45">
      <c r="A151" s="30"/>
      <c r="B151" s="43" t="s">
        <v>1797</v>
      </c>
      <c r="C151" s="45" t="s">
        <v>1798</v>
      </c>
      <c r="D151" s="46" t="s">
        <v>38</v>
      </c>
      <c r="E151" s="44">
        <v>0.006</v>
      </c>
      <c r="F151" s="31">
        <f>TRUNC(56.11,2)</f>
        <v>56.11</v>
      </c>
      <c r="G151" s="32">
        <f t="shared" si="6"/>
        <v>0.33</v>
      </c>
      <c r="H151" s="32"/>
      <c r="I151" s="33"/>
      <c r="J151" s="33"/>
      <c r="K151" s="44"/>
    </row>
    <row r="152" spans="1:11" s="34" customFormat="1" ht="45">
      <c r="A152" s="30"/>
      <c r="B152" s="43" t="s">
        <v>1799</v>
      </c>
      <c r="C152" s="45" t="s">
        <v>1800</v>
      </c>
      <c r="D152" s="46" t="s">
        <v>21</v>
      </c>
      <c r="E152" s="44">
        <v>0.002</v>
      </c>
      <c r="F152" s="31">
        <f>TRUNC(189.39,2)</f>
        <v>189.39</v>
      </c>
      <c r="G152" s="32">
        <f t="shared" si="6"/>
        <v>0.37</v>
      </c>
      <c r="H152" s="32"/>
      <c r="I152" s="33"/>
      <c r="J152" s="33"/>
      <c r="K152" s="44"/>
    </row>
    <row r="153" spans="1:11" s="34" customFormat="1" ht="45">
      <c r="A153" s="30"/>
      <c r="B153" s="43" t="s">
        <v>49</v>
      </c>
      <c r="C153" s="45" t="s">
        <v>50</v>
      </c>
      <c r="D153" s="46" t="s">
        <v>38</v>
      </c>
      <c r="E153" s="44">
        <v>0.008</v>
      </c>
      <c r="F153" s="31">
        <f>TRUNC(76.79,2)</f>
        <v>76.79</v>
      </c>
      <c r="G153" s="32">
        <f t="shared" si="6"/>
        <v>0.61</v>
      </c>
      <c r="H153" s="32"/>
      <c r="I153" s="33"/>
      <c r="J153" s="33"/>
      <c r="K153" s="44"/>
    </row>
    <row r="154" spans="1:11" s="34" customFormat="1" ht="45">
      <c r="A154" s="30"/>
      <c r="B154" s="43" t="s">
        <v>51</v>
      </c>
      <c r="C154" s="45" t="s">
        <v>52</v>
      </c>
      <c r="D154" s="46" t="s">
        <v>21</v>
      </c>
      <c r="E154" s="44">
        <v>0.0001</v>
      </c>
      <c r="F154" s="31">
        <f>TRUNC(192.04,2)</f>
        <v>192.04</v>
      </c>
      <c r="G154" s="32">
        <f t="shared" si="6"/>
        <v>0.01</v>
      </c>
      <c r="H154" s="32"/>
      <c r="I154" s="33"/>
      <c r="J154" s="33"/>
      <c r="K154" s="44"/>
    </row>
    <row r="155" spans="1:11" s="34" customFormat="1" ht="45">
      <c r="A155" s="30"/>
      <c r="B155" s="43" t="s">
        <v>53</v>
      </c>
      <c r="C155" s="45" t="s">
        <v>54</v>
      </c>
      <c r="D155" s="46" t="s">
        <v>38</v>
      </c>
      <c r="E155" s="44">
        <v>0.007</v>
      </c>
      <c r="F155" s="31">
        <f>TRUNC(51.43,2)</f>
        <v>51.43</v>
      </c>
      <c r="G155" s="32">
        <f t="shared" si="6"/>
        <v>0.36</v>
      </c>
      <c r="H155" s="32"/>
      <c r="I155" s="33"/>
      <c r="J155" s="33"/>
      <c r="K155" s="44"/>
    </row>
    <row r="156" spans="1:11" s="34" customFormat="1" ht="60">
      <c r="A156" s="30"/>
      <c r="B156" s="43" t="s">
        <v>55</v>
      </c>
      <c r="C156" s="45" t="s">
        <v>56</v>
      </c>
      <c r="D156" s="46" t="s">
        <v>21</v>
      </c>
      <c r="E156" s="44">
        <v>0.001</v>
      </c>
      <c r="F156" s="31">
        <f>TRUNC(228.81,2)</f>
        <v>228.81</v>
      </c>
      <c r="G156" s="32">
        <f t="shared" si="6"/>
        <v>0.22</v>
      </c>
      <c r="H156" s="32"/>
      <c r="I156" s="33"/>
      <c r="J156" s="33"/>
      <c r="K156" s="44"/>
    </row>
    <row r="157" spans="1:11" s="34" customFormat="1" ht="15">
      <c r="A157" s="30"/>
      <c r="B157" s="43"/>
      <c r="C157" s="45"/>
      <c r="D157" s="46"/>
      <c r="E157" s="44" t="s">
        <v>5</v>
      </c>
      <c r="F157" s="31"/>
      <c r="G157" s="32">
        <f>TRUNC(SUM(G150:G156),2)</f>
        <v>2.08</v>
      </c>
      <c r="H157" s="32"/>
      <c r="I157" s="33"/>
      <c r="J157" s="33"/>
      <c r="K157" s="44"/>
    </row>
    <row r="158" spans="1:11" s="107" customFormat="1" ht="15">
      <c r="A158" s="99" t="s">
        <v>1361</v>
      </c>
      <c r="B158" s="100" t="s">
        <v>1801</v>
      </c>
      <c r="C158" s="101" t="s">
        <v>297</v>
      </c>
      <c r="D158" s="102" t="s">
        <v>1</v>
      </c>
      <c r="E158" s="103">
        <v>74.88</v>
      </c>
      <c r="F158" s="104">
        <f>TRUNC(G160,2)</f>
        <v>56.17</v>
      </c>
      <c r="G158" s="105">
        <f>TRUNC(F158*1.2247,2)</f>
        <v>68.79</v>
      </c>
      <c r="H158" s="105">
        <f>TRUNC(F158*E158,2)</f>
        <v>4206</v>
      </c>
      <c r="I158" s="106">
        <f>TRUNC(E158*G158,2)</f>
        <v>5150.99</v>
      </c>
      <c r="J158" s="106"/>
      <c r="K158" s="103"/>
    </row>
    <row r="159" spans="1:11" s="34" customFormat="1" ht="15">
      <c r="A159" s="30"/>
      <c r="B159" s="43" t="s">
        <v>43</v>
      </c>
      <c r="C159" s="45" t="s">
        <v>32</v>
      </c>
      <c r="D159" s="46" t="s">
        <v>4</v>
      </c>
      <c r="E159" s="44">
        <v>2.3986</v>
      </c>
      <c r="F159" s="31">
        <f>TRUNC(23.42,2)</f>
        <v>23.42</v>
      </c>
      <c r="G159" s="32">
        <f>TRUNC(E159*F159,2)</f>
        <v>56.17</v>
      </c>
      <c r="H159" s="32"/>
      <c r="I159" s="33"/>
      <c r="J159" s="33"/>
      <c r="K159" s="44"/>
    </row>
    <row r="160" spans="1:11" s="34" customFormat="1" ht="15">
      <c r="A160" s="30"/>
      <c r="B160" s="43"/>
      <c r="C160" s="45"/>
      <c r="D160" s="46"/>
      <c r="E160" s="44" t="s">
        <v>5</v>
      </c>
      <c r="F160" s="31"/>
      <c r="G160" s="32">
        <f>TRUNC(SUM(G159:G159),2)</f>
        <v>56.17</v>
      </c>
      <c r="H160" s="32"/>
      <c r="I160" s="33"/>
      <c r="J160" s="33"/>
      <c r="K160" s="44"/>
    </row>
    <row r="161" spans="1:11" s="107" customFormat="1" ht="45">
      <c r="A161" s="99" t="s">
        <v>2445</v>
      </c>
      <c r="B161" s="100" t="s">
        <v>2446</v>
      </c>
      <c r="C161" s="101" t="s">
        <v>2440</v>
      </c>
      <c r="D161" s="102" t="s">
        <v>1</v>
      </c>
      <c r="E161" s="103">
        <v>960.58</v>
      </c>
      <c r="F161" s="104">
        <f>TRUNC(G165,2)</f>
        <v>7.7</v>
      </c>
      <c r="G161" s="105">
        <f>TRUNC(F161*1.2247,2)</f>
        <v>9.43</v>
      </c>
      <c r="H161" s="105">
        <f>TRUNC(F161*E161,2)</f>
        <v>7396.46</v>
      </c>
      <c r="I161" s="106">
        <f>TRUNC(E161*G161,2)</f>
        <v>9058.26</v>
      </c>
      <c r="J161" s="106"/>
      <c r="K161" s="103"/>
    </row>
    <row r="162" spans="1:11" s="34" customFormat="1" ht="30">
      <c r="A162" s="30"/>
      <c r="B162" s="43" t="s">
        <v>33</v>
      </c>
      <c r="C162" s="45" t="s">
        <v>34</v>
      </c>
      <c r="D162" s="46" t="s">
        <v>4</v>
      </c>
      <c r="E162" s="44">
        <v>0.0554</v>
      </c>
      <c r="F162" s="31">
        <f>TRUNC(16.55,2)</f>
        <v>16.55</v>
      </c>
      <c r="G162" s="32">
        <f>TRUNC(E162*F162,2)</f>
        <v>0.91</v>
      </c>
      <c r="H162" s="32"/>
      <c r="I162" s="33"/>
      <c r="J162" s="33"/>
      <c r="K162" s="44"/>
    </row>
    <row r="163" spans="1:11" s="34" customFormat="1" ht="15">
      <c r="A163" s="30"/>
      <c r="B163" s="43" t="s">
        <v>2447</v>
      </c>
      <c r="C163" s="45" t="s">
        <v>2448</v>
      </c>
      <c r="D163" s="46" t="s">
        <v>4</v>
      </c>
      <c r="E163" s="44">
        <v>0.0084</v>
      </c>
      <c r="F163" s="31">
        <f>TRUNC(44.7436,2)</f>
        <v>44.74</v>
      </c>
      <c r="G163" s="32">
        <f>TRUNC(E163*F163,2)</f>
        <v>0.37</v>
      </c>
      <c r="H163" s="32"/>
      <c r="I163" s="33"/>
      <c r="J163" s="33"/>
      <c r="K163" s="44"/>
    </row>
    <row r="164" spans="1:11" s="34" customFormat="1" ht="15">
      <c r="A164" s="30"/>
      <c r="B164" s="43" t="s">
        <v>2449</v>
      </c>
      <c r="C164" s="45" t="s">
        <v>2450</v>
      </c>
      <c r="D164" s="46" t="s">
        <v>4</v>
      </c>
      <c r="E164" s="44">
        <v>0.047</v>
      </c>
      <c r="F164" s="31">
        <f>TRUNC(136.6245,2)</f>
        <v>136.62</v>
      </c>
      <c r="G164" s="32">
        <f>TRUNC(E164*F164,2)</f>
        <v>6.42</v>
      </c>
      <c r="H164" s="32"/>
      <c r="I164" s="33"/>
      <c r="J164" s="33"/>
      <c r="K164" s="44"/>
    </row>
    <row r="165" spans="1:11" s="34" customFormat="1" ht="15">
      <c r="A165" s="30"/>
      <c r="B165" s="43"/>
      <c r="C165" s="45"/>
      <c r="D165" s="46"/>
      <c r="E165" s="44" t="s">
        <v>5</v>
      </c>
      <c r="F165" s="31"/>
      <c r="G165" s="32">
        <f>TRUNC(SUM(G162:G164),2)</f>
        <v>7.7</v>
      </c>
      <c r="H165" s="32"/>
      <c r="I165" s="33"/>
      <c r="J165" s="33"/>
      <c r="K165" s="44"/>
    </row>
    <row r="166" spans="1:11" s="72" customFormat="1" ht="15">
      <c r="A166" s="65" t="s">
        <v>1363</v>
      </c>
      <c r="B166" s="66"/>
      <c r="C166" s="67"/>
      <c r="D166" s="68"/>
      <c r="E166" s="69"/>
      <c r="F166" s="70"/>
      <c r="G166" s="73" t="s">
        <v>1362</v>
      </c>
      <c r="H166" s="75">
        <f>H158+H149+H146+H141+H161</f>
        <v>50613.12</v>
      </c>
      <c r="I166" s="75">
        <f>I158+I149+I146+I141+I161</f>
        <v>61983.12</v>
      </c>
      <c r="J166" s="71"/>
      <c r="K166" s="69"/>
    </row>
    <row r="167" spans="1:11" s="21" customFormat="1" ht="15.75">
      <c r="A167" s="21" t="s">
        <v>889</v>
      </c>
      <c r="B167" s="28"/>
      <c r="C167" s="29" t="s">
        <v>298</v>
      </c>
      <c r="D167" s="29"/>
      <c r="E167" s="29"/>
      <c r="F167" s="29"/>
      <c r="G167" s="29"/>
      <c r="H167" s="29"/>
      <c r="I167" s="27"/>
      <c r="J167" s="29"/>
      <c r="K167" s="29"/>
    </row>
    <row r="168" spans="1:11" s="107" customFormat="1" ht="30">
      <c r="A168" s="99" t="s">
        <v>1397</v>
      </c>
      <c r="B168" s="100" t="s">
        <v>1808</v>
      </c>
      <c r="C168" s="101" t="s">
        <v>1382</v>
      </c>
      <c r="D168" s="102" t="s">
        <v>3</v>
      </c>
      <c r="E168" s="103">
        <v>31</v>
      </c>
      <c r="F168" s="104">
        <f>TRUNC(G175,2)</f>
        <v>33.41</v>
      </c>
      <c r="G168" s="105">
        <f>TRUNC(F168*1.2247,2)</f>
        <v>40.91</v>
      </c>
      <c r="H168" s="105">
        <f>TRUNC(F168*E168,2)</f>
        <v>1035.71</v>
      </c>
      <c r="I168" s="106">
        <f>TRUNC(E168*G168,2)</f>
        <v>1268.21</v>
      </c>
      <c r="J168" s="106"/>
      <c r="K168" s="103"/>
    </row>
    <row r="169" spans="1:11" s="34" customFormat="1" ht="15">
      <c r="A169" s="30"/>
      <c r="B169" s="43" t="s">
        <v>1380</v>
      </c>
      <c r="C169" s="45" t="s">
        <v>1381</v>
      </c>
      <c r="D169" s="46" t="s">
        <v>3</v>
      </c>
      <c r="E169" s="44">
        <v>1</v>
      </c>
      <c r="F169" s="31">
        <v>10.1</v>
      </c>
      <c r="G169" s="32">
        <f aca="true" t="shared" si="7" ref="G169:G174">TRUNC(E169*F169,2)</f>
        <v>10.1</v>
      </c>
      <c r="H169" s="32"/>
      <c r="I169" s="33"/>
      <c r="J169" s="33"/>
      <c r="K169" s="44"/>
    </row>
    <row r="170" spans="1:11" s="34" customFormat="1" ht="30">
      <c r="A170" s="30"/>
      <c r="B170" s="43" t="s">
        <v>1802</v>
      </c>
      <c r="C170" s="45" t="s">
        <v>1365</v>
      </c>
      <c r="D170" s="46" t="s">
        <v>3</v>
      </c>
      <c r="E170" s="44">
        <v>0.025</v>
      </c>
      <c r="F170" s="31">
        <f>TRUNC(18.6,2)</f>
        <v>18.6</v>
      </c>
      <c r="G170" s="32">
        <f t="shared" si="7"/>
        <v>0.46</v>
      </c>
      <c r="H170" s="32"/>
      <c r="I170" s="33"/>
      <c r="J170" s="33"/>
      <c r="K170" s="44"/>
    </row>
    <row r="171" spans="1:11" s="34" customFormat="1" ht="30">
      <c r="A171" s="30"/>
      <c r="B171" s="43" t="s">
        <v>1803</v>
      </c>
      <c r="C171" s="45" t="s">
        <v>1367</v>
      </c>
      <c r="D171" s="46" t="s">
        <v>10</v>
      </c>
      <c r="E171" s="44">
        <v>1.9665</v>
      </c>
      <c r="F171" s="31">
        <f>TRUNC(0.32,2)</f>
        <v>0.32</v>
      </c>
      <c r="G171" s="32">
        <f t="shared" si="7"/>
        <v>0.62</v>
      </c>
      <c r="H171" s="32"/>
      <c r="I171" s="33"/>
      <c r="J171" s="33"/>
      <c r="K171" s="44"/>
    </row>
    <row r="172" spans="1:11" s="34" customFormat="1" ht="15">
      <c r="A172" s="30"/>
      <c r="B172" s="43" t="s">
        <v>1804</v>
      </c>
      <c r="C172" s="45" t="s">
        <v>1369</v>
      </c>
      <c r="D172" s="46" t="s">
        <v>4</v>
      </c>
      <c r="E172" s="44">
        <v>0.1945</v>
      </c>
      <c r="F172" s="31">
        <f>TRUNC(29.8,2)</f>
        <v>29.8</v>
      </c>
      <c r="G172" s="32">
        <f t="shared" si="7"/>
        <v>5.79</v>
      </c>
      <c r="H172" s="32"/>
      <c r="I172" s="33"/>
      <c r="J172" s="33"/>
      <c r="K172" s="44"/>
    </row>
    <row r="173" spans="1:11" s="34" customFormat="1" ht="15">
      <c r="A173" s="30"/>
      <c r="B173" s="43" t="s">
        <v>1805</v>
      </c>
      <c r="C173" s="45" t="s">
        <v>1371</v>
      </c>
      <c r="D173" s="46" t="s">
        <v>4</v>
      </c>
      <c r="E173" s="44">
        <v>0.0635</v>
      </c>
      <c r="F173" s="31">
        <f>TRUNC(22.91,2)</f>
        <v>22.91</v>
      </c>
      <c r="G173" s="32">
        <f t="shared" si="7"/>
        <v>1.45</v>
      </c>
      <c r="H173" s="32"/>
      <c r="I173" s="33"/>
      <c r="J173" s="33"/>
      <c r="K173" s="44"/>
    </row>
    <row r="174" spans="1:11" s="34" customFormat="1" ht="30">
      <c r="A174" s="30"/>
      <c r="B174" s="43" t="s">
        <v>1806</v>
      </c>
      <c r="C174" s="45" t="s">
        <v>1807</v>
      </c>
      <c r="D174" s="46" t="s">
        <v>3</v>
      </c>
      <c r="E174" s="44">
        <v>1</v>
      </c>
      <c r="F174" s="31">
        <f>TRUNC(14.99,2)</f>
        <v>14.99</v>
      </c>
      <c r="G174" s="32">
        <f t="shared" si="7"/>
        <v>14.99</v>
      </c>
      <c r="H174" s="32"/>
      <c r="I174" s="33"/>
      <c r="J174" s="33"/>
      <c r="K174" s="44"/>
    </row>
    <row r="175" spans="1:11" s="34" customFormat="1" ht="15">
      <c r="A175" s="30"/>
      <c r="B175" s="43"/>
      <c r="C175" s="45"/>
      <c r="D175" s="46"/>
      <c r="E175" s="44" t="s">
        <v>5</v>
      </c>
      <c r="F175" s="31"/>
      <c r="G175" s="32">
        <f>TRUNC(SUM(G169:G174),2)</f>
        <v>33.41</v>
      </c>
      <c r="H175" s="32"/>
      <c r="I175" s="33"/>
      <c r="J175" s="33"/>
      <c r="K175" s="44"/>
    </row>
    <row r="176" spans="1:11" s="107" customFormat="1" ht="30">
      <c r="A176" s="99" t="s">
        <v>1398</v>
      </c>
      <c r="B176" s="100" t="s">
        <v>1813</v>
      </c>
      <c r="C176" s="101" t="s">
        <v>1384</v>
      </c>
      <c r="D176" s="102" t="s">
        <v>3</v>
      </c>
      <c r="E176" s="103">
        <v>369</v>
      </c>
      <c r="F176" s="104">
        <f>TRUNC(G183,2)</f>
        <v>27.78</v>
      </c>
      <c r="G176" s="105">
        <f>TRUNC(F176*1.2247,2)</f>
        <v>34.02</v>
      </c>
      <c r="H176" s="105">
        <f>TRUNC(F176*E176,2)</f>
        <v>10250.82</v>
      </c>
      <c r="I176" s="106">
        <f>TRUNC(E176*G176,2)</f>
        <v>12553.38</v>
      </c>
      <c r="J176" s="106"/>
      <c r="K176" s="103"/>
    </row>
    <row r="177" spans="1:11" s="34" customFormat="1" ht="15">
      <c r="A177" s="30"/>
      <c r="B177" s="43" t="s">
        <v>720</v>
      </c>
      <c r="C177" s="45" t="s">
        <v>721</v>
      </c>
      <c r="D177" s="46" t="s">
        <v>3</v>
      </c>
      <c r="E177" s="44">
        <v>1</v>
      </c>
      <c r="F177" s="31">
        <v>9.8</v>
      </c>
      <c r="G177" s="32">
        <f aca="true" t="shared" si="8" ref="G177:G182">TRUNC(E177*F177,2)</f>
        <v>9.8</v>
      </c>
      <c r="H177" s="32"/>
      <c r="I177" s="33"/>
      <c r="J177" s="33"/>
      <c r="K177" s="44"/>
    </row>
    <row r="178" spans="1:11" s="34" customFormat="1" ht="30">
      <c r="A178" s="30"/>
      <c r="B178" s="43" t="s">
        <v>1802</v>
      </c>
      <c r="C178" s="45" t="s">
        <v>1365</v>
      </c>
      <c r="D178" s="46" t="s">
        <v>3</v>
      </c>
      <c r="E178" s="44">
        <v>0.025</v>
      </c>
      <c r="F178" s="31">
        <f>TRUNC(18.6,2)</f>
        <v>18.6</v>
      </c>
      <c r="G178" s="32">
        <f t="shared" si="8"/>
        <v>0.46</v>
      </c>
      <c r="H178" s="32"/>
      <c r="I178" s="33"/>
      <c r="J178" s="33"/>
      <c r="K178" s="44"/>
    </row>
    <row r="179" spans="1:11" s="34" customFormat="1" ht="30">
      <c r="A179" s="30"/>
      <c r="B179" s="43" t="s">
        <v>1803</v>
      </c>
      <c r="C179" s="45" t="s">
        <v>1367</v>
      </c>
      <c r="D179" s="46" t="s">
        <v>10</v>
      </c>
      <c r="E179" s="44">
        <v>0.4655</v>
      </c>
      <c r="F179" s="31">
        <f>TRUNC(0.32,2)</f>
        <v>0.32</v>
      </c>
      <c r="G179" s="32">
        <f t="shared" si="8"/>
        <v>0.14</v>
      </c>
      <c r="H179" s="32"/>
      <c r="I179" s="33"/>
      <c r="J179" s="33"/>
      <c r="K179" s="44"/>
    </row>
    <row r="180" spans="1:11" s="34" customFormat="1" ht="15">
      <c r="A180" s="30"/>
      <c r="B180" s="43" t="s">
        <v>1804</v>
      </c>
      <c r="C180" s="45" t="s">
        <v>1369</v>
      </c>
      <c r="D180" s="46" t="s">
        <v>4</v>
      </c>
      <c r="E180" s="44">
        <v>0.089</v>
      </c>
      <c r="F180" s="31">
        <f>TRUNC(29.8,2)</f>
        <v>29.8</v>
      </c>
      <c r="G180" s="32">
        <f t="shared" si="8"/>
        <v>2.65</v>
      </c>
      <c r="H180" s="32"/>
      <c r="I180" s="33"/>
      <c r="J180" s="33"/>
      <c r="K180" s="44"/>
    </row>
    <row r="181" spans="1:11" s="34" customFormat="1" ht="15">
      <c r="A181" s="30"/>
      <c r="B181" s="43" t="s">
        <v>1805</v>
      </c>
      <c r="C181" s="45" t="s">
        <v>1371</v>
      </c>
      <c r="D181" s="46" t="s">
        <v>4</v>
      </c>
      <c r="E181" s="44">
        <v>0.029</v>
      </c>
      <c r="F181" s="31">
        <f>TRUNC(22.91,2)</f>
        <v>22.91</v>
      </c>
      <c r="G181" s="32">
        <f t="shared" si="8"/>
        <v>0.66</v>
      </c>
      <c r="H181" s="32"/>
      <c r="I181" s="33"/>
      <c r="J181" s="33"/>
      <c r="K181" s="44"/>
    </row>
    <row r="182" spans="1:11" s="34" customFormat="1" ht="30">
      <c r="A182" s="30"/>
      <c r="B182" s="43" t="s">
        <v>1809</v>
      </c>
      <c r="C182" s="45" t="s">
        <v>1810</v>
      </c>
      <c r="D182" s="46" t="s">
        <v>3</v>
      </c>
      <c r="E182" s="44">
        <v>1</v>
      </c>
      <c r="F182" s="31">
        <f>TRUNC(14.07,2)</f>
        <v>14.07</v>
      </c>
      <c r="G182" s="32">
        <f t="shared" si="8"/>
        <v>14.07</v>
      </c>
      <c r="H182" s="32"/>
      <c r="I182" s="33"/>
      <c r="J182" s="33"/>
      <c r="K182" s="44"/>
    </row>
    <row r="183" spans="1:11" s="34" customFormat="1" ht="15">
      <c r="A183" s="30"/>
      <c r="B183" s="43"/>
      <c r="C183" s="45"/>
      <c r="D183" s="46"/>
      <c r="E183" s="44" t="s">
        <v>5</v>
      </c>
      <c r="F183" s="31"/>
      <c r="G183" s="32">
        <f>TRUNC(SUM(G177:G182),2)</f>
        <v>27.78</v>
      </c>
      <c r="H183" s="32"/>
      <c r="I183" s="33"/>
      <c r="J183" s="33"/>
      <c r="K183" s="44"/>
    </row>
    <row r="184" spans="1:11" s="107" customFormat="1" ht="30">
      <c r="A184" s="99" t="s">
        <v>1399</v>
      </c>
      <c r="B184" s="100" t="s">
        <v>1814</v>
      </c>
      <c r="C184" s="101" t="s">
        <v>1383</v>
      </c>
      <c r="D184" s="102" t="s">
        <v>3</v>
      </c>
      <c r="E184" s="103">
        <v>326</v>
      </c>
      <c r="F184" s="104">
        <f>TRUNC(G191,2)</f>
        <v>23.72</v>
      </c>
      <c r="G184" s="105">
        <f>TRUNC(F184*1.2247,2)</f>
        <v>29.04</v>
      </c>
      <c r="H184" s="105">
        <f>TRUNC(F184*E184,2)</f>
        <v>7732.72</v>
      </c>
      <c r="I184" s="106">
        <f>TRUNC(E184*G184,2)</f>
        <v>9467.04</v>
      </c>
      <c r="J184" s="106"/>
      <c r="K184" s="103"/>
    </row>
    <row r="185" spans="1:11" s="34" customFormat="1" ht="15">
      <c r="A185" s="30"/>
      <c r="B185" s="43" t="s">
        <v>1376</v>
      </c>
      <c r="C185" s="45" t="s">
        <v>1377</v>
      </c>
      <c r="D185" s="46" t="s">
        <v>3</v>
      </c>
      <c r="E185" s="44">
        <v>1</v>
      </c>
      <c r="F185" s="31">
        <v>8.6</v>
      </c>
      <c r="G185" s="32">
        <f aca="true" t="shared" si="9" ref="G185:G190">TRUNC(E185*F185,2)</f>
        <v>8.6</v>
      </c>
      <c r="H185" s="32"/>
      <c r="I185" s="33"/>
      <c r="J185" s="33"/>
      <c r="K185" s="44"/>
    </row>
    <row r="186" spans="1:11" s="34" customFormat="1" ht="30">
      <c r="A186" s="30"/>
      <c r="B186" s="43" t="s">
        <v>1802</v>
      </c>
      <c r="C186" s="45" t="s">
        <v>1365</v>
      </c>
      <c r="D186" s="46" t="s">
        <v>3</v>
      </c>
      <c r="E186" s="44">
        <v>0.025</v>
      </c>
      <c r="F186" s="31">
        <f>TRUNC(18.6,2)</f>
        <v>18.6</v>
      </c>
      <c r="G186" s="32">
        <f t="shared" si="9"/>
        <v>0.46</v>
      </c>
      <c r="H186" s="32"/>
      <c r="I186" s="33"/>
      <c r="J186" s="33"/>
      <c r="K186" s="44"/>
    </row>
    <row r="187" spans="1:11" s="34" customFormat="1" ht="30">
      <c r="A187" s="30"/>
      <c r="B187" s="43" t="s">
        <v>1803</v>
      </c>
      <c r="C187" s="45" t="s">
        <v>1367</v>
      </c>
      <c r="D187" s="46" t="s">
        <v>10</v>
      </c>
      <c r="E187" s="44">
        <v>0.306</v>
      </c>
      <c r="F187" s="31">
        <f>TRUNC(0.32,2)</f>
        <v>0.32</v>
      </c>
      <c r="G187" s="32">
        <f t="shared" si="9"/>
        <v>0.09</v>
      </c>
      <c r="H187" s="32"/>
      <c r="I187" s="33"/>
      <c r="J187" s="33"/>
      <c r="K187" s="44"/>
    </row>
    <row r="188" spans="1:11" s="34" customFormat="1" ht="15">
      <c r="A188" s="30"/>
      <c r="B188" s="43" t="s">
        <v>1804</v>
      </c>
      <c r="C188" s="45" t="s">
        <v>1369</v>
      </c>
      <c r="D188" s="46" t="s">
        <v>4</v>
      </c>
      <c r="E188" s="44">
        <v>0.068</v>
      </c>
      <c r="F188" s="31">
        <f>TRUNC(29.8,2)</f>
        <v>29.8</v>
      </c>
      <c r="G188" s="32">
        <f t="shared" si="9"/>
        <v>2.02</v>
      </c>
      <c r="H188" s="32"/>
      <c r="I188" s="33"/>
      <c r="J188" s="33"/>
      <c r="K188" s="44"/>
    </row>
    <row r="189" spans="1:11" s="34" customFormat="1" ht="15">
      <c r="A189" s="30"/>
      <c r="B189" s="43" t="s">
        <v>1805</v>
      </c>
      <c r="C189" s="45" t="s">
        <v>1371</v>
      </c>
      <c r="D189" s="46" t="s">
        <v>4</v>
      </c>
      <c r="E189" s="44">
        <v>0.022</v>
      </c>
      <c r="F189" s="31">
        <f>TRUNC(22.91,2)</f>
        <v>22.91</v>
      </c>
      <c r="G189" s="32">
        <f t="shared" si="9"/>
        <v>0.5</v>
      </c>
      <c r="H189" s="32"/>
      <c r="I189" s="33"/>
      <c r="J189" s="33"/>
      <c r="K189" s="44"/>
    </row>
    <row r="190" spans="1:11" s="34" customFormat="1" ht="30">
      <c r="A190" s="30"/>
      <c r="B190" s="43" t="s">
        <v>1811</v>
      </c>
      <c r="C190" s="45" t="s">
        <v>1812</v>
      </c>
      <c r="D190" s="46" t="s">
        <v>3</v>
      </c>
      <c r="E190" s="44">
        <v>1</v>
      </c>
      <c r="F190" s="31">
        <f>TRUNC(12.05,2)</f>
        <v>12.05</v>
      </c>
      <c r="G190" s="32">
        <f t="shared" si="9"/>
        <v>12.05</v>
      </c>
      <c r="H190" s="32"/>
      <c r="I190" s="33"/>
      <c r="J190" s="33"/>
      <c r="K190" s="44"/>
    </row>
    <row r="191" spans="1:11" s="34" customFormat="1" ht="15">
      <c r="A191" s="30"/>
      <c r="B191" s="43"/>
      <c r="C191" s="45"/>
      <c r="D191" s="46"/>
      <c r="E191" s="44" t="s">
        <v>5</v>
      </c>
      <c r="F191" s="31"/>
      <c r="G191" s="32">
        <f>TRUNC(SUM(G185:G190),2)</f>
        <v>23.72</v>
      </c>
      <c r="H191" s="32"/>
      <c r="I191" s="33"/>
      <c r="J191" s="33"/>
      <c r="K191" s="44"/>
    </row>
    <row r="192" spans="1:11" s="107" customFormat="1" ht="45">
      <c r="A192" s="99" t="s">
        <v>1400</v>
      </c>
      <c r="B192" s="100" t="s">
        <v>1815</v>
      </c>
      <c r="C192" s="101" t="s">
        <v>1396</v>
      </c>
      <c r="D192" s="102" t="s">
        <v>3</v>
      </c>
      <c r="E192" s="103">
        <f>475+150.4+193.9+117.5+312.6</f>
        <v>1249.4</v>
      </c>
      <c r="F192" s="104">
        <f>TRUNC(G199,2)</f>
        <v>33.46</v>
      </c>
      <c r="G192" s="105">
        <f>TRUNC(F192*1.2247,2)</f>
        <v>40.97</v>
      </c>
      <c r="H192" s="105">
        <f>TRUNC(F192*E192,2)</f>
        <v>41804.92</v>
      </c>
      <c r="I192" s="106">
        <f>TRUNC(E192*G192,2)</f>
        <v>51187.91</v>
      </c>
      <c r="J192" s="106"/>
      <c r="K192" s="103"/>
    </row>
    <row r="193" spans="1:11" s="34" customFormat="1" ht="15">
      <c r="A193" s="30"/>
      <c r="B193" s="43" t="s">
        <v>1380</v>
      </c>
      <c r="C193" s="45" t="s">
        <v>1381</v>
      </c>
      <c r="D193" s="46" t="s">
        <v>3</v>
      </c>
      <c r="E193" s="44">
        <v>1</v>
      </c>
      <c r="F193" s="31">
        <v>10.1</v>
      </c>
      <c r="G193" s="32">
        <f aca="true" t="shared" si="10" ref="G193:G198">TRUNC(E193*F193,2)</f>
        <v>10.1</v>
      </c>
      <c r="H193" s="32"/>
      <c r="I193" s="33"/>
      <c r="J193" s="33"/>
      <c r="K193" s="44"/>
    </row>
    <row r="194" spans="1:11" s="34" customFormat="1" ht="30">
      <c r="A194" s="30"/>
      <c r="B194" s="43" t="s">
        <v>1802</v>
      </c>
      <c r="C194" s="45" t="s">
        <v>1365</v>
      </c>
      <c r="D194" s="46" t="s">
        <v>3</v>
      </c>
      <c r="E194" s="44">
        <v>0.025</v>
      </c>
      <c r="F194" s="31">
        <f>TRUNC(18.6,2)</f>
        <v>18.6</v>
      </c>
      <c r="G194" s="32">
        <f t="shared" si="10"/>
        <v>0.46</v>
      </c>
      <c r="H194" s="32"/>
      <c r="I194" s="33"/>
      <c r="J194" s="33"/>
      <c r="K194" s="44"/>
    </row>
    <row r="195" spans="1:11" s="34" customFormat="1" ht="30">
      <c r="A195" s="30"/>
      <c r="B195" s="43" t="s">
        <v>1803</v>
      </c>
      <c r="C195" s="45" t="s">
        <v>1367</v>
      </c>
      <c r="D195" s="46" t="s">
        <v>10</v>
      </c>
      <c r="E195" s="44">
        <v>1.19</v>
      </c>
      <c r="F195" s="31">
        <f>TRUNC(0.32,2)</f>
        <v>0.32</v>
      </c>
      <c r="G195" s="32">
        <f t="shared" si="10"/>
        <v>0.38</v>
      </c>
      <c r="H195" s="32"/>
      <c r="I195" s="33"/>
      <c r="J195" s="33"/>
      <c r="K195" s="44"/>
    </row>
    <row r="196" spans="1:11" s="34" customFormat="1" ht="15">
      <c r="A196" s="30"/>
      <c r="B196" s="43" t="s">
        <v>1804</v>
      </c>
      <c r="C196" s="45" t="s">
        <v>1369</v>
      </c>
      <c r="D196" s="46" t="s">
        <v>4</v>
      </c>
      <c r="E196" s="44">
        <v>0.2245</v>
      </c>
      <c r="F196" s="31">
        <f>TRUNC(29.8,2)</f>
        <v>29.8</v>
      </c>
      <c r="G196" s="32">
        <f t="shared" si="10"/>
        <v>6.69</v>
      </c>
      <c r="H196" s="32"/>
      <c r="I196" s="33"/>
      <c r="J196" s="33"/>
      <c r="K196" s="44"/>
    </row>
    <row r="197" spans="1:11" s="34" customFormat="1" ht="15">
      <c r="A197" s="30"/>
      <c r="B197" s="43" t="s">
        <v>1805</v>
      </c>
      <c r="C197" s="45" t="s">
        <v>1371</v>
      </c>
      <c r="D197" s="46" t="s">
        <v>4</v>
      </c>
      <c r="E197" s="44">
        <v>0.0367</v>
      </c>
      <c r="F197" s="31">
        <f>TRUNC(22.91,2)</f>
        <v>22.91</v>
      </c>
      <c r="G197" s="32">
        <f t="shared" si="10"/>
        <v>0.84</v>
      </c>
      <c r="H197" s="32"/>
      <c r="I197" s="33"/>
      <c r="J197" s="33"/>
      <c r="K197" s="44"/>
    </row>
    <row r="198" spans="1:11" s="34" customFormat="1" ht="30">
      <c r="A198" s="30"/>
      <c r="B198" s="43" t="s">
        <v>1806</v>
      </c>
      <c r="C198" s="45" t="s">
        <v>1807</v>
      </c>
      <c r="D198" s="46" t="s">
        <v>3</v>
      </c>
      <c r="E198" s="44">
        <v>1</v>
      </c>
      <c r="F198" s="31">
        <f>TRUNC(14.99,2)</f>
        <v>14.99</v>
      </c>
      <c r="G198" s="32">
        <f t="shared" si="10"/>
        <v>14.99</v>
      </c>
      <c r="H198" s="32"/>
      <c r="I198" s="33"/>
      <c r="J198" s="33"/>
      <c r="K198" s="44"/>
    </row>
    <row r="199" spans="1:11" s="34" customFormat="1" ht="15">
      <c r="A199" s="30"/>
      <c r="B199" s="43"/>
      <c r="C199" s="45"/>
      <c r="D199" s="46"/>
      <c r="E199" s="44" t="s">
        <v>5</v>
      </c>
      <c r="F199" s="31"/>
      <c r="G199" s="32">
        <f>TRUNC(SUM(G193:G198),2)</f>
        <v>33.46</v>
      </c>
      <c r="H199" s="32"/>
      <c r="I199" s="33"/>
      <c r="J199" s="33"/>
      <c r="K199" s="44"/>
    </row>
    <row r="200" spans="1:11" s="107" customFormat="1" ht="45">
      <c r="A200" s="99" t="s">
        <v>1401</v>
      </c>
      <c r="B200" s="100" t="s">
        <v>1819</v>
      </c>
      <c r="C200" s="101" t="s">
        <v>1818</v>
      </c>
      <c r="D200" s="102" t="s">
        <v>3</v>
      </c>
      <c r="E200" s="103">
        <v>31</v>
      </c>
      <c r="F200" s="104">
        <f>TRUNC(G207,2)</f>
        <v>29.61</v>
      </c>
      <c r="G200" s="105">
        <f>TRUNC(F200*1.2247,2)</f>
        <v>36.26</v>
      </c>
      <c r="H200" s="105">
        <f>TRUNC(F200*E200,2)</f>
        <v>917.91</v>
      </c>
      <c r="I200" s="106">
        <f>TRUNC(E200*G200,2)</f>
        <v>1124.06</v>
      </c>
      <c r="J200" s="106"/>
      <c r="K200" s="103"/>
    </row>
    <row r="201" spans="1:11" s="34" customFormat="1" ht="15.75">
      <c r="A201" s="30"/>
      <c r="B201" s="43" t="s">
        <v>1446</v>
      </c>
      <c r="C201" s="45" t="s">
        <v>1447</v>
      </c>
      <c r="D201" s="46" t="s">
        <v>3</v>
      </c>
      <c r="E201" s="44">
        <v>1</v>
      </c>
      <c r="F201" s="31">
        <v>7.8492</v>
      </c>
      <c r="G201" s="78">
        <f aca="true" t="shared" si="11" ref="G201:G206">TRUNC(E201*F201,2)</f>
        <v>7.84</v>
      </c>
      <c r="H201" s="32"/>
      <c r="I201" s="33"/>
      <c r="J201" s="33"/>
      <c r="K201" s="44"/>
    </row>
    <row r="202" spans="1:11" s="34" customFormat="1" ht="30">
      <c r="A202" s="30"/>
      <c r="B202" s="43" t="s">
        <v>1802</v>
      </c>
      <c r="C202" s="45" t="s">
        <v>1365</v>
      </c>
      <c r="D202" s="46" t="s">
        <v>3</v>
      </c>
      <c r="E202" s="44">
        <v>0.025</v>
      </c>
      <c r="F202" s="31">
        <f>TRUNC(18.6,2)</f>
        <v>18.6</v>
      </c>
      <c r="G202" s="32">
        <f t="shared" si="11"/>
        <v>0.46</v>
      </c>
      <c r="H202" s="32"/>
      <c r="I202" s="33"/>
      <c r="J202" s="33"/>
      <c r="K202" s="44"/>
    </row>
    <row r="203" spans="1:11" s="34" customFormat="1" ht="30">
      <c r="A203" s="30"/>
      <c r="B203" s="43" t="s">
        <v>1803</v>
      </c>
      <c r="C203" s="45" t="s">
        <v>1367</v>
      </c>
      <c r="D203" s="46" t="s">
        <v>10</v>
      </c>
      <c r="E203" s="44">
        <v>0.97</v>
      </c>
      <c r="F203" s="31">
        <f>TRUNC(0.32,2)</f>
        <v>0.32</v>
      </c>
      <c r="G203" s="32">
        <f t="shared" si="11"/>
        <v>0.31</v>
      </c>
      <c r="H203" s="32"/>
      <c r="I203" s="33"/>
      <c r="J203" s="33"/>
      <c r="K203" s="44"/>
    </row>
    <row r="204" spans="1:11" s="34" customFormat="1" ht="15">
      <c r="A204" s="30"/>
      <c r="B204" s="43" t="s">
        <v>1804</v>
      </c>
      <c r="C204" s="45" t="s">
        <v>1369</v>
      </c>
      <c r="D204" s="46" t="s">
        <v>4</v>
      </c>
      <c r="E204" s="44">
        <v>0.1713</v>
      </c>
      <c r="F204" s="31">
        <f>TRUNC(29.8,2)</f>
        <v>29.8</v>
      </c>
      <c r="G204" s="32">
        <f t="shared" si="11"/>
        <v>5.1</v>
      </c>
      <c r="H204" s="32"/>
      <c r="I204" s="33"/>
      <c r="J204" s="33"/>
      <c r="K204" s="44"/>
    </row>
    <row r="205" spans="1:11" s="34" customFormat="1" ht="15">
      <c r="A205" s="30"/>
      <c r="B205" s="43" t="s">
        <v>1805</v>
      </c>
      <c r="C205" s="45" t="s">
        <v>1371</v>
      </c>
      <c r="D205" s="46" t="s">
        <v>4</v>
      </c>
      <c r="E205" s="44">
        <v>0.028</v>
      </c>
      <c r="F205" s="31">
        <f>TRUNC(22.91,2)</f>
        <v>22.91</v>
      </c>
      <c r="G205" s="32">
        <f t="shared" si="11"/>
        <v>0.64</v>
      </c>
      <c r="H205" s="32"/>
      <c r="I205" s="33"/>
      <c r="J205" s="33"/>
      <c r="K205" s="44"/>
    </row>
    <row r="206" spans="1:11" s="34" customFormat="1" ht="30">
      <c r="A206" s="30"/>
      <c r="B206" s="43" t="s">
        <v>1816</v>
      </c>
      <c r="C206" s="45" t="s">
        <v>1817</v>
      </c>
      <c r="D206" s="46" t="s">
        <v>3</v>
      </c>
      <c r="E206" s="44">
        <v>1</v>
      </c>
      <c r="F206" s="31">
        <f>TRUNC(15.26,2)</f>
        <v>15.26</v>
      </c>
      <c r="G206" s="32">
        <f t="shared" si="11"/>
        <v>15.26</v>
      </c>
      <c r="H206" s="32"/>
      <c r="I206" s="33"/>
      <c r="J206" s="33"/>
      <c r="K206" s="44"/>
    </row>
    <row r="207" spans="1:11" s="34" customFormat="1" ht="15">
      <c r="A207" s="30"/>
      <c r="B207" s="43"/>
      <c r="C207" s="45"/>
      <c r="D207" s="46"/>
      <c r="E207" s="44" t="s">
        <v>5</v>
      </c>
      <c r="F207" s="31"/>
      <c r="G207" s="32">
        <f>TRUNC(SUM(G201:G206),2)</f>
        <v>29.61</v>
      </c>
      <c r="H207" s="32"/>
      <c r="I207" s="33"/>
      <c r="J207" s="33"/>
      <c r="K207" s="44"/>
    </row>
    <row r="208" spans="1:11" s="107" customFormat="1" ht="45">
      <c r="A208" s="99" t="s">
        <v>1402</v>
      </c>
      <c r="B208" s="100" t="s">
        <v>1824</v>
      </c>
      <c r="C208" s="101" t="s">
        <v>1823</v>
      </c>
      <c r="D208" s="102" t="s">
        <v>3</v>
      </c>
      <c r="E208" s="103">
        <v>1530.3</v>
      </c>
      <c r="F208" s="104">
        <f>TRUNC(G215,2)</f>
        <v>30.58</v>
      </c>
      <c r="G208" s="105">
        <f>TRUNC(F208*1.2247,2)</f>
        <v>37.45</v>
      </c>
      <c r="H208" s="105">
        <f>TRUNC(F208*E208,2)</f>
        <v>46796.57</v>
      </c>
      <c r="I208" s="106">
        <f>TRUNC(E208*G208,2)</f>
        <v>57309.73</v>
      </c>
      <c r="J208" s="106"/>
      <c r="K208" s="103"/>
    </row>
    <row r="209" spans="1:11" s="34" customFormat="1" ht="15.75">
      <c r="A209" s="30"/>
      <c r="B209" s="43" t="s">
        <v>1390</v>
      </c>
      <c r="C209" s="45" t="s">
        <v>1391</v>
      </c>
      <c r="D209" s="46" t="s">
        <v>3</v>
      </c>
      <c r="E209" s="44">
        <v>1</v>
      </c>
      <c r="F209" s="31">
        <v>10.4</v>
      </c>
      <c r="G209" s="76">
        <f aca="true" t="shared" si="12" ref="G209:G214">TRUNC(E209*F209,2)</f>
        <v>10.4</v>
      </c>
      <c r="H209" s="32"/>
      <c r="I209" s="33"/>
      <c r="J209" s="33"/>
      <c r="K209" s="44"/>
    </row>
    <row r="210" spans="1:11" s="34" customFormat="1" ht="30">
      <c r="A210" s="30"/>
      <c r="B210" s="43" t="s">
        <v>1802</v>
      </c>
      <c r="C210" s="45" t="s">
        <v>1365</v>
      </c>
      <c r="D210" s="46" t="s">
        <v>3</v>
      </c>
      <c r="E210" s="44">
        <v>0.025</v>
      </c>
      <c r="F210" s="31">
        <f>TRUNC(18.6,2)</f>
        <v>18.6</v>
      </c>
      <c r="G210" s="32">
        <f t="shared" si="12"/>
        <v>0.46</v>
      </c>
      <c r="H210" s="32"/>
      <c r="I210" s="33"/>
      <c r="J210" s="33"/>
      <c r="K210" s="44"/>
    </row>
    <row r="211" spans="1:11" s="34" customFormat="1" ht="30">
      <c r="A211" s="30"/>
      <c r="B211" s="43" t="s">
        <v>1803</v>
      </c>
      <c r="C211" s="45" t="s">
        <v>1367</v>
      </c>
      <c r="D211" s="46" t="s">
        <v>10</v>
      </c>
      <c r="E211" s="44">
        <v>0.743</v>
      </c>
      <c r="F211" s="31">
        <f>TRUNC(0.32,2)</f>
        <v>0.32</v>
      </c>
      <c r="G211" s="32">
        <f t="shared" si="12"/>
        <v>0.23</v>
      </c>
      <c r="H211" s="32"/>
      <c r="I211" s="33"/>
      <c r="J211" s="33"/>
      <c r="K211" s="44"/>
    </row>
    <row r="212" spans="1:11" s="34" customFormat="1" ht="15">
      <c r="A212" s="30"/>
      <c r="B212" s="43" t="s">
        <v>1804</v>
      </c>
      <c r="C212" s="45" t="s">
        <v>1369</v>
      </c>
      <c r="D212" s="46" t="s">
        <v>4</v>
      </c>
      <c r="E212" s="44">
        <v>0.1278</v>
      </c>
      <c r="F212" s="31">
        <f>TRUNC(29.8,2)</f>
        <v>29.8</v>
      </c>
      <c r="G212" s="32">
        <f t="shared" si="12"/>
        <v>3.8</v>
      </c>
      <c r="H212" s="32"/>
      <c r="I212" s="33"/>
      <c r="J212" s="33"/>
      <c r="K212" s="44"/>
    </row>
    <row r="213" spans="1:11" s="34" customFormat="1" ht="15">
      <c r="A213" s="30"/>
      <c r="B213" s="43" t="s">
        <v>1805</v>
      </c>
      <c r="C213" s="45" t="s">
        <v>1371</v>
      </c>
      <c r="D213" s="46" t="s">
        <v>4</v>
      </c>
      <c r="E213" s="44">
        <v>0.0209</v>
      </c>
      <c r="F213" s="31">
        <f>TRUNC(22.91,2)</f>
        <v>22.91</v>
      </c>
      <c r="G213" s="32">
        <f t="shared" si="12"/>
        <v>0.47</v>
      </c>
      <c r="H213" s="32"/>
      <c r="I213" s="33"/>
      <c r="J213" s="33"/>
      <c r="K213" s="44"/>
    </row>
    <row r="214" spans="1:11" s="34" customFormat="1" ht="30">
      <c r="A214" s="30"/>
      <c r="B214" s="43" t="s">
        <v>1821</v>
      </c>
      <c r="C214" s="45" t="s">
        <v>1822</v>
      </c>
      <c r="D214" s="46" t="s">
        <v>3</v>
      </c>
      <c r="E214" s="44">
        <v>1</v>
      </c>
      <c r="F214" s="31">
        <f>TRUNC(15.22,2)</f>
        <v>15.22</v>
      </c>
      <c r="G214" s="32">
        <f t="shared" si="12"/>
        <v>15.22</v>
      </c>
      <c r="H214" s="32"/>
      <c r="I214" s="33"/>
      <c r="J214" s="33"/>
      <c r="K214" s="44"/>
    </row>
    <row r="215" spans="1:11" s="34" customFormat="1" ht="15">
      <c r="A215" s="30"/>
      <c r="B215" s="43"/>
      <c r="C215" s="45"/>
      <c r="D215" s="46"/>
      <c r="E215" s="44" t="s">
        <v>5</v>
      </c>
      <c r="F215" s="31"/>
      <c r="G215" s="32">
        <f>TRUNC(SUM(G209:G214),2)</f>
        <v>30.58</v>
      </c>
      <c r="H215" s="32"/>
      <c r="I215" s="33"/>
      <c r="J215" s="33"/>
      <c r="K215" s="44"/>
    </row>
    <row r="216" spans="1:11" s="107" customFormat="1" ht="45">
      <c r="A216" s="99" t="s">
        <v>1403</v>
      </c>
      <c r="B216" s="100" t="s">
        <v>1826</v>
      </c>
      <c r="C216" s="101" t="s">
        <v>1825</v>
      </c>
      <c r="D216" s="102" t="s">
        <v>3</v>
      </c>
      <c r="E216" s="103">
        <v>803.9</v>
      </c>
      <c r="F216" s="104">
        <f>TRUNC(G223,2)</f>
        <v>27.69</v>
      </c>
      <c r="G216" s="105">
        <f>TRUNC(F216*1.2247,2)</f>
        <v>33.91</v>
      </c>
      <c r="H216" s="105">
        <f>TRUNC(F216*E216,2)</f>
        <v>22259.99</v>
      </c>
      <c r="I216" s="106">
        <f>TRUNC(E216*G216,2)</f>
        <v>27260.24</v>
      </c>
      <c r="J216" s="106"/>
      <c r="K216" s="103"/>
    </row>
    <row r="217" spans="1:11" s="34" customFormat="1" ht="15">
      <c r="A217" s="30"/>
      <c r="B217" s="43" t="s">
        <v>720</v>
      </c>
      <c r="C217" s="45" t="s">
        <v>721</v>
      </c>
      <c r="D217" s="79" t="s">
        <v>3</v>
      </c>
      <c r="E217" s="44">
        <v>1</v>
      </c>
      <c r="F217" s="31">
        <v>9.8</v>
      </c>
      <c r="G217" s="32">
        <f aca="true" t="shared" si="13" ref="G217:G222">TRUNC(E217*F217,2)</f>
        <v>9.8</v>
      </c>
      <c r="H217" s="32"/>
      <c r="I217" s="33"/>
      <c r="J217" s="33"/>
      <c r="K217" s="44"/>
    </row>
    <row r="218" spans="1:11" s="34" customFormat="1" ht="30">
      <c r="A218" s="30"/>
      <c r="B218" s="43" t="s">
        <v>1802</v>
      </c>
      <c r="C218" s="45" t="s">
        <v>1365</v>
      </c>
      <c r="D218" s="46" t="s">
        <v>3</v>
      </c>
      <c r="E218" s="44">
        <v>0.025</v>
      </c>
      <c r="F218" s="31">
        <f>TRUNC(18.6,2)</f>
        <v>18.6</v>
      </c>
      <c r="G218" s="32">
        <f t="shared" si="13"/>
        <v>0.46</v>
      </c>
      <c r="H218" s="32"/>
      <c r="I218" s="33"/>
      <c r="J218" s="33"/>
      <c r="K218" s="44"/>
    </row>
    <row r="219" spans="1:11" s="34" customFormat="1" ht="30">
      <c r="A219" s="30"/>
      <c r="B219" s="43" t="s">
        <v>1803</v>
      </c>
      <c r="C219" s="45" t="s">
        <v>1367</v>
      </c>
      <c r="D219" s="46" t="s">
        <v>10</v>
      </c>
      <c r="E219" s="44">
        <v>0.543</v>
      </c>
      <c r="F219" s="31">
        <f>TRUNC(0.32,2)</f>
        <v>0.32</v>
      </c>
      <c r="G219" s="32">
        <f t="shared" si="13"/>
        <v>0.17</v>
      </c>
      <c r="H219" s="32"/>
      <c r="I219" s="33"/>
      <c r="J219" s="33"/>
      <c r="K219" s="44"/>
    </row>
    <row r="220" spans="1:11" s="34" customFormat="1" ht="15">
      <c r="A220" s="30"/>
      <c r="B220" s="43" t="s">
        <v>1804</v>
      </c>
      <c r="C220" s="45" t="s">
        <v>1369</v>
      </c>
      <c r="D220" s="46" t="s">
        <v>4</v>
      </c>
      <c r="E220" s="44">
        <v>0.0956</v>
      </c>
      <c r="F220" s="31">
        <f>TRUNC(29.8,2)</f>
        <v>29.8</v>
      </c>
      <c r="G220" s="32">
        <f t="shared" si="13"/>
        <v>2.84</v>
      </c>
      <c r="H220" s="32"/>
      <c r="I220" s="33"/>
      <c r="J220" s="33"/>
      <c r="K220" s="44"/>
    </row>
    <row r="221" spans="1:11" s="34" customFormat="1" ht="15">
      <c r="A221" s="30"/>
      <c r="B221" s="43" t="s">
        <v>1805</v>
      </c>
      <c r="C221" s="45" t="s">
        <v>1371</v>
      </c>
      <c r="D221" s="46" t="s">
        <v>4</v>
      </c>
      <c r="E221" s="44">
        <v>0.0156</v>
      </c>
      <c r="F221" s="31">
        <f>TRUNC(22.91,2)</f>
        <v>22.91</v>
      </c>
      <c r="G221" s="32">
        <f t="shared" si="13"/>
        <v>0.35</v>
      </c>
      <c r="H221" s="32"/>
      <c r="I221" s="33"/>
      <c r="J221" s="33"/>
      <c r="K221" s="44"/>
    </row>
    <row r="222" spans="1:11" s="34" customFormat="1" ht="30">
      <c r="A222" s="30"/>
      <c r="B222" s="43" t="s">
        <v>1809</v>
      </c>
      <c r="C222" s="45" t="s">
        <v>1810</v>
      </c>
      <c r="D222" s="46" t="s">
        <v>3</v>
      </c>
      <c r="E222" s="44">
        <v>1</v>
      </c>
      <c r="F222" s="31">
        <f>TRUNC(14.07,2)</f>
        <v>14.07</v>
      </c>
      <c r="G222" s="32">
        <f t="shared" si="13"/>
        <v>14.07</v>
      </c>
      <c r="H222" s="32"/>
      <c r="I222" s="33"/>
      <c r="J222" s="33"/>
      <c r="K222" s="44"/>
    </row>
    <row r="223" spans="1:11" s="34" customFormat="1" ht="15">
      <c r="A223" s="30"/>
      <c r="B223" s="43"/>
      <c r="C223" s="45"/>
      <c r="D223" s="46"/>
      <c r="E223" s="44" t="s">
        <v>5</v>
      </c>
      <c r="F223" s="31"/>
      <c r="G223" s="32">
        <f>TRUNC(SUM(G217:G222),2)</f>
        <v>27.69</v>
      </c>
      <c r="H223" s="32"/>
      <c r="I223" s="33"/>
      <c r="J223" s="33"/>
      <c r="K223" s="44"/>
    </row>
    <row r="224" spans="1:11" s="107" customFormat="1" ht="45">
      <c r="A224" s="99" t="s">
        <v>1416</v>
      </c>
      <c r="B224" s="100" t="s">
        <v>1830</v>
      </c>
      <c r="C224" s="101" t="s">
        <v>1831</v>
      </c>
      <c r="D224" s="102" t="s">
        <v>3</v>
      </c>
      <c r="E224" s="103">
        <v>773</v>
      </c>
      <c r="F224" s="104">
        <f>TRUNC(G231,2)</f>
        <v>23.56</v>
      </c>
      <c r="G224" s="105">
        <f>TRUNC(F224*1.2247,2)</f>
        <v>28.85</v>
      </c>
      <c r="H224" s="105">
        <f>TRUNC(F224*E224,2)</f>
        <v>18211.88</v>
      </c>
      <c r="I224" s="106">
        <f>TRUNC(E224*G224,2)</f>
        <v>22301.05</v>
      </c>
      <c r="J224" s="106"/>
      <c r="K224" s="103"/>
    </row>
    <row r="225" spans="1:11" s="34" customFormat="1" ht="15">
      <c r="A225" s="30"/>
      <c r="B225" s="43" t="s">
        <v>1376</v>
      </c>
      <c r="C225" s="45" t="s">
        <v>1377</v>
      </c>
      <c r="D225" s="46" t="s">
        <v>3</v>
      </c>
      <c r="E225" s="44">
        <v>1</v>
      </c>
      <c r="F225" s="31">
        <v>8.6</v>
      </c>
      <c r="G225" s="32">
        <f aca="true" t="shared" si="14" ref="G225:G230">TRUNC(E225*F225,2)</f>
        <v>8.6</v>
      </c>
      <c r="H225" s="32"/>
      <c r="I225" s="33"/>
      <c r="J225" s="33"/>
      <c r="K225" s="44"/>
    </row>
    <row r="226" spans="1:11" s="34" customFormat="1" ht="30">
      <c r="A226" s="30"/>
      <c r="B226" s="43" t="s">
        <v>1802</v>
      </c>
      <c r="C226" s="45" t="s">
        <v>1365</v>
      </c>
      <c r="D226" s="46" t="s">
        <v>3</v>
      </c>
      <c r="E226" s="44">
        <v>0.025</v>
      </c>
      <c r="F226" s="31">
        <f>TRUNC(18.6,2)</f>
        <v>18.6</v>
      </c>
      <c r="G226" s="32">
        <f t="shared" si="14"/>
        <v>0.46</v>
      </c>
      <c r="H226" s="32"/>
      <c r="I226" s="33"/>
      <c r="J226" s="33"/>
      <c r="K226" s="44"/>
    </row>
    <row r="227" spans="1:11" s="34" customFormat="1" ht="30">
      <c r="A227" s="30"/>
      <c r="B227" s="43" t="s">
        <v>1803</v>
      </c>
      <c r="C227" s="45" t="s">
        <v>1367</v>
      </c>
      <c r="D227" s="46" t="s">
        <v>10</v>
      </c>
      <c r="E227" s="44">
        <v>0.367</v>
      </c>
      <c r="F227" s="31">
        <f>TRUNC(0.32,2)</f>
        <v>0.32</v>
      </c>
      <c r="G227" s="32">
        <f t="shared" si="14"/>
        <v>0.11</v>
      </c>
      <c r="H227" s="32"/>
      <c r="I227" s="33"/>
      <c r="J227" s="33"/>
      <c r="K227" s="44"/>
    </row>
    <row r="228" spans="1:11" s="34" customFormat="1" ht="15">
      <c r="A228" s="30"/>
      <c r="B228" s="43" t="s">
        <v>1804</v>
      </c>
      <c r="C228" s="45" t="s">
        <v>1369</v>
      </c>
      <c r="D228" s="46" t="s">
        <v>4</v>
      </c>
      <c r="E228" s="44">
        <v>0.0698</v>
      </c>
      <c r="F228" s="31">
        <f>TRUNC(29.8,2)</f>
        <v>29.8</v>
      </c>
      <c r="G228" s="32">
        <f t="shared" si="14"/>
        <v>2.08</v>
      </c>
      <c r="H228" s="32"/>
      <c r="I228" s="33"/>
      <c r="J228" s="33"/>
      <c r="K228" s="44"/>
    </row>
    <row r="229" spans="1:11" s="34" customFormat="1" ht="15">
      <c r="A229" s="30"/>
      <c r="B229" s="43" t="s">
        <v>1805</v>
      </c>
      <c r="C229" s="45" t="s">
        <v>1371</v>
      </c>
      <c r="D229" s="46" t="s">
        <v>4</v>
      </c>
      <c r="E229" s="44">
        <v>0.0114</v>
      </c>
      <c r="F229" s="31">
        <f>TRUNC(22.91,2)</f>
        <v>22.91</v>
      </c>
      <c r="G229" s="32">
        <f t="shared" si="14"/>
        <v>0.26</v>
      </c>
      <c r="H229" s="32"/>
      <c r="I229" s="33"/>
      <c r="J229" s="33"/>
      <c r="K229" s="44"/>
    </row>
    <row r="230" spans="1:11" s="34" customFormat="1" ht="30">
      <c r="A230" s="30"/>
      <c r="B230" s="43" t="s">
        <v>1811</v>
      </c>
      <c r="C230" s="45" t="s">
        <v>1812</v>
      </c>
      <c r="D230" s="46" t="s">
        <v>3</v>
      </c>
      <c r="E230" s="44">
        <v>1</v>
      </c>
      <c r="F230" s="31">
        <f>TRUNC(12.05,2)</f>
        <v>12.05</v>
      </c>
      <c r="G230" s="32">
        <f t="shared" si="14"/>
        <v>12.05</v>
      </c>
      <c r="H230" s="32"/>
      <c r="I230" s="33"/>
      <c r="J230" s="33"/>
      <c r="K230" s="44"/>
    </row>
    <row r="231" spans="1:11" s="34" customFormat="1" ht="15">
      <c r="A231" s="30"/>
      <c r="B231" s="43"/>
      <c r="C231" s="45"/>
      <c r="D231" s="46"/>
      <c r="E231" s="44" t="s">
        <v>5</v>
      </c>
      <c r="F231" s="31"/>
      <c r="G231" s="32">
        <f>TRUNC(SUM(G225:G230),2)</f>
        <v>23.56</v>
      </c>
      <c r="H231" s="32"/>
      <c r="I231" s="33"/>
      <c r="J231" s="33"/>
      <c r="K231" s="44"/>
    </row>
    <row r="232" spans="1:11" s="107" customFormat="1" ht="30">
      <c r="A232" s="99" t="s">
        <v>1417</v>
      </c>
      <c r="B232" s="100" t="s">
        <v>1832</v>
      </c>
      <c r="C232" s="101" t="s">
        <v>1427</v>
      </c>
      <c r="D232" s="102" t="s">
        <v>3</v>
      </c>
      <c r="E232" s="103">
        <v>902.2</v>
      </c>
      <c r="F232" s="104">
        <f>TRUNC(G236,2)</f>
        <v>14.9</v>
      </c>
      <c r="G232" s="105">
        <f>TRUNC(F232*1.2247,2)</f>
        <v>18.24</v>
      </c>
      <c r="H232" s="105">
        <f>TRUNC(F232*E232,2)</f>
        <v>13442.78</v>
      </c>
      <c r="I232" s="106">
        <f>TRUNC(E232*G232,2)</f>
        <v>16456.12</v>
      </c>
      <c r="J232" s="106"/>
      <c r="K232" s="103"/>
    </row>
    <row r="233" spans="1:11" s="34" customFormat="1" ht="15">
      <c r="A233" s="30"/>
      <c r="B233" s="43" t="s">
        <v>1833</v>
      </c>
      <c r="C233" s="45" t="s">
        <v>1429</v>
      </c>
      <c r="D233" s="46" t="s">
        <v>3</v>
      </c>
      <c r="E233" s="44">
        <v>1.07</v>
      </c>
      <c r="F233" s="31">
        <f>TRUNC(12.98,2)</f>
        <v>12.98</v>
      </c>
      <c r="G233" s="32">
        <f>TRUNC(E233*F233,2)</f>
        <v>13.88</v>
      </c>
      <c r="H233" s="32"/>
      <c r="I233" s="33"/>
      <c r="J233" s="33"/>
      <c r="K233" s="44"/>
    </row>
    <row r="234" spans="1:11" s="34" customFormat="1" ht="15">
      <c r="A234" s="30"/>
      <c r="B234" s="43" t="s">
        <v>1804</v>
      </c>
      <c r="C234" s="45" t="s">
        <v>1369</v>
      </c>
      <c r="D234" s="46" t="s">
        <v>4</v>
      </c>
      <c r="E234" s="44">
        <v>0.031</v>
      </c>
      <c r="F234" s="31">
        <f>TRUNC(29.8,2)</f>
        <v>29.8</v>
      </c>
      <c r="G234" s="32">
        <f>TRUNC(E234*F234,2)</f>
        <v>0.92</v>
      </c>
      <c r="H234" s="32"/>
      <c r="I234" s="33"/>
      <c r="J234" s="33"/>
      <c r="K234" s="44"/>
    </row>
    <row r="235" spans="1:11" s="34" customFormat="1" ht="15">
      <c r="A235" s="30"/>
      <c r="B235" s="43" t="s">
        <v>1805</v>
      </c>
      <c r="C235" s="45" t="s">
        <v>1371</v>
      </c>
      <c r="D235" s="46" t="s">
        <v>4</v>
      </c>
      <c r="E235" s="44">
        <v>0.0044</v>
      </c>
      <c r="F235" s="31">
        <f>TRUNC(22.91,2)</f>
        <v>22.91</v>
      </c>
      <c r="G235" s="32">
        <f>TRUNC(E235*F235,2)</f>
        <v>0.1</v>
      </c>
      <c r="H235" s="32"/>
      <c r="I235" s="33"/>
      <c r="J235" s="33"/>
      <c r="K235" s="44"/>
    </row>
    <row r="236" spans="1:11" s="34" customFormat="1" ht="22.5" customHeight="1">
      <c r="A236" s="30"/>
      <c r="B236" s="43"/>
      <c r="C236" s="45"/>
      <c r="D236" s="46"/>
      <c r="E236" s="44" t="s">
        <v>5</v>
      </c>
      <c r="F236" s="31"/>
      <c r="G236" s="32">
        <f>TRUNC(SUM(G233:G235),2)</f>
        <v>14.9</v>
      </c>
      <c r="H236" s="32"/>
      <c r="I236" s="33"/>
      <c r="J236" s="33"/>
      <c r="K236" s="44"/>
    </row>
    <row r="237" spans="1:11" s="107" customFormat="1" ht="30">
      <c r="A237" s="99" t="s">
        <v>1422</v>
      </c>
      <c r="B237" s="100" t="s">
        <v>1834</v>
      </c>
      <c r="C237" s="101" t="s">
        <v>1431</v>
      </c>
      <c r="D237" s="102" t="s">
        <v>3</v>
      </c>
      <c r="E237" s="103">
        <v>472.5</v>
      </c>
      <c r="F237" s="104">
        <f>TRUNC(G241,2)</f>
        <v>15.02</v>
      </c>
      <c r="G237" s="105">
        <f>TRUNC(F237*1.2247,2)</f>
        <v>18.39</v>
      </c>
      <c r="H237" s="105">
        <f>TRUNC(F237*E237,2)</f>
        <v>7096.95</v>
      </c>
      <c r="I237" s="106">
        <f>TRUNC(E237*G237,2)</f>
        <v>8689.27</v>
      </c>
      <c r="J237" s="106"/>
      <c r="K237" s="103"/>
    </row>
    <row r="238" spans="1:11" s="34" customFormat="1" ht="15">
      <c r="A238" s="30"/>
      <c r="B238" s="43" t="s">
        <v>1835</v>
      </c>
      <c r="C238" s="45" t="s">
        <v>1433</v>
      </c>
      <c r="D238" s="46" t="s">
        <v>3</v>
      </c>
      <c r="E238" s="44">
        <v>1.11</v>
      </c>
      <c r="F238" s="31">
        <f>TRUNC(13.06,2)</f>
        <v>13.06</v>
      </c>
      <c r="G238" s="32">
        <f>TRUNC(E238*F238,2)</f>
        <v>14.49</v>
      </c>
      <c r="H238" s="32"/>
      <c r="I238" s="33"/>
      <c r="J238" s="33"/>
      <c r="K238" s="44"/>
    </row>
    <row r="239" spans="1:11" s="34" customFormat="1" ht="15">
      <c r="A239" s="30"/>
      <c r="B239" s="43" t="s">
        <v>1804</v>
      </c>
      <c r="C239" s="45" t="s">
        <v>1369</v>
      </c>
      <c r="D239" s="46" t="s">
        <v>4</v>
      </c>
      <c r="E239" s="44">
        <v>0.0162</v>
      </c>
      <c r="F239" s="31">
        <f>TRUNC(29.8,2)</f>
        <v>29.8</v>
      </c>
      <c r="G239" s="32">
        <f>TRUNC(E239*F239,2)</f>
        <v>0.48</v>
      </c>
      <c r="H239" s="32"/>
      <c r="I239" s="33"/>
      <c r="J239" s="33"/>
      <c r="K239" s="44"/>
    </row>
    <row r="240" spans="1:11" s="34" customFormat="1" ht="15">
      <c r="A240" s="30"/>
      <c r="B240" s="43" t="s">
        <v>1805</v>
      </c>
      <c r="C240" s="45" t="s">
        <v>1371</v>
      </c>
      <c r="D240" s="46" t="s">
        <v>4</v>
      </c>
      <c r="E240" s="44">
        <v>0.0023</v>
      </c>
      <c r="F240" s="31">
        <f>TRUNC(22.91,2)</f>
        <v>22.91</v>
      </c>
      <c r="G240" s="32">
        <f>TRUNC(E240*F240,2)</f>
        <v>0.05</v>
      </c>
      <c r="H240" s="32"/>
      <c r="I240" s="33"/>
      <c r="J240" s="33"/>
      <c r="K240" s="44"/>
    </row>
    <row r="241" spans="1:11" s="34" customFormat="1" ht="15">
      <c r="A241" s="30"/>
      <c r="B241" s="43"/>
      <c r="C241" s="45"/>
      <c r="D241" s="46"/>
      <c r="E241" s="44" t="s">
        <v>5</v>
      </c>
      <c r="F241" s="31"/>
      <c r="G241" s="32">
        <f>TRUNC(SUM(G238:G240),2)</f>
        <v>15.02</v>
      </c>
      <c r="H241" s="32"/>
      <c r="I241" s="33"/>
      <c r="J241" s="33"/>
      <c r="K241" s="44"/>
    </row>
    <row r="242" spans="1:11" s="107" customFormat="1" ht="30">
      <c r="A242" s="99" t="s">
        <v>1425</v>
      </c>
      <c r="B242" s="100" t="s">
        <v>1836</v>
      </c>
      <c r="C242" s="101" t="s">
        <v>1435</v>
      </c>
      <c r="D242" s="102" t="s">
        <v>3</v>
      </c>
      <c r="E242" s="103">
        <v>9.2</v>
      </c>
      <c r="F242" s="104">
        <f>TRUNC(G246,2)</f>
        <v>13.94</v>
      </c>
      <c r="G242" s="105">
        <f>TRUNC(F242*1.2247,2)</f>
        <v>17.07</v>
      </c>
      <c r="H242" s="105">
        <f>TRUNC(F242*E242,2)</f>
        <v>128.24</v>
      </c>
      <c r="I242" s="106">
        <f>TRUNC(E242*G242,2)</f>
        <v>157.04</v>
      </c>
      <c r="J242" s="106"/>
      <c r="K242" s="103"/>
    </row>
    <row r="243" spans="1:11" s="34" customFormat="1" ht="15">
      <c r="A243" s="30"/>
      <c r="B243" s="43" t="s">
        <v>1837</v>
      </c>
      <c r="C243" s="45" t="s">
        <v>1437</v>
      </c>
      <c r="D243" s="46" t="s">
        <v>3</v>
      </c>
      <c r="E243" s="44">
        <v>1.11</v>
      </c>
      <c r="F243" s="31">
        <f>TRUNC(12.31,2)</f>
        <v>12.31</v>
      </c>
      <c r="G243" s="32">
        <f>TRUNC(E243*F243,2)</f>
        <v>13.66</v>
      </c>
      <c r="H243" s="32"/>
      <c r="I243" s="33"/>
      <c r="J243" s="33"/>
      <c r="K243" s="44"/>
    </row>
    <row r="244" spans="1:11" s="34" customFormat="1" ht="15">
      <c r="A244" s="30"/>
      <c r="B244" s="43" t="s">
        <v>1804</v>
      </c>
      <c r="C244" s="45" t="s">
        <v>1369</v>
      </c>
      <c r="D244" s="46" t="s">
        <v>4</v>
      </c>
      <c r="E244" s="44">
        <v>0.0088</v>
      </c>
      <c r="F244" s="31">
        <f>TRUNC(29.8,2)</f>
        <v>29.8</v>
      </c>
      <c r="G244" s="32">
        <f>TRUNC(E244*F244,2)</f>
        <v>0.26</v>
      </c>
      <c r="H244" s="32"/>
      <c r="I244" s="33"/>
      <c r="J244" s="33"/>
      <c r="K244" s="44"/>
    </row>
    <row r="245" spans="1:11" s="34" customFormat="1" ht="15">
      <c r="A245" s="30"/>
      <c r="B245" s="43" t="s">
        <v>1805</v>
      </c>
      <c r="C245" s="45" t="s">
        <v>1371</v>
      </c>
      <c r="D245" s="46" t="s">
        <v>4</v>
      </c>
      <c r="E245" s="44">
        <v>0.0012</v>
      </c>
      <c r="F245" s="31">
        <f>TRUNC(22.91,2)</f>
        <v>22.91</v>
      </c>
      <c r="G245" s="32">
        <f>TRUNC(E245*F245,2)</f>
        <v>0.02</v>
      </c>
      <c r="H245" s="32"/>
      <c r="I245" s="33"/>
      <c r="J245" s="33"/>
      <c r="K245" s="44"/>
    </row>
    <row r="246" spans="1:11" s="34" customFormat="1" ht="15">
      <c r="A246" s="30"/>
      <c r="B246" s="43"/>
      <c r="C246" s="45"/>
      <c r="D246" s="46"/>
      <c r="E246" s="44" t="s">
        <v>5</v>
      </c>
      <c r="F246" s="31"/>
      <c r="G246" s="32">
        <f>TRUNC(SUM(G243:G245),2)</f>
        <v>13.94</v>
      </c>
      <c r="H246" s="32"/>
      <c r="I246" s="33"/>
      <c r="J246" s="33"/>
      <c r="K246" s="44"/>
    </row>
    <row r="247" spans="1:11" s="107" customFormat="1" ht="30">
      <c r="A247" s="99" t="s">
        <v>1445</v>
      </c>
      <c r="B247" s="100" t="s">
        <v>1838</v>
      </c>
      <c r="C247" s="101" t="s">
        <v>1439</v>
      </c>
      <c r="D247" s="102" t="s">
        <v>3</v>
      </c>
      <c r="E247" s="103">
        <v>956.3</v>
      </c>
      <c r="F247" s="104">
        <f>TRUNC(G251,2)</f>
        <v>14.37</v>
      </c>
      <c r="G247" s="105">
        <f>TRUNC(F247*1.2247,2)</f>
        <v>17.59</v>
      </c>
      <c r="H247" s="105">
        <f>TRUNC(F247*E247,2)</f>
        <v>13742.03</v>
      </c>
      <c r="I247" s="106">
        <f>TRUNC(E247*G247,2)</f>
        <v>16821.31</v>
      </c>
      <c r="J247" s="106"/>
      <c r="K247" s="103"/>
    </row>
    <row r="248" spans="1:11" s="34" customFormat="1" ht="15">
      <c r="A248" s="30"/>
      <c r="B248" s="43" t="s">
        <v>1839</v>
      </c>
      <c r="C248" s="45" t="s">
        <v>1441</v>
      </c>
      <c r="D248" s="46" t="s">
        <v>3</v>
      </c>
      <c r="E248" s="44">
        <v>1.07</v>
      </c>
      <c r="F248" s="31">
        <f>TRUNC(11.65,2)</f>
        <v>11.65</v>
      </c>
      <c r="G248" s="32">
        <f>TRUNC(E248*F248,2)</f>
        <v>12.46</v>
      </c>
      <c r="H248" s="32"/>
      <c r="I248" s="33"/>
      <c r="J248" s="33"/>
      <c r="K248" s="44"/>
    </row>
    <row r="249" spans="1:11" s="34" customFormat="1" ht="15">
      <c r="A249" s="30"/>
      <c r="B249" s="43" t="s">
        <v>1804</v>
      </c>
      <c r="C249" s="45" t="s">
        <v>1369</v>
      </c>
      <c r="D249" s="46" t="s">
        <v>4</v>
      </c>
      <c r="E249" s="44">
        <v>0.0581</v>
      </c>
      <c r="F249" s="31">
        <f>TRUNC(29.8,2)</f>
        <v>29.8</v>
      </c>
      <c r="G249" s="32">
        <f>TRUNC(E249*F249,2)</f>
        <v>1.73</v>
      </c>
      <c r="H249" s="32"/>
      <c r="I249" s="33"/>
      <c r="J249" s="33"/>
      <c r="K249" s="44"/>
    </row>
    <row r="250" spans="1:11" s="34" customFormat="1" ht="15">
      <c r="A250" s="30"/>
      <c r="B250" s="43" t="s">
        <v>1805</v>
      </c>
      <c r="C250" s="45" t="s">
        <v>1371</v>
      </c>
      <c r="D250" s="46" t="s">
        <v>4</v>
      </c>
      <c r="E250" s="44">
        <v>0.0082</v>
      </c>
      <c r="F250" s="31">
        <f>TRUNC(22.91,2)</f>
        <v>22.91</v>
      </c>
      <c r="G250" s="32">
        <f>TRUNC(E250*F250,2)</f>
        <v>0.18</v>
      </c>
      <c r="H250" s="32"/>
      <c r="I250" s="33"/>
      <c r="J250" s="33"/>
      <c r="K250" s="44"/>
    </row>
    <row r="251" spans="1:11" s="34" customFormat="1" ht="15">
      <c r="A251" s="30"/>
      <c r="B251" s="43"/>
      <c r="C251" s="45"/>
      <c r="D251" s="46"/>
      <c r="E251" s="44" t="s">
        <v>5</v>
      </c>
      <c r="F251" s="31"/>
      <c r="G251" s="32">
        <f>TRUNC(SUM(G248:G250),2)</f>
        <v>14.37</v>
      </c>
      <c r="H251" s="32"/>
      <c r="I251" s="33"/>
      <c r="J251" s="33"/>
      <c r="K251" s="44"/>
    </row>
    <row r="252" spans="1:11" s="107" customFormat="1" ht="45">
      <c r="A252" s="99" t="s">
        <v>1448</v>
      </c>
      <c r="B252" s="100" t="s">
        <v>1840</v>
      </c>
      <c r="C252" s="101" t="s">
        <v>1413</v>
      </c>
      <c r="D252" s="102" t="s">
        <v>1</v>
      </c>
      <c r="E252" s="103">
        <v>92.73</v>
      </c>
      <c r="F252" s="104">
        <f>TRUNC(G259,2)</f>
        <v>410.15</v>
      </c>
      <c r="G252" s="105">
        <f>TRUNC(F252*1.2247,2)</f>
        <v>502.31</v>
      </c>
      <c r="H252" s="105">
        <f>TRUNC(F252*E252,2)</f>
        <v>38033.2</v>
      </c>
      <c r="I252" s="106">
        <f>TRUNC(E252*G252,2)</f>
        <v>46579.2</v>
      </c>
      <c r="J252" s="106"/>
      <c r="K252" s="103"/>
    </row>
    <row r="253" spans="1:11" s="34" customFormat="1" ht="30">
      <c r="A253" s="30"/>
      <c r="B253" s="43" t="s">
        <v>1841</v>
      </c>
      <c r="C253" s="45" t="s">
        <v>1415</v>
      </c>
      <c r="D253" s="46" t="s">
        <v>1</v>
      </c>
      <c r="E253" s="44">
        <v>1.103</v>
      </c>
      <c r="F253" s="31">
        <f>TRUNC(334.67,2)</f>
        <v>334.67</v>
      </c>
      <c r="G253" s="32">
        <f aca="true" t="shared" si="15" ref="G253:G258">TRUNC(E253*F253,2)</f>
        <v>369.14</v>
      </c>
      <c r="H253" s="32"/>
      <c r="I253" s="33"/>
      <c r="J253" s="33"/>
      <c r="K253" s="44"/>
    </row>
    <row r="254" spans="1:11" s="34" customFormat="1" ht="15">
      <c r="A254" s="30"/>
      <c r="B254" s="43" t="s">
        <v>43</v>
      </c>
      <c r="C254" s="45" t="s">
        <v>32</v>
      </c>
      <c r="D254" s="46" t="s">
        <v>4</v>
      </c>
      <c r="E254" s="44">
        <v>0.744</v>
      </c>
      <c r="F254" s="31">
        <f>TRUNC(23.42,2)</f>
        <v>23.42</v>
      </c>
      <c r="G254" s="32">
        <f t="shared" si="15"/>
        <v>17.42</v>
      </c>
      <c r="H254" s="32"/>
      <c r="I254" s="33"/>
      <c r="J254" s="33"/>
      <c r="K254" s="44"/>
    </row>
    <row r="255" spans="1:11" s="34" customFormat="1" ht="15">
      <c r="A255" s="30"/>
      <c r="B255" s="43" t="s">
        <v>1842</v>
      </c>
      <c r="C255" s="45" t="s">
        <v>307</v>
      </c>
      <c r="D255" s="46" t="s">
        <v>4</v>
      </c>
      <c r="E255" s="44">
        <v>0.67</v>
      </c>
      <c r="F255" s="31">
        <f>TRUNC(29.96,2)</f>
        <v>29.96</v>
      </c>
      <c r="G255" s="32">
        <f t="shared" si="15"/>
        <v>20.07</v>
      </c>
      <c r="H255" s="32"/>
      <c r="I255" s="33"/>
      <c r="J255" s="33"/>
      <c r="K255" s="44"/>
    </row>
    <row r="256" spans="1:11" s="34" customFormat="1" ht="15">
      <c r="A256" s="30"/>
      <c r="B256" s="43" t="s">
        <v>1780</v>
      </c>
      <c r="C256" s="45" t="s">
        <v>261</v>
      </c>
      <c r="D256" s="46" t="s">
        <v>4</v>
      </c>
      <c r="E256" s="44">
        <v>0.112</v>
      </c>
      <c r="F256" s="31">
        <f>TRUNC(29.7,2)</f>
        <v>29.7</v>
      </c>
      <c r="G256" s="32">
        <f t="shared" si="15"/>
        <v>3.32</v>
      </c>
      <c r="H256" s="32"/>
      <c r="I256" s="33"/>
      <c r="J256" s="33"/>
      <c r="K256" s="44"/>
    </row>
    <row r="257" spans="1:11" s="34" customFormat="1" ht="30">
      <c r="A257" s="30"/>
      <c r="B257" s="43" t="s">
        <v>1843</v>
      </c>
      <c r="C257" s="45" t="s">
        <v>1844</v>
      </c>
      <c r="D257" s="46" t="s">
        <v>38</v>
      </c>
      <c r="E257" s="44">
        <v>0.144</v>
      </c>
      <c r="F257" s="31">
        <f>TRUNC(0.42,2)</f>
        <v>0.42</v>
      </c>
      <c r="G257" s="32">
        <f t="shared" si="15"/>
        <v>0.06</v>
      </c>
      <c r="H257" s="32"/>
      <c r="I257" s="33"/>
      <c r="J257" s="33"/>
      <c r="K257" s="44"/>
    </row>
    <row r="258" spans="1:11" s="34" customFormat="1" ht="30">
      <c r="A258" s="30"/>
      <c r="B258" s="43" t="s">
        <v>1845</v>
      </c>
      <c r="C258" s="45" t="s">
        <v>1846</v>
      </c>
      <c r="D258" s="46" t="s">
        <v>21</v>
      </c>
      <c r="E258" s="44">
        <v>0.079</v>
      </c>
      <c r="F258" s="31">
        <f>TRUNC(1.85,2)</f>
        <v>1.85</v>
      </c>
      <c r="G258" s="32">
        <f t="shared" si="15"/>
        <v>0.14</v>
      </c>
      <c r="H258" s="32"/>
      <c r="I258" s="33"/>
      <c r="J258" s="33"/>
      <c r="K258" s="44"/>
    </row>
    <row r="259" spans="1:11" s="34" customFormat="1" ht="15">
      <c r="A259" s="30"/>
      <c r="B259" s="43"/>
      <c r="C259" s="45"/>
      <c r="D259" s="46"/>
      <c r="E259" s="44" t="s">
        <v>5</v>
      </c>
      <c r="F259" s="31"/>
      <c r="G259" s="32">
        <f>TRUNC(SUM(G253:G258),2)</f>
        <v>410.15</v>
      </c>
      <c r="H259" s="32"/>
      <c r="I259" s="33"/>
      <c r="J259" s="33"/>
      <c r="K259" s="44"/>
    </row>
    <row r="260" spans="1:11" s="107" customFormat="1" ht="45">
      <c r="A260" s="99" t="s">
        <v>1449</v>
      </c>
      <c r="B260" s="100" t="s">
        <v>1847</v>
      </c>
      <c r="C260" s="101" t="s">
        <v>1405</v>
      </c>
      <c r="D260" s="102" t="s">
        <v>1</v>
      </c>
      <c r="E260" s="103">
        <v>16.53</v>
      </c>
      <c r="F260" s="104">
        <f>TRUNC(G267,2)</f>
        <v>420.81</v>
      </c>
      <c r="G260" s="105">
        <f>TRUNC(F260*1.2247,2)</f>
        <v>515.36</v>
      </c>
      <c r="H260" s="105">
        <f>TRUNC(F260*E260,2)</f>
        <v>6955.98</v>
      </c>
      <c r="I260" s="106">
        <f>TRUNC(E260*G260,2)</f>
        <v>8518.9</v>
      </c>
      <c r="J260" s="106"/>
      <c r="K260" s="103"/>
    </row>
    <row r="261" spans="1:11" s="34" customFormat="1" ht="30">
      <c r="A261" s="30"/>
      <c r="B261" s="43" t="s">
        <v>1848</v>
      </c>
      <c r="C261" s="45" t="s">
        <v>1407</v>
      </c>
      <c r="D261" s="46" t="s">
        <v>1</v>
      </c>
      <c r="E261" s="44">
        <v>1.103</v>
      </c>
      <c r="F261" s="31">
        <f>TRUNC(345.3,2)</f>
        <v>345.3</v>
      </c>
      <c r="G261" s="32">
        <f aca="true" t="shared" si="16" ref="G261:G266">TRUNC(E261*F261,2)</f>
        <v>380.86</v>
      </c>
      <c r="H261" s="32"/>
      <c r="I261" s="33"/>
      <c r="J261" s="33"/>
      <c r="K261" s="44"/>
    </row>
    <row r="262" spans="1:11" s="34" customFormat="1" ht="15">
      <c r="A262" s="30"/>
      <c r="B262" s="43" t="s">
        <v>43</v>
      </c>
      <c r="C262" s="45" t="s">
        <v>32</v>
      </c>
      <c r="D262" s="46" t="s">
        <v>4</v>
      </c>
      <c r="E262" s="44">
        <v>1.192</v>
      </c>
      <c r="F262" s="31">
        <f>TRUNC(23.42,2)</f>
        <v>23.42</v>
      </c>
      <c r="G262" s="32">
        <f t="shared" si="16"/>
        <v>27.91</v>
      </c>
      <c r="H262" s="32"/>
      <c r="I262" s="33"/>
      <c r="J262" s="33"/>
      <c r="K262" s="44"/>
    </row>
    <row r="263" spans="1:11" s="34" customFormat="1" ht="15">
      <c r="A263" s="30"/>
      <c r="B263" s="43" t="s">
        <v>1842</v>
      </c>
      <c r="C263" s="45" t="s">
        <v>307</v>
      </c>
      <c r="D263" s="46" t="s">
        <v>4</v>
      </c>
      <c r="E263" s="44">
        <v>0.199</v>
      </c>
      <c r="F263" s="31">
        <f>TRUNC(29.96,2)</f>
        <v>29.96</v>
      </c>
      <c r="G263" s="32">
        <f t="shared" si="16"/>
        <v>5.96</v>
      </c>
      <c r="H263" s="32"/>
      <c r="I263" s="33"/>
      <c r="J263" s="33"/>
      <c r="K263" s="44"/>
    </row>
    <row r="264" spans="1:11" s="34" customFormat="1" ht="15">
      <c r="A264" s="30"/>
      <c r="B264" s="43" t="s">
        <v>1780</v>
      </c>
      <c r="C264" s="45" t="s">
        <v>261</v>
      </c>
      <c r="D264" s="46" t="s">
        <v>4</v>
      </c>
      <c r="E264" s="44">
        <v>0.199</v>
      </c>
      <c r="F264" s="31">
        <f>TRUNC(29.7,2)</f>
        <v>29.7</v>
      </c>
      <c r="G264" s="32">
        <f t="shared" si="16"/>
        <v>5.91</v>
      </c>
      <c r="H264" s="32"/>
      <c r="I264" s="33"/>
      <c r="J264" s="33"/>
      <c r="K264" s="44"/>
    </row>
    <row r="265" spans="1:11" s="34" customFormat="1" ht="30">
      <c r="A265" s="30"/>
      <c r="B265" s="43" t="s">
        <v>1843</v>
      </c>
      <c r="C265" s="45" t="s">
        <v>1844</v>
      </c>
      <c r="D265" s="46" t="s">
        <v>38</v>
      </c>
      <c r="E265" s="44">
        <v>0.131</v>
      </c>
      <c r="F265" s="31">
        <f>TRUNC(0.42,2)</f>
        <v>0.42</v>
      </c>
      <c r="G265" s="32">
        <f t="shared" si="16"/>
        <v>0.05</v>
      </c>
      <c r="H265" s="32"/>
      <c r="I265" s="33"/>
      <c r="J265" s="33"/>
      <c r="K265" s="44"/>
    </row>
    <row r="266" spans="1:11" s="34" customFormat="1" ht="30">
      <c r="A266" s="30"/>
      <c r="B266" s="43" t="s">
        <v>1845</v>
      </c>
      <c r="C266" s="45" t="s">
        <v>1846</v>
      </c>
      <c r="D266" s="46" t="s">
        <v>21</v>
      </c>
      <c r="E266" s="44">
        <v>0.068</v>
      </c>
      <c r="F266" s="31">
        <f>TRUNC(1.85,2)</f>
        <v>1.85</v>
      </c>
      <c r="G266" s="32">
        <f t="shared" si="16"/>
        <v>0.12</v>
      </c>
      <c r="H266" s="32"/>
      <c r="I266" s="33"/>
      <c r="J266" s="33"/>
      <c r="K266" s="44"/>
    </row>
    <row r="267" spans="1:11" s="34" customFormat="1" ht="15">
      <c r="A267" s="30"/>
      <c r="B267" s="43"/>
      <c r="C267" s="45"/>
      <c r="D267" s="46"/>
      <c r="E267" s="44" t="s">
        <v>5</v>
      </c>
      <c r="F267" s="31"/>
      <c r="G267" s="32">
        <f>TRUNC(SUM(G261:G266),2)</f>
        <v>420.81</v>
      </c>
      <c r="H267" s="32"/>
      <c r="I267" s="33"/>
      <c r="J267" s="33"/>
      <c r="K267" s="44"/>
    </row>
    <row r="268" spans="1:11" s="107" customFormat="1" ht="30">
      <c r="A268" s="99" t="s">
        <v>1450</v>
      </c>
      <c r="B268" s="100" t="s">
        <v>1849</v>
      </c>
      <c r="C268" s="101" t="s">
        <v>1419</v>
      </c>
      <c r="D268" s="102" t="s">
        <v>1</v>
      </c>
      <c r="E268" s="103">
        <v>17.03</v>
      </c>
      <c r="F268" s="104">
        <f>TRUNC(G274,2)</f>
        <v>441.67</v>
      </c>
      <c r="G268" s="105">
        <f>TRUNC(F268*1.2247,2)</f>
        <v>540.91</v>
      </c>
      <c r="H268" s="105">
        <f>TRUNC(F268*E268,2)</f>
        <v>7521.64</v>
      </c>
      <c r="I268" s="106">
        <f>TRUNC(E268*G268,2)</f>
        <v>9211.69</v>
      </c>
      <c r="J268" s="106"/>
      <c r="K268" s="103"/>
    </row>
    <row r="269" spans="1:11" s="34" customFormat="1" ht="30">
      <c r="A269" s="30"/>
      <c r="B269" s="43" t="s">
        <v>1850</v>
      </c>
      <c r="C269" s="45" t="s">
        <v>1421</v>
      </c>
      <c r="D269" s="46" t="s">
        <v>1</v>
      </c>
      <c r="E269" s="44">
        <v>1.15</v>
      </c>
      <c r="F269" s="31">
        <f>TRUNC(355.92,2)</f>
        <v>355.92</v>
      </c>
      <c r="G269" s="32">
        <f>TRUNC(E269*F269,2)</f>
        <v>409.3</v>
      </c>
      <c r="H269" s="32"/>
      <c r="I269" s="33"/>
      <c r="J269" s="33"/>
      <c r="K269" s="44"/>
    </row>
    <row r="270" spans="1:11" s="34" customFormat="1" ht="15">
      <c r="A270" s="30"/>
      <c r="B270" s="43" t="s">
        <v>43</v>
      </c>
      <c r="C270" s="45" t="s">
        <v>32</v>
      </c>
      <c r="D270" s="46" t="s">
        <v>4</v>
      </c>
      <c r="E270" s="44">
        <v>0.74</v>
      </c>
      <c r="F270" s="31">
        <f>TRUNC(23.42,2)</f>
        <v>23.42</v>
      </c>
      <c r="G270" s="32">
        <f>TRUNC(E270*F270,2)</f>
        <v>17.33</v>
      </c>
      <c r="H270" s="32"/>
      <c r="I270" s="33"/>
      <c r="J270" s="33"/>
      <c r="K270" s="44"/>
    </row>
    <row r="271" spans="1:11" s="34" customFormat="1" ht="15">
      <c r="A271" s="30"/>
      <c r="B271" s="43" t="s">
        <v>1842</v>
      </c>
      <c r="C271" s="45" t="s">
        <v>307</v>
      </c>
      <c r="D271" s="46" t="s">
        <v>4</v>
      </c>
      <c r="E271" s="44">
        <v>0.493</v>
      </c>
      <c r="F271" s="31">
        <f>TRUNC(29.96,2)</f>
        <v>29.96</v>
      </c>
      <c r="G271" s="32">
        <f>TRUNC(E271*F271,2)</f>
        <v>14.77</v>
      </c>
      <c r="H271" s="32"/>
      <c r="I271" s="33"/>
      <c r="J271" s="33"/>
      <c r="K271" s="44"/>
    </row>
    <row r="272" spans="1:11" s="34" customFormat="1" ht="30">
      <c r="A272" s="30"/>
      <c r="B272" s="43" t="s">
        <v>1843</v>
      </c>
      <c r="C272" s="45" t="s">
        <v>1844</v>
      </c>
      <c r="D272" s="46" t="s">
        <v>38</v>
      </c>
      <c r="E272" s="44">
        <v>0.126</v>
      </c>
      <c r="F272" s="31">
        <f>TRUNC(0.42,2)</f>
        <v>0.42</v>
      </c>
      <c r="G272" s="32">
        <f>TRUNC(E272*F272,2)</f>
        <v>0.05</v>
      </c>
      <c r="H272" s="32"/>
      <c r="I272" s="33"/>
      <c r="J272" s="33"/>
      <c r="K272" s="44"/>
    </row>
    <row r="273" spans="1:11" s="34" customFormat="1" ht="30">
      <c r="A273" s="30"/>
      <c r="B273" s="43" t="s">
        <v>1845</v>
      </c>
      <c r="C273" s="45" t="s">
        <v>1846</v>
      </c>
      <c r="D273" s="46" t="s">
        <v>21</v>
      </c>
      <c r="E273" s="44">
        <v>0.12</v>
      </c>
      <c r="F273" s="31">
        <f>TRUNC(1.85,2)</f>
        <v>1.85</v>
      </c>
      <c r="G273" s="32">
        <f>TRUNC(E273*F273,2)</f>
        <v>0.22</v>
      </c>
      <c r="H273" s="32"/>
      <c r="I273" s="33"/>
      <c r="J273" s="33"/>
      <c r="K273" s="44"/>
    </row>
    <row r="274" spans="1:11" s="34" customFormat="1" ht="15">
      <c r="A274" s="30"/>
      <c r="B274" s="43"/>
      <c r="C274" s="45"/>
      <c r="D274" s="46"/>
      <c r="E274" s="44" t="s">
        <v>5</v>
      </c>
      <c r="F274" s="31"/>
      <c r="G274" s="32">
        <f>TRUNC(SUM(G269:G273),2)</f>
        <v>441.67</v>
      </c>
      <c r="H274" s="32"/>
      <c r="I274" s="33"/>
      <c r="J274" s="33"/>
      <c r="K274" s="44"/>
    </row>
    <row r="275" spans="1:11" s="107" customFormat="1" ht="60">
      <c r="A275" s="99" t="s">
        <v>1451</v>
      </c>
      <c r="B275" s="100" t="s">
        <v>1851</v>
      </c>
      <c r="C275" s="101" t="s">
        <v>1453</v>
      </c>
      <c r="D275" s="102" t="s">
        <v>0</v>
      </c>
      <c r="E275" s="103">
        <v>809.92</v>
      </c>
      <c r="F275" s="104">
        <f>TRUNC(G283,2)</f>
        <v>69.18</v>
      </c>
      <c r="G275" s="105">
        <f>TRUNC(F275*1.2247,2)</f>
        <v>84.72</v>
      </c>
      <c r="H275" s="105">
        <f>TRUNC(F275*E275,2)</f>
        <v>56030.26</v>
      </c>
      <c r="I275" s="106">
        <f>TRUNC(E275*G275,2)</f>
        <v>68616.42</v>
      </c>
      <c r="J275" s="106"/>
      <c r="K275" s="103"/>
    </row>
    <row r="276" spans="1:11" s="34" customFormat="1" ht="30">
      <c r="A276" s="30"/>
      <c r="B276" s="43" t="s">
        <v>63</v>
      </c>
      <c r="C276" s="45" t="s">
        <v>64</v>
      </c>
      <c r="D276" s="46" t="s">
        <v>3</v>
      </c>
      <c r="E276" s="44">
        <v>0.1</v>
      </c>
      <c r="F276" s="31">
        <f>TRUNC(15.94,2)</f>
        <v>15.94</v>
      </c>
      <c r="G276" s="32">
        <f aca="true" t="shared" si="17" ref="G276:G282">TRUNC(E276*F276,2)</f>
        <v>1.59</v>
      </c>
      <c r="H276" s="32"/>
      <c r="I276" s="33"/>
      <c r="J276" s="33"/>
      <c r="K276" s="44"/>
    </row>
    <row r="277" spans="1:11" s="34" customFormat="1" ht="15">
      <c r="A277" s="30"/>
      <c r="B277" s="43" t="s">
        <v>65</v>
      </c>
      <c r="C277" s="45" t="s">
        <v>66</v>
      </c>
      <c r="D277" s="46" t="s">
        <v>2</v>
      </c>
      <c r="E277" s="44">
        <v>0.55</v>
      </c>
      <c r="F277" s="31">
        <f>TRUNC(5.45,2)</f>
        <v>5.45</v>
      </c>
      <c r="G277" s="32">
        <f t="shared" si="17"/>
        <v>2.99</v>
      </c>
      <c r="H277" s="32"/>
      <c r="I277" s="33"/>
      <c r="J277" s="33"/>
      <c r="K277" s="44"/>
    </row>
    <row r="278" spans="1:11" s="34" customFormat="1" ht="15">
      <c r="A278" s="30"/>
      <c r="B278" s="43" t="s">
        <v>1748</v>
      </c>
      <c r="C278" s="45" t="s">
        <v>1749</v>
      </c>
      <c r="D278" s="46" t="s">
        <v>2</v>
      </c>
      <c r="E278" s="44">
        <v>1.4</v>
      </c>
      <c r="F278" s="31">
        <f>TRUNC(6.2736,2)</f>
        <v>6.27</v>
      </c>
      <c r="G278" s="32">
        <f t="shared" si="17"/>
        <v>8.77</v>
      </c>
      <c r="H278" s="32"/>
      <c r="I278" s="33"/>
      <c r="J278" s="33"/>
      <c r="K278" s="44"/>
    </row>
    <row r="279" spans="1:11" s="34" customFormat="1" ht="15">
      <c r="A279" s="30"/>
      <c r="B279" s="43" t="s">
        <v>718</v>
      </c>
      <c r="C279" s="45" t="s">
        <v>719</v>
      </c>
      <c r="D279" s="46" t="s">
        <v>2</v>
      </c>
      <c r="E279" s="44">
        <v>1.05</v>
      </c>
      <c r="F279" s="31">
        <f>TRUNC(9.23,2)</f>
        <v>9.23</v>
      </c>
      <c r="G279" s="32">
        <f t="shared" si="17"/>
        <v>9.69</v>
      </c>
      <c r="H279" s="32"/>
      <c r="I279" s="33"/>
      <c r="J279" s="33"/>
      <c r="K279" s="44"/>
    </row>
    <row r="280" spans="1:11" s="34" customFormat="1" ht="30">
      <c r="A280" s="30"/>
      <c r="B280" s="43" t="s">
        <v>33</v>
      </c>
      <c r="C280" s="45" t="s">
        <v>34</v>
      </c>
      <c r="D280" s="46" t="s">
        <v>4</v>
      </c>
      <c r="E280" s="44">
        <v>1.0815000000000001</v>
      </c>
      <c r="F280" s="31">
        <f>TRUNC(16.55,2)</f>
        <v>16.55</v>
      </c>
      <c r="G280" s="32">
        <f t="shared" si="17"/>
        <v>17.89</v>
      </c>
      <c r="H280" s="32"/>
      <c r="I280" s="33"/>
      <c r="J280" s="33"/>
      <c r="K280" s="44"/>
    </row>
    <row r="281" spans="1:11" s="34" customFormat="1" ht="30">
      <c r="A281" s="30"/>
      <c r="B281" s="43" t="s">
        <v>1852</v>
      </c>
      <c r="C281" s="45" t="s">
        <v>1853</v>
      </c>
      <c r="D281" s="46" t="s">
        <v>4</v>
      </c>
      <c r="E281" s="44">
        <v>1.0815000000000001</v>
      </c>
      <c r="F281" s="31">
        <f>TRUNC(22.86,2)</f>
        <v>22.86</v>
      </c>
      <c r="G281" s="32">
        <f t="shared" si="17"/>
        <v>24.72</v>
      </c>
      <c r="H281" s="32"/>
      <c r="I281" s="33"/>
      <c r="J281" s="33"/>
      <c r="K281" s="44"/>
    </row>
    <row r="282" spans="1:11" s="34" customFormat="1" ht="15">
      <c r="A282" s="30"/>
      <c r="B282" s="43" t="s">
        <v>1854</v>
      </c>
      <c r="C282" s="45" t="s">
        <v>1855</v>
      </c>
      <c r="D282" s="46" t="s">
        <v>0</v>
      </c>
      <c r="E282" s="44">
        <v>1</v>
      </c>
      <c r="F282" s="31">
        <f>TRUNC(3.5334,2)</f>
        <v>3.53</v>
      </c>
      <c r="G282" s="32">
        <f t="shared" si="17"/>
        <v>3.53</v>
      </c>
      <c r="H282" s="32"/>
      <c r="I282" s="33"/>
      <c r="J282" s="33"/>
      <c r="K282" s="44"/>
    </row>
    <row r="283" spans="1:11" s="34" customFormat="1" ht="15">
      <c r="A283" s="30"/>
      <c r="B283" s="43"/>
      <c r="C283" s="45"/>
      <c r="D283" s="46"/>
      <c r="E283" s="44" t="s">
        <v>5</v>
      </c>
      <c r="F283" s="31"/>
      <c r="G283" s="32">
        <f>TRUNC(SUM(G276:G282),2)</f>
        <v>69.18</v>
      </c>
      <c r="H283" s="32"/>
      <c r="I283" s="33"/>
      <c r="J283" s="33"/>
      <c r="K283" s="44"/>
    </row>
    <row r="284" spans="1:11" s="72" customFormat="1" ht="15">
      <c r="A284" s="65" t="s">
        <v>1363</v>
      </c>
      <c r="B284" s="66"/>
      <c r="C284" s="67"/>
      <c r="D284" s="68"/>
      <c r="E284" s="69"/>
      <c r="F284" s="70"/>
      <c r="G284" s="73" t="s">
        <v>1454</v>
      </c>
      <c r="H284" s="75">
        <f>H275+H268+H260+H252+H224+H216+H208+H192+H184+H176+H168+H247+H242+H237+H232</f>
        <v>291043.69000000006</v>
      </c>
      <c r="I284" s="75">
        <f>I275+I268+I260+I252+I224+I216+I208+I192+I184+I176+I168+I247+I242+I237+I232</f>
        <v>356397.51</v>
      </c>
      <c r="J284" s="71"/>
      <c r="K284" s="69"/>
    </row>
    <row r="285" spans="1:11" s="21" customFormat="1" ht="15.75">
      <c r="A285" s="21" t="s">
        <v>890</v>
      </c>
      <c r="B285" s="28"/>
      <c r="C285" s="29" t="s">
        <v>310</v>
      </c>
      <c r="D285" s="29"/>
      <c r="E285" s="29"/>
      <c r="F285" s="29"/>
      <c r="G285" s="29"/>
      <c r="H285" s="29"/>
      <c r="I285" s="27"/>
      <c r="J285" s="29"/>
      <c r="K285" s="29"/>
    </row>
    <row r="286" spans="1:11" s="107" customFormat="1" ht="60">
      <c r="A286" s="99" t="s">
        <v>891</v>
      </c>
      <c r="B286" s="100" t="s">
        <v>1856</v>
      </c>
      <c r="C286" s="101" t="s">
        <v>303</v>
      </c>
      <c r="D286" s="102" t="s">
        <v>0</v>
      </c>
      <c r="E286" s="103">
        <f>860.64+253</f>
        <v>1113.6399999999999</v>
      </c>
      <c r="F286" s="104">
        <f>TRUNC(G291,2)</f>
        <v>58.98</v>
      </c>
      <c r="G286" s="105">
        <f>TRUNC(F286*1.2247,2)</f>
        <v>72.23</v>
      </c>
      <c r="H286" s="105">
        <f>TRUNC(F286*E286,2)</f>
        <v>65682.48</v>
      </c>
      <c r="I286" s="106">
        <f>TRUNC(E286*G286,2)</f>
        <v>80438.21</v>
      </c>
      <c r="J286" s="106">
        <f>860.64+253</f>
        <v>1113.6399999999999</v>
      </c>
      <c r="K286" s="103"/>
    </row>
    <row r="287" spans="1:11" s="34" customFormat="1" ht="15">
      <c r="A287" s="30"/>
      <c r="B287" s="43" t="s">
        <v>231</v>
      </c>
      <c r="C287" s="45" t="s">
        <v>232</v>
      </c>
      <c r="D287" s="46" t="s">
        <v>10</v>
      </c>
      <c r="E287" s="44">
        <v>27</v>
      </c>
      <c r="F287" s="31">
        <f>TRUNC(0.7,2)</f>
        <v>0.7</v>
      </c>
      <c r="G287" s="32">
        <f>TRUNC(E287*F287,2)</f>
        <v>18.9</v>
      </c>
      <c r="H287" s="32"/>
      <c r="I287" s="33"/>
      <c r="J287" s="33"/>
      <c r="K287" s="44"/>
    </row>
    <row r="288" spans="1:11" s="34" customFormat="1" ht="30">
      <c r="A288" s="30"/>
      <c r="B288" s="43" t="s">
        <v>33</v>
      </c>
      <c r="C288" s="45" t="s">
        <v>34</v>
      </c>
      <c r="D288" s="46" t="s">
        <v>4</v>
      </c>
      <c r="E288" s="44">
        <v>0.5871</v>
      </c>
      <c r="F288" s="31">
        <f>TRUNC(16.55,2)</f>
        <v>16.55</v>
      </c>
      <c r="G288" s="32">
        <f>TRUNC(E288*F288,2)</f>
        <v>9.71</v>
      </c>
      <c r="H288" s="32"/>
      <c r="I288" s="33"/>
      <c r="J288" s="33"/>
      <c r="K288" s="44"/>
    </row>
    <row r="289" spans="1:11" s="34" customFormat="1" ht="15">
      <c r="A289" s="30"/>
      <c r="B289" s="43" t="s">
        <v>35</v>
      </c>
      <c r="C289" s="45" t="s">
        <v>36</v>
      </c>
      <c r="D289" s="46" t="s">
        <v>4</v>
      </c>
      <c r="E289" s="44">
        <v>1.1536000000000002</v>
      </c>
      <c r="F289" s="31">
        <f>TRUNC(22.86,2)</f>
        <v>22.86</v>
      </c>
      <c r="G289" s="32">
        <f>TRUNC(E289*F289,2)</f>
        <v>26.37</v>
      </c>
      <c r="H289" s="32"/>
      <c r="I289" s="33"/>
      <c r="J289" s="33"/>
      <c r="K289" s="44"/>
    </row>
    <row r="290" spans="1:11" s="34" customFormat="1" ht="15">
      <c r="A290" s="30"/>
      <c r="B290" s="43" t="s">
        <v>1857</v>
      </c>
      <c r="C290" s="45" t="s">
        <v>1858</v>
      </c>
      <c r="D290" s="46" t="s">
        <v>1</v>
      </c>
      <c r="E290" s="44">
        <v>0.015</v>
      </c>
      <c r="F290" s="31">
        <f>TRUNC(266.702,2)</f>
        <v>266.7</v>
      </c>
      <c r="G290" s="32">
        <f>TRUNC(E290*F290,2)</f>
        <v>4</v>
      </c>
      <c r="H290" s="32"/>
      <c r="I290" s="33"/>
      <c r="J290" s="33"/>
      <c r="K290" s="44"/>
    </row>
    <row r="291" spans="1:11" s="34" customFormat="1" ht="15">
      <c r="A291" s="30"/>
      <c r="B291" s="43"/>
      <c r="C291" s="45"/>
      <c r="D291" s="46"/>
      <c r="E291" s="44" t="s">
        <v>5</v>
      </c>
      <c r="F291" s="31"/>
      <c r="G291" s="32">
        <f>TRUNC(SUM(G287:G290),2)</f>
        <v>58.98</v>
      </c>
      <c r="H291" s="32"/>
      <c r="I291" s="33"/>
      <c r="J291" s="33"/>
      <c r="K291" s="44"/>
    </row>
    <row r="292" spans="1:11" s="107" customFormat="1" ht="60">
      <c r="A292" s="99" t="s">
        <v>892</v>
      </c>
      <c r="B292" s="100" t="s">
        <v>1859</v>
      </c>
      <c r="C292" s="101" t="s">
        <v>302</v>
      </c>
      <c r="D292" s="102" t="s">
        <v>0</v>
      </c>
      <c r="E292" s="103">
        <v>72.18</v>
      </c>
      <c r="F292" s="104">
        <f>TRUNC(G297,2)</f>
        <v>115.2</v>
      </c>
      <c r="G292" s="105">
        <f>TRUNC(F292*1.2247,2)</f>
        <v>141.08</v>
      </c>
      <c r="H292" s="105">
        <f>TRUNC(F292*E292,2)</f>
        <v>8315.13</v>
      </c>
      <c r="I292" s="106">
        <f>TRUNC(E292*G292,2)</f>
        <v>10183.15</v>
      </c>
      <c r="J292" s="106"/>
      <c r="K292" s="103"/>
    </row>
    <row r="293" spans="1:11" s="34" customFormat="1" ht="15">
      <c r="A293" s="30"/>
      <c r="B293" s="43" t="s">
        <v>231</v>
      </c>
      <c r="C293" s="45" t="s">
        <v>232</v>
      </c>
      <c r="D293" s="46" t="s">
        <v>10</v>
      </c>
      <c r="E293" s="44">
        <v>51</v>
      </c>
      <c r="F293" s="31">
        <f>TRUNC(0.7,2)</f>
        <v>0.7</v>
      </c>
      <c r="G293" s="32">
        <f>TRUNC(E293*F293,2)</f>
        <v>35.7</v>
      </c>
      <c r="H293" s="32"/>
      <c r="I293" s="33"/>
      <c r="J293" s="33"/>
      <c r="K293" s="44"/>
    </row>
    <row r="294" spans="1:11" s="34" customFormat="1" ht="30">
      <c r="A294" s="30"/>
      <c r="B294" s="43" t="s">
        <v>33</v>
      </c>
      <c r="C294" s="45" t="s">
        <v>34</v>
      </c>
      <c r="D294" s="46" t="s">
        <v>4</v>
      </c>
      <c r="E294" s="44">
        <v>1.0506</v>
      </c>
      <c r="F294" s="31">
        <f>TRUNC(16.55,2)</f>
        <v>16.55</v>
      </c>
      <c r="G294" s="32">
        <f>TRUNC(E294*F294,2)</f>
        <v>17.38</v>
      </c>
      <c r="H294" s="32"/>
      <c r="I294" s="33"/>
      <c r="J294" s="33"/>
      <c r="K294" s="44"/>
    </row>
    <row r="295" spans="1:11" s="34" customFormat="1" ht="15">
      <c r="A295" s="30"/>
      <c r="B295" s="43" t="s">
        <v>35</v>
      </c>
      <c r="C295" s="45" t="s">
        <v>36</v>
      </c>
      <c r="D295" s="46" t="s">
        <v>4</v>
      </c>
      <c r="E295" s="44">
        <v>2.1115</v>
      </c>
      <c r="F295" s="31">
        <f>TRUNC(22.86,2)</f>
        <v>22.86</v>
      </c>
      <c r="G295" s="32">
        <f>TRUNC(E295*F295,2)</f>
        <v>48.26</v>
      </c>
      <c r="H295" s="32"/>
      <c r="I295" s="33"/>
      <c r="J295" s="33"/>
      <c r="K295" s="44"/>
    </row>
    <row r="296" spans="1:11" s="34" customFormat="1" ht="15">
      <c r="A296" s="30"/>
      <c r="B296" s="43" t="s">
        <v>1857</v>
      </c>
      <c r="C296" s="45" t="s">
        <v>1858</v>
      </c>
      <c r="D296" s="46" t="s">
        <v>1</v>
      </c>
      <c r="E296" s="44">
        <v>0.052</v>
      </c>
      <c r="F296" s="31">
        <f>TRUNC(266.702,2)</f>
        <v>266.7</v>
      </c>
      <c r="G296" s="32">
        <f>TRUNC(E296*F296,2)</f>
        <v>13.86</v>
      </c>
      <c r="H296" s="32"/>
      <c r="I296" s="33"/>
      <c r="J296" s="33"/>
      <c r="K296" s="44"/>
    </row>
    <row r="297" spans="1:11" s="34" customFormat="1" ht="15">
      <c r="A297" s="30"/>
      <c r="B297" s="43"/>
      <c r="C297" s="45"/>
      <c r="D297" s="46"/>
      <c r="E297" s="44" t="s">
        <v>5</v>
      </c>
      <c r="F297" s="31"/>
      <c r="G297" s="32">
        <f>TRUNC(SUM(G293:G296),2)</f>
        <v>115.2</v>
      </c>
      <c r="H297" s="32"/>
      <c r="I297" s="33"/>
      <c r="J297" s="33"/>
      <c r="K297" s="44"/>
    </row>
    <row r="298" spans="1:11" s="107" customFormat="1" ht="30">
      <c r="A298" s="99" t="s">
        <v>893</v>
      </c>
      <c r="B298" s="100" t="s">
        <v>1860</v>
      </c>
      <c r="C298" s="101" t="s">
        <v>305</v>
      </c>
      <c r="D298" s="102" t="s">
        <v>2</v>
      </c>
      <c r="E298" s="103">
        <v>277.12</v>
      </c>
      <c r="F298" s="104">
        <f>TRUNC(G302,2)</f>
        <v>6.69</v>
      </c>
      <c r="G298" s="105">
        <f>TRUNC(F298*1.2247,2)</f>
        <v>8.19</v>
      </c>
      <c r="H298" s="105">
        <f>TRUNC(F298*E298,2)</f>
        <v>1853.93</v>
      </c>
      <c r="I298" s="106">
        <f>TRUNC(E298*G298,2)</f>
        <v>2269.61</v>
      </c>
      <c r="J298" s="106"/>
      <c r="K298" s="103"/>
    </row>
    <row r="299" spans="1:11" s="34" customFormat="1" ht="15">
      <c r="A299" s="30"/>
      <c r="B299" s="43" t="s">
        <v>43</v>
      </c>
      <c r="C299" s="45" t="s">
        <v>32</v>
      </c>
      <c r="D299" s="46" t="s">
        <v>4</v>
      </c>
      <c r="E299" s="44">
        <v>0.03</v>
      </c>
      <c r="F299" s="31">
        <f>TRUNC(23.42,2)</f>
        <v>23.42</v>
      </c>
      <c r="G299" s="32">
        <f>TRUNC(E299*F299,2)</f>
        <v>0.7</v>
      </c>
      <c r="H299" s="32"/>
      <c r="I299" s="33"/>
      <c r="J299" s="33"/>
      <c r="K299" s="44"/>
    </row>
    <row r="300" spans="1:11" s="34" customFormat="1" ht="15">
      <c r="A300" s="30"/>
      <c r="B300" s="43" t="s">
        <v>1842</v>
      </c>
      <c r="C300" s="45" t="s">
        <v>307</v>
      </c>
      <c r="D300" s="46" t="s">
        <v>4</v>
      </c>
      <c r="E300" s="44">
        <v>0.15</v>
      </c>
      <c r="F300" s="31">
        <f>TRUNC(29.96,2)</f>
        <v>29.96</v>
      </c>
      <c r="G300" s="32">
        <f>TRUNC(E300*F300,2)</f>
        <v>4.49</v>
      </c>
      <c r="H300" s="32"/>
      <c r="I300" s="33"/>
      <c r="J300" s="33"/>
      <c r="K300" s="44"/>
    </row>
    <row r="301" spans="1:11" s="34" customFormat="1" ht="45">
      <c r="A301" s="30"/>
      <c r="B301" s="43" t="s">
        <v>1861</v>
      </c>
      <c r="C301" s="45" t="s">
        <v>1862</v>
      </c>
      <c r="D301" s="46" t="s">
        <v>1</v>
      </c>
      <c r="E301" s="44">
        <v>0.0035</v>
      </c>
      <c r="F301" s="31">
        <f>TRUNC(428.67,2)</f>
        <v>428.67</v>
      </c>
      <c r="G301" s="32">
        <f>TRUNC(E301*F301,2)</f>
        <v>1.5</v>
      </c>
      <c r="H301" s="32"/>
      <c r="I301" s="33"/>
      <c r="J301" s="33"/>
      <c r="K301" s="44"/>
    </row>
    <row r="302" spans="1:11" s="34" customFormat="1" ht="15">
      <c r="A302" s="30"/>
      <c r="B302" s="43"/>
      <c r="C302" s="45"/>
      <c r="D302" s="46"/>
      <c r="E302" s="44" t="s">
        <v>5</v>
      </c>
      <c r="F302" s="31"/>
      <c r="G302" s="32">
        <f>TRUNC(SUM(G299:G301),2)</f>
        <v>6.69</v>
      </c>
      <c r="H302" s="32"/>
      <c r="I302" s="33"/>
      <c r="J302" s="33"/>
      <c r="K302" s="44"/>
    </row>
    <row r="303" spans="1:11" s="107" customFormat="1" ht="60">
      <c r="A303" s="99" t="s">
        <v>894</v>
      </c>
      <c r="B303" s="100" t="s">
        <v>1863</v>
      </c>
      <c r="C303" s="101" t="s">
        <v>312</v>
      </c>
      <c r="D303" s="102" t="s">
        <v>0</v>
      </c>
      <c r="E303" s="103">
        <v>34.15</v>
      </c>
      <c r="F303" s="104">
        <f>TRUNC(G307,2)</f>
        <v>413.97</v>
      </c>
      <c r="G303" s="105">
        <f>TRUNC(F303*1.2247,2)</f>
        <v>506.98</v>
      </c>
      <c r="H303" s="105">
        <f>TRUNC(F303*E303,2)</f>
        <v>14137.07</v>
      </c>
      <c r="I303" s="106">
        <f>TRUNC(E303*G303,2)</f>
        <v>17313.36</v>
      </c>
      <c r="J303" s="106"/>
      <c r="K303" s="103"/>
    </row>
    <row r="304" spans="1:11" s="34" customFormat="1" ht="15">
      <c r="A304" s="30"/>
      <c r="B304" s="43" t="s">
        <v>313</v>
      </c>
      <c r="C304" s="45" t="s">
        <v>314</v>
      </c>
      <c r="D304" s="46" t="s">
        <v>0</v>
      </c>
      <c r="E304" s="44">
        <v>1</v>
      </c>
      <c r="F304" s="31">
        <f>TRUNC(298.7,2)</f>
        <v>298.7</v>
      </c>
      <c r="G304" s="32">
        <f>TRUNC(E304*F304,2)</f>
        <v>298.7</v>
      </c>
      <c r="H304" s="32"/>
      <c r="I304" s="33"/>
      <c r="J304" s="33"/>
      <c r="K304" s="44"/>
    </row>
    <row r="305" spans="1:11" s="34" customFormat="1" ht="30">
      <c r="A305" s="30"/>
      <c r="B305" s="43" t="s">
        <v>33</v>
      </c>
      <c r="C305" s="45" t="s">
        <v>34</v>
      </c>
      <c r="D305" s="46" t="s">
        <v>4</v>
      </c>
      <c r="E305" s="44">
        <v>4.12</v>
      </c>
      <c r="F305" s="31">
        <f>TRUNC(16.55,2)</f>
        <v>16.55</v>
      </c>
      <c r="G305" s="32">
        <f>TRUNC(E305*F305,2)</f>
        <v>68.18</v>
      </c>
      <c r="H305" s="32"/>
      <c r="I305" s="33"/>
      <c r="J305" s="33"/>
      <c r="K305" s="44"/>
    </row>
    <row r="306" spans="1:11" s="34" customFormat="1" ht="15">
      <c r="A306" s="30"/>
      <c r="B306" s="43" t="s">
        <v>35</v>
      </c>
      <c r="C306" s="45" t="s">
        <v>36</v>
      </c>
      <c r="D306" s="46" t="s">
        <v>4</v>
      </c>
      <c r="E306" s="44">
        <v>2.06</v>
      </c>
      <c r="F306" s="31">
        <f>TRUNC(22.86,2)</f>
        <v>22.86</v>
      </c>
      <c r="G306" s="32">
        <f>TRUNC(E306*F306,2)</f>
        <v>47.09</v>
      </c>
      <c r="H306" s="32"/>
      <c r="I306" s="33"/>
      <c r="J306" s="33"/>
      <c r="K306" s="44"/>
    </row>
    <row r="307" spans="1:11" s="34" customFormat="1" ht="15">
      <c r="A307" s="30"/>
      <c r="B307" s="43"/>
      <c r="C307" s="45"/>
      <c r="D307" s="46"/>
      <c r="E307" s="44" t="s">
        <v>5</v>
      </c>
      <c r="F307" s="31"/>
      <c r="G307" s="32">
        <f>TRUNC(SUM(G304:G306),2)</f>
        <v>413.97</v>
      </c>
      <c r="H307" s="32"/>
      <c r="I307" s="33"/>
      <c r="J307" s="33"/>
      <c r="K307" s="44"/>
    </row>
    <row r="308" spans="1:11" s="107" customFormat="1" ht="45">
      <c r="A308" s="99" t="s">
        <v>895</v>
      </c>
      <c r="B308" s="100" t="s">
        <v>1864</v>
      </c>
      <c r="C308" s="101" t="s">
        <v>799</v>
      </c>
      <c r="D308" s="102" t="s">
        <v>0</v>
      </c>
      <c r="E308" s="103">
        <f>921.96+956.4+810.87+506</f>
        <v>3195.23</v>
      </c>
      <c r="F308" s="104">
        <f>TRUNC(G313,2)</f>
        <v>30.91</v>
      </c>
      <c r="G308" s="105">
        <f>TRUNC(F308*1.2247,2)</f>
        <v>37.85</v>
      </c>
      <c r="H308" s="105">
        <f>TRUNC(F308*E308,2)</f>
        <v>98764.55</v>
      </c>
      <c r="I308" s="106">
        <f>TRUNC(E308*G308,2)</f>
        <v>120939.45</v>
      </c>
      <c r="J308" s="106">
        <f>921.96+956.4+810.87+506</f>
        <v>3195.23</v>
      </c>
      <c r="K308" s="103"/>
    </row>
    <row r="309" spans="1:11" s="34" customFormat="1" ht="30">
      <c r="A309" s="30"/>
      <c r="B309" s="43" t="s">
        <v>33</v>
      </c>
      <c r="C309" s="45" t="s">
        <v>34</v>
      </c>
      <c r="D309" s="46" t="s">
        <v>4</v>
      </c>
      <c r="E309" s="44">
        <v>0.41200000000000003</v>
      </c>
      <c r="F309" s="31">
        <f>TRUNC(16.55,2)</f>
        <v>16.55</v>
      </c>
      <c r="G309" s="32">
        <f>TRUNC(E309*F309,2)</f>
        <v>6.81</v>
      </c>
      <c r="H309" s="32"/>
      <c r="I309" s="33"/>
      <c r="J309" s="33"/>
      <c r="K309" s="44"/>
    </row>
    <row r="310" spans="1:11" s="34" customFormat="1" ht="15">
      <c r="A310" s="30"/>
      <c r="B310" s="43" t="s">
        <v>35</v>
      </c>
      <c r="C310" s="45" t="s">
        <v>36</v>
      </c>
      <c r="D310" s="46" t="s">
        <v>4</v>
      </c>
      <c r="E310" s="44">
        <v>0.41200000000000003</v>
      </c>
      <c r="F310" s="31">
        <f>TRUNC(22.86,2)</f>
        <v>22.86</v>
      </c>
      <c r="G310" s="32">
        <f>TRUNC(E310*F310,2)</f>
        <v>9.41</v>
      </c>
      <c r="H310" s="32"/>
      <c r="I310" s="33"/>
      <c r="J310" s="33"/>
      <c r="K310" s="44"/>
    </row>
    <row r="311" spans="1:11" s="34" customFormat="1" ht="30">
      <c r="A311" s="30"/>
      <c r="B311" s="43" t="s">
        <v>1865</v>
      </c>
      <c r="C311" s="45" t="s">
        <v>1866</v>
      </c>
      <c r="D311" s="46" t="s">
        <v>0</v>
      </c>
      <c r="E311" s="44">
        <v>1</v>
      </c>
      <c r="F311" s="31">
        <f>TRUNC(5.894,2)</f>
        <v>5.89</v>
      </c>
      <c r="G311" s="32">
        <f>TRUNC(E311*F311,2)</f>
        <v>5.89</v>
      </c>
      <c r="H311" s="32"/>
      <c r="I311" s="33"/>
      <c r="J311" s="33"/>
      <c r="K311" s="44"/>
    </row>
    <row r="312" spans="1:11" s="34" customFormat="1" ht="15">
      <c r="A312" s="30"/>
      <c r="B312" s="43" t="s">
        <v>1771</v>
      </c>
      <c r="C312" s="45" t="s">
        <v>1772</v>
      </c>
      <c r="D312" s="46" t="s">
        <v>1</v>
      </c>
      <c r="E312" s="44">
        <v>0.024</v>
      </c>
      <c r="F312" s="31">
        <f>TRUNC(366.9965,2)</f>
        <v>366.99</v>
      </c>
      <c r="G312" s="32">
        <f>TRUNC(E312*F312,2)</f>
        <v>8.8</v>
      </c>
      <c r="H312" s="32"/>
      <c r="I312" s="33"/>
      <c r="J312" s="33"/>
      <c r="K312" s="44"/>
    </row>
    <row r="313" spans="1:11" s="34" customFormat="1" ht="15">
      <c r="A313" s="30"/>
      <c r="B313" s="43"/>
      <c r="C313" s="45"/>
      <c r="D313" s="46"/>
      <c r="E313" s="44" t="s">
        <v>5</v>
      </c>
      <c r="F313" s="31"/>
      <c r="G313" s="32">
        <f>TRUNC(SUM(G309:G312),2)</f>
        <v>30.91</v>
      </c>
      <c r="H313" s="32"/>
      <c r="I313" s="33"/>
      <c r="J313" s="33"/>
      <c r="K313" s="44"/>
    </row>
    <row r="314" spans="1:11" s="107" customFormat="1" ht="45">
      <c r="A314" s="99" t="s">
        <v>896</v>
      </c>
      <c r="B314" s="100" t="s">
        <v>1870</v>
      </c>
      <c r="C314" s="101" t="s">
        <v>607</v>
      </c>
      <c r="D314" s="102" t="s">
        <v>0</v>
      </c>
      <c r="E314" s="103">
        <f>46.15+38.21</f>
        <v>84.36</v>
      </c>
      <c r="F314" s="104">
        <f>TRUNC(G319+G323,2)</f>
        <v>270.74</v>
      </c>
      <c r="G314" s="105">
        <f>TRUNC(F314*1.2247,2)</f>
        <v>331.57</v>
      </c>
      <c r="H314" s="105">
        <f>TRUNC(F314*E314,2)</f>
        <v>22839.62</v>
      </c>
      <c r="I314" s="106">
        <f>TRUNC(E314*G314,2)</f>
        <v>27971.24</v>
      </c>
      <c r="J314" s="106"/>
      <c r="K314" s="103"/>
    </row>
    <row r="315" spans="1:11" s="58" customFormat="1" ht="28.5">
      <c r="A315" s="54"/>
      <c r="B315" s="52" t="s">
        <v>1867</v>
      </c>
      <c r="C315" s="55" t="s">
        <v>609</v>
      </c>
      <c r="D315" s="56" t="s">
        <v>10</v>
      </c>
      <c r="E315" s="57">
        <v>0</v>
      </c>
      <c r="F315" s="53">
        <f>TRUNC(25.46,2)</f>
        <v>25.46</v>
      </c>
      <c r="G315" s="50">
        <f>TRUNC(E315*F315,2)</f>
        <v>0</v>
      </c>
      <c r="H315" s="50"/>
      <c r="I315" s="51"/>
      <c r="J315" s="51"/>
      <c r="K315" s="57"/>
    </row>
    <row r="316" spans="1:11" s="34" customFormat="1" ht="15">
      <c r="A316" s="30"/>
      <c r="B316" s="43" t="s">
        <v>43</v>
      </c>
      <c r="C316" s="45" t="s">
        <v>32</v>
      </c>
      <c r="D316" s="46" t="s">
        <v>4</v>
      </c>
      <c r="E316" s="44">
        <v>1.028</v>
      </c>
      <c r="F316" s="31">
        <f>TRUNC(23.42,2)</f>
        <v>23.42</v>
      </c>
      <c r="G316" s="32">
        <f>TRUNC(E316*F316,2)</f>
        <v>24.07</v>
      </c>
      <c r="H316" s="32"/>
      <c r="I316" s="33"/>
      <c r="J316" s="33"/>
      <c r="K316" s="44"/>
    </row>
    <row r="317" spans="1:11" s="34" customFormat="1" ht="15">
      <c r="A317" s="30"/>
      <c r="B317" s="43" t="s">
        <v>1842</v>
      </c>
      <c r="C317" s="45" t="s">
        <v>307</v>
      </c>
      <c r="D317" s="46" t="s">
        <v>4</v>
      </c>
      <c r="E317" s="44">
        <v>2.055</v>
      </c>
      <c r="F317" s="31">
        <f>TRUNC(29.96,2)</f>
        <v>29.96</v>
      </c>
      <c r="G317" s="32">
        <f>TRUNC(E317*F317,2)</f>
        <v>61.56</v>
      </c>
      <c r="H317" s="32"/>
      <c r="I317" s="33"/>
      <c r="J317" s="33"/>
      <c r="K317" s="44"/>
    </row>
    <row r="318" spans="1:11" s="34" customFormat="1" ht="30">
      <c r="A318" s="30"/>
      <c r="B318" s="43" t="s">
        <v>1868</v>
      </c>
      <c r="C318" s="45" t="s">
        <v>1869</v>
      </c>
      <c r="D318" s="46" t="s">
        <v>1</v>
      </c>
      <c r="E318" s="44">
        <v>0.01</v>
      </c>
      <c r="F318" s="31">
        <f>TRUNC(449.98,2)</f>
        <v>449.98</v>
      </c>
      <c r="G318" s="32">
        <f>TRUNC(E318*F318,2)</f>
        <v>4.49</v>
      </c>
      <c r="H318" s="32"/>
      <c r="I318" s="33"/>
      <c r="J318" s="33"/>
      <c r="K318" s="44"/>
    </row>
    <row r="319" spans="1:11" s="34" customFormat="1" ht="15">
      <c r="A319" s="30"/>
      <c r="B319" s="43"/>
      <c r="C319" s="45"/>
      <c r="D319" s="46"/>
      <c r="E319" s="44" t="s">
        <v>5</v>
      </c>
      <c r="F319" s="31"/>
      <c r="G319" s="32">
        <f>TRUNC(SUM(G315:G318),2)</f>
        <v>90.12</v>
      </c>
      <c r="H319" s="32"/>
      <c r="I319" s="33"/>
      <c r="J319" s="33"/>
      <c r="K319" s="44"/>
    </row>
    <row r="320" spans="1:11" s="34" customFormat="1" ht="15">
      <c r="A320" s="30"/>
      <c r="B320" s="52" t="s">
        <v>827</v>
      </c>
      <c r="C320" s="55" t="s">
        <v>828</v>
      </c>
      <c r="D320" s="46" t="s">
        <v>10</v>
      </c>
      <c r="E320" s="44">
        <v>6.25</v>
      </c>
      <c r="F320" s="44">
        <v>28.9</v>
      </c>
      <c r="G320" s="32">
        <f>TRUNC(E320*F320,2)</f>
        <v>180.62</v>
      </c>
      <c r="H320" s="32"/>
      <c r="I320" s="33"/>
      <c r="J320" s="33"/>
      <c r="K320" s="44"/>
    </row>
    <row r="321" spans="1:11" s="34" customFormat="1" ht="28.5">
      <c r="A321" s="30"/>
      <c r="B321" s="52" t="s">
        <v>827</v>
      </c>
      <c r="C321" s="55" t="s">
        <v>829</v>
      </c>
      <c r="D321" s="46" t="s">
        <v>10</v>
      </c>
      <c r="E321" s="44">
        <v>6.25</v>
      </c>
      <c r="F321" s="44">
        <v>17.83</v>
      </c>
      <c r="G321" s="32">
        <f>TRUNC(E321*F321,2)</f>
        <v>111.43</v>
      </c>
      <c r="H321" s="32"/>
      <c r="I321" s="33"/>
      <c r="J321" s="33"/>
      <c r="K321" s="44"/>
    </row>
    <row r="322" spans="1:11" s="34" customFormat="1" ht="14.25" customHeight="1">
      <c r="A322" s="30"/>
      <c r="B322" s="52" t="s">
        <v>827</v>
      </c>
      <c r="C322" s="55" t="s">
        <v>830</v>
      </c>
      <c r="D322" s="46" t="s">
        <v>10</v>
      </c>
      <c r="E322" s="44">
        <v>6.25</v>
      </c>
      <c r="F322" s="44">
        <v>49.9</v>
      </c>
      <c r="G322" s="32">
        <f>TRUNC(E322*F322,2)</f>
        <v>311.87</v>
      </c>
      <c r="H322" s="32"/>
      <c r="I322" s="33"/>
      <c r="J322" s="33"/>
      <c r="K322" s="44"/>
    </row>
    <row r="323" spans="1:11" s="34" customFormat="1" ht="14.25" customHeight="1">
      <c r="A323" s="30"/>
      <c r="B323" s="43"/>
      <c r="C323" s="45"/>
      <c r="D323" s="46"/>
      <c r="E323" s="44"/>
      <c r="F323" s="31" t="s">
        <v>831</v>
      </c>
      <c r="G323" s="32">
        <f>G320</f>
        <v>180.62</v>
      </c>
      <c r="H323" s="32"/>
      <c r="I323" s="33"/>
      <c r="J323" s="33"/>
      <c r="K323" s="44"/>
    </row>
    <row r="324" spans="1:11" s="107" customFormat="1" ht="45">
      <c r="A324" s="99" t="s">
        <v>897</v>
      </c>
      <c r="B324" s="100" t="s">
        <v>1871</v>
      </c>
      <c r="C324" s="101" t="s">
        <v>325</v>
      </c>
      <c r="D324" s="102" t="s">
        <v>0</v>
      </c>
      <c r="E324" s="103">
        <v>410</v>
      </c>
      <c r="F324" s="104">
        <f>TRUNC(G330,2)</f>
        <v>34.63</v>
      </c>
      <c r="G324" s="105">
        <f>TRUNC(F324*1.2247,2)</f>
        <v>42.41</v>
      </c>
      <c r="H324" s="105">
        <f>TRUNC(F324*E324,2)</f>
        <v>14198.3</v>
      </c>
      <c r="I324" s="106">
        <f>TRUNC(E324*G324,2)</f>
        <v>17388.1</v>
      </c>
      <c r="J324" s="106"/>
      <c r="K324" s="103"/>
    </row>
    <row r="325" spans="1:11" s="34" customFormat="1" ht="15">
      <c r="A325" s="30"/>
      <c r="B325" s="43" t="s">
        <v>1872</v>
      </c>
      <c r="C325" s="45" t="s">
        <v>327</v>
      </c>
      <c r="D325" s="46" t="s">
        <v>253</v>
      </c>
      <c r="E325" s="44">
        <v>0.21</v>
      </c>
      <c r="F325" s="31">
        <f>TRUNC(12.24,2)</f>
        <v>12.24</v>
      </c>
      <c r="G325" s="32">
        <f>TRUNC(E325*F325,2)</f>
        <v>2.57</v>
      </c>
      <c r="H325" s="32"/>
      <c r="I325" s="33"/>
      <c r="J325" s="33"/>
      <c r="K325" s="44"/>
    </row>
    <row r="326" spans="1:11" s="34" customFormat="1" ht="15">
      <c r="A326" s="30"/>
      <c r="B326" s="43" t="s">
        <v>1873</v>
      </c>
      <c r="C326" s="45" t="s">
        <v>329</v>
      </c>
      <c r="D326" s="46" t="s">
        <v>3</v>
      </c>
      <c r="E326" s="44">
        <v>0.5</v>
      </c>
      <c r="F326" s="31">
        <f>TRUNC(0.6,2)</f>
        <v>0.6</v>
      </c>
      <c r="G326" s="32">
        <f>TRUNC(E326*F326,2)</f>
        <v>0.3</v>
      </c>
      <c r="H326" s="32"/>
      <c r="I326" s="33"/>
      <c r="J326" s="33"/>
      <c r="K326" s="44"/>
    </row>
    <row r="327" spans="1:11" s="34" customFormat="1" ht="15">
      <c r="A327" s="30"/>
      <c r="B327" s="43" t="s">
        <v>43</v>
      </c>
      <c r="C327" s="45" t="s">
        <v>32</v>
      </c>
      <c r="D327" s="46" t="s">
        <v>4</v>
      </c>
      <c r="E327" s="44">
        <v>0.123</v>
      </c>
      <c r="F327" s="31">
        <f>TRUNC(23.42,2)</f>
        <v>23.42</v>
      </c>
      <c r="G327" s="32">
        <f>TRUNC(E327*F327,2)</f>
        <v>2.88</v>
      </c>
      <c r="H327" s="32"/>
      <c r="I327" s="33"/>
      <c r="J327" s="33"/>
      <c r="K327" s="44"/>
    </row>
    <row r="328" spans="1:11" s="34" customFormat="1" ht="15">
      <c r="A328" s="30"/>
      <c r="B328" s="43" t="s">
        <v>1842</v>
      </c>
      <c r="C328" s="45" t="s">
        <v>307</v>
      </c>
      <c r="D328" s="46" t="s">
        <v>4</v>
      </c>
      <c r="E328" s="44">
        <v>0.245</v>
      </c>
      <c r="F328" s="31">
        <f>TRUNC(29.96,2)</f>
        <v>29.96</v>
      </c>
      <c r="G328" s="32">
        <f>TRUNC(E328*F328,2)</f>
        <v>7.34</v>
      </c>
      <c r="H328" s="32"/>
      <c r="I328" s="33"/>
      <c r="J328" s="33"/>
      <c r="K328" s="44"/>
    </row>
    <row r="329" spans="1:11" s="34" customFormat="1" ht="30">
      <c r="A329" s="30"/>
      <c r="B329" s="43" t="s">
        <v>1874</v>
      </c>
      <c r="C329" s="45" t="s">
        <v>1875</v>
      </c>
      <c r="D329" s="46" t="s">
        <v>1</v>
      </c>
      <c r="E329" s="44">
        <v>0.0431</v>
      </c>
      <c r="F329" s="31">
        <f>TRUNC(499.93,2)</f>
        <v>499.93</v>
      </c>
      <c r="G329" s="32">
        <f>TRUNC(E329*F329,2)</f>
        <v>21.54</v>
      </c>
      <c r="H329" s="32"/>
      <c r="I329" s="33"/>
      <c r="J329" s="33"/>
      <c r="K329" s="44"/>
    </row>
    <row r="330" spans="1:11" s="34" customFormat="1" ht="15">
      <c r="A330" s="30"/>
      <c r="B330" s="43"/>
      <c r="C330" s="45"/>
      <c r="D330" s="46"/>
      <c r="E330" s="44" t="s">
        <v>5</v>
      </c>
      <c r="F330" s="31"/>
      <c r="G330" s="32">
        <f>TRUNC(SUM(G325:G329),2)</f>
        <v>34.63</v>
      </c>
      <c r="H330" s="32"/>
      <c r="I330" s="33"/>
      <c r="J330" s="33"/>
      <c r="K330" s="44"/>
    </row>
    <row r="331" spans="1:11" s="107" customFormat="1" ht="45">
      <c r="A331" s="99" t="s">
        <v>898</v>
      </c>
      <c r="B331" s="100" t="s">
        <v>1880</v>
      </c>
      <c r="C331" s="101" t="s">
        <v>612</v>
      </c>
      <c r="D331" s="102" t="s">
        <v>0</v>
      </c>
      <c r="E331" s="103">
        <v>701.95</v>
      </c>
      <c r="F331" s="104">
        <f>TRUNC(G337+G341,2)</f>
        <v>82.96</v>
      </c>
      <c r="G331" s="105">
        <f>TRUNC(F331*1.2247,2)</f>
        <v>101.6</v>
      </c>
      <c r="H331" s="105">
        <f>TRUNC(F331*E331,2)</f>
        <v>58233.77</v>
      </c>
      <c r="I331" s="106">
        <f>TRUNC(E331*G331,2)</f>
        <v>71318.12</v>
      </c>
      <c r="J331" s="106"/>
      <c r="K331" s="103"/>
    </row>
    <row r="332" spans="1:11" s="34" customFormat="1" ht="15">
      <c r="A332" s="30"/>
      <c r="B332" s="43" t="s">
        <v>1876</v>
      </c>
      <c r="C332" s="45" t="s">
        <v>317</v>
      </c>
      <c r="D332" s="46" t="s">
        <v>3</v>
      </c>
      <c r="E332" s="44">
        <v>0.29</v>
      </c>
      <c r="F332" s="31">
        <f>TRUNC(3.46,2)</f>
        <v>3.46</v>
      </c>
      <c r="G332" s="32">
        <f>TRUNC(E332*F332,2)</f>
        <v>1</v>
      </c>
      <c r="H332" s="32"/>
      <c r="I332" s="33"/>
      <c r="J332" s="33"/>
      <c r="K332" s="44"/>
    </row>
    <row r="333" spans="1:11" s="34" customFormat="1" ht="15">
      <c r="A333" s="30"/>
      <c r="B333" s="43" t="s">
        <v>1877</v>
      </c>
      <c r="C333" s="45" t="s">
        <v>319</v>
      </c>
      <c r="D333" s="46" t="s">
        <v>3</v>
      </c>
      <c r="E333" s="44">
        <v>4.86</v>
      </c>
      <c r="F333" s="31">
        <f>TRUNC(0.59,2)</f>
        <v>0.59</v>
      </c>
      <c r="G333" s="32">
        <f>TRUNC(E333*F333,2)</f>
        <v>2.86</v>
      </c>
      <c r="H333" s="32"/>
      <c r="I333" s="33"/>
      <c r="J333" s="33"/>
      <c r="K333" s="44"/>
    </row>
    <row r="334" spans="1:11" s="58" customFormat="1" ht="28.5">
      <c r="A334" s="54"/>
      <c r="B334" s="52" t="s">
        <v>1878</v>
      </c>
      <c r="C334" s="55" t="s">
        <v>614</v>
      </c>
      <c r="D334" s="56" t="s">
        <v>0</v>
      </c>
      <c r="E334" s="57">
        <v>0</v>
      </c>
      <c r="F334" s="53">
        <f>TRUNC(32.99,2)</f>
        <v>32.99</v>
      </c>
      <c r="G334" s="50">
        <f>TRUNC(E334*F334,2)</f>
        <v>0</v>
      </c>
      <c r="H334" s="50"/>
      <c r="I334" s="51"/>
      <c r="J334" s="51"/>
      <c r="K334" s="57"/>
    </row>
    <row r="335" spans="1:11" s="34" customFormat="1" ht="15">
      <c r="A335" s="30"/>
      <c r="B335" s="43" t="s">
        <v>43</v>
      </c>
      <c r="C335" s="45" t="s">
        <v>32</v>
      </c>
      <c r="D335" s="46" t="s">
        <v>4</v>
      </c>
      <c r="E335" s="44">
        <v>0.47</v>
      </c>
      <c r="F335" s="31">
        <f>TRUNC(23.42,2)</f>
        <v>23.42</v>
      </c>
      <c r="G335" s="32">
        <f>TRUNC(E335*F335,2)</f>
        <v>11</v>
      </c>
      <c r="H335" s="32"/>
      <c r="I335" s="33"/>
      <c r="J335" s="33"/>
      <c r="K335" s="44"/>
    </row>
    <row r="336" spans="1:11" s="34" customFormat="1" ht="15">
      <c r="A336" s="30"/>
      <c r="B336" s="43" t="s">
        <v>1879</v>
      </c>
      <c r="C336" s="45" t="s">
        <v>323</v>
      </c>
      <c r="D336" s="46" t="s">
        <v>4</v>
      </c>
      <c r="E336" s="44">
        <v>0.93</v>
      </c>
      <c r="F336" s="31">
        <f>TRUNC(31.58,2)</f>
        <v>31.58</v>
      </c>
      <c r="G336" s="32">
        <f>TRUNC(E336*F336,2)</f>
        <v>29.36</v>
      </c>
      <c r="H336" s="32"/>
      <c r="I336" s="33"/>
      <c r="J336" s="33"/>
      <c r="K336" s="44"/>
    </row>
    <row r="337" spans="1:11" s="34" customFormat="1" ht="15">
      <c r="A337" s="30"/>
      <c r="B337" s="52"/>
      <c r="C337" s="45"/>
      <c r="D337" s="46"/>
      <c r="E337" s="44" t="s">
        <v>5</v>
      </c>
      <c r="F337" s="31"/>
      <c r="G337" s="32">
        <f>TRUNC(SUM(G332:G336),2)</f>
        <v>44.22</v>
      </c>
      <c r="H337" s="32"/>
      <c r="I337" s="33"/>
      <c r="J337" s="33"/>
      <c r="K337" s="44"/>
    </row>
    <row r="338" spans="1:11" s="34" customFormat="1" ht="29.25">
      <c r="A338" s="30"/>
      <c r="B338" s="52" t="s">
        <v>827</v>
      </c>
      <c r="C338" s="45" t="s">
        <v>804</v>
      </c>
      <c r="D338" s="46" t="s">
        <v>802</v>
      </c>
      <c r="E338" s="44">
        <v>1.05</v>
      </c>
      <c r="F338" s="31">
        <v>44.9</v>
      </c>
      <c r="G338" s="32">
        <f>TRUNC(E338*F338,2)</f>
        <v>47.14</v>
      </c>
      <c r="H338" s="32"/>
      <c r="I338" s="33"/>
      <c r="J338" s="33"/>
      <c r="K338" s="44"/>
    </row>
    <row r="339" spans="1:11" s="34" customFormat="1" ht="29.25">
      <c r="A339" s="30"/>
      <c r="B339" s="52" t="s">
        <v>827</v>
      </c>
      <c r="C339" s="45" t="s">
        <v>803</v>
      </c>
      <c r="D339" s="46" t="s">
        <v>802</v>
      </c>
      <c r="E339" s="44">
        <v>1.05</v>
      </c>
      <c r="F339" s="31">
        <v>34.9</v>
      </c>
      <c r="G339" s="32">
        <f>TRUNC(E339*F339,2)</f>
        <v>36.64</v>
      </c>
      <c r="H339" s="32"/>
      <c r="I339" s="33"/>
      <c r="J339" s="33"/>
      <c r="K339" s="44"/>
    </row>
    <row r="340" spans="1:11" s="34" customFormat="1" ht="29.25">
      <c r="A340" s="30"/>
      <c r="B340" s="52" t="s">
        <v>827</v>
      </c>
      <c r="C340" s="45" t="s">
        <v>806</v>
      </c>
      <c r="D340" s="46" t="s">
        <v>802</v>
      </c>
      <c r="E340" s="44">
        <v>1.05</v>
      </c>
      <c r="F340" s="31">
        <v>36.9</v>
      </c>
      <c r="G340" s="32">
        <f>TRUNC(E340*F340,2)</f>
        <v>38.74</v>
      </c>
      <c r="H340" s="32"/>
      <c r="I340" s="33"/>
      <c r="J340" s="33"/>
      <c r="K340" s="44"/>
    </row>
    <row r="341" spans="1:11" s="34" customFormat="1" ht="15">
      <c r="A341" s="30"/>
      <c r="B341" s="43"/>
      <c r="C341" s="45"/>
      <c r="D341" s="46"/>
      <c r="E341" s="44"/>
      <c r="F341" s="53" t="s">
        <v>805</v>
      </c>
      <c r="G341" s="50">
        <v>38.74</v>
      </c>
      <c r="H341" s="32"/>
      <c r="I341" s="33"/>
      <c r="J341" s="33"/>
      <c r="K341" s="44"/>
    </row>
    <row r="342" spans="1:11" s="107" customFormat="1" ht="60">
      <c r="A342" s="99" t="s">
        <v>899</v>
      </c>
      <c r="B342" s="100" t="s">
        <v>1881</v>
      </c>
      <c r="C342" s="101" t="s">
        <v>810</v>
      </c>
      <c r="D342" s="102" t="s">
        <v>0</v>
      </c>
      <c r="E342" s="103">
        <v>220.01</v>
      </c>
      <c r="F342" s="104">
        <f>TRUNC(G350,2)</f>
        <v>100.47</v>
      </c>
      <c r="G342" s="105">
        <f>TRUNC(F342*1.2247,2)</f>
        <v>123.04</v>
      </c>
      <c r="H342" s="105">
        <f>TRUNC(F342*E342,2)</f>
        <v>22104.4</v>
      </c>
      <c r="I342" s="106">
        <f>TRUNC(E342*G342,2)</f>
        <v>27070.03</v>
      </c>
      <c r="J342" s="106"/>
      <c r="K342" s="103"/>
    </row>
    <row r="343" spans="1:11" s="34" customFormat="1" ht="15">
      <c r="A343" s="30"/>
      <c r="B343" s="43" t="s">
        <v>811</v>
      </c>
      <c r="C343" s="45" t="s">
        <v>812</v>
      </c>
      <c r="D343" s="46" t="s">
        <v>10</v>
      </c>
      <c r="E343" s="44">
        <v>0.32</v>
      </c>
      <c r="F343" s="31">
        <f>TRUNC(14.08,2)</f>
        <v>14.08</v>
      </c>
      <c r="G343" s="32">
        <f aca="true" t="shared" si="18" ref="G343:G349">TRUNC(E343*F343,2)</f>
        <v>4.5</v>
      </c>
      <c r="H343" s="32"/>
      <c r="I343" s="33"/>
      <c r="J343" s="33"/>
      <c r="K343" s="44"/>
    </row>
    <row r="344" spans="1:11" s="34" customFormat="1" ht="15">
      <c r="A344" s="30"/>
      <c r="B344" s="43" t="s">
        <v>813</v>
      </c>
      <c r="C344" s="45" t="s">
        <v>814</v>
      </c>
      <c r="D344" s="46" t="s">
        <v>10</v>
      </c>
      <c r="E344" s="44">
        <v>0.2</v>
      </c>
      <c r="F344" s="31">
        <f>TRUNC(19.6,2)</f>
        <v>19.6</v>
      </c>
      <c r="G344" s="32">
        <f t="shared" si="18"/>
        <v>3.92</v>
      </c>
      <c r="H344" s="32"/>
      <c r="I344" s="33"/>
      <c r="J344" s="33"/>
      <c r="K344" s="44"/>
    </row>
    <row r="345" spans="1:11" s="34" customFormat="1" ht="30">
      <c r="A345" s="30"/>
      <c r="B345" s="43" t="s">
        <v>815</v>
      </c>
      <c r="C345" s="45" t="s">
        <v>816</v>
      </c>
      <c r="D345" s="46" t="s">
        <v>0</v>
      </c>
      <c r="E345" s="44">
        <v>1.1</v>
      </c>
      <c r="F345" s="31">
        <f>TRUNC(30.56,2)</f>
        <v>30.56</v>
      </c>
      <c r="G345" s="32">
        <f t="shared" si="18"/>
        <v>33.61</v>
      </c>
      <c r="H345" s="32"/>
      <c r="I345" s="33"/>
      <c r="J345" s="33"/>
      <c r="K345" s="44"/>
    </row>
    <row r="346" spans="1:11" s="34" customFormat="1" ht="30">
      <c r="A346" s="30"/>
      <c r="B346" s="43" t="s">
        <v>817</v>
      </c>
      <c r="C346" s="45" t="s">
        <v>818</v>
      </c>
      <c r="D346" s="46" t="s">
        <v>3</v>
      </c>
      <c r="E346" s="44">
        <v>32</v>
      </c>
      <c r="F346" s="31">
        <f>TRUNC(0.45,2)</f>
        <v>0.45</v>
      </c>
      <c r="G346" s="32">
        <f t="shared" si="18"/>
        <v>14.4</v>
      </c>
      <c r="H346" s="32"/>
      <c r="I346" s="33"/>
      <c r="J346" s="33"/>
      <c r="K346" s="44"/>
    </row>
    <row r="347" spans="1:11" s="34" customFormat="1" ht="30">
      <c r="A347" s="30"/>
      <c r="B347" s="43" t="s">
        <v>33</v>
      </c>
      <c r="C347" s="45" t="s">
        <v>34</v>
      </c>
      <c r="D347" s="46" t="s">
        <v>4</v>
      </c>
      <c r="E347" s="44">
        <v>0.927</v>
      </c>
      <c r="F347" s="31">
        <f>TRUNC(16.55,2)</f>
        <v>16.55</v>
      </c>
      <c r="G347" s="32">
        <f t="shared" si="18"/>
        <v>15.34</v>
      </c>
      <c r="H347" s="32"/>
      <c r="I347" s="33"/>
      <c r="J347" s="33"/>
      <c r="K347" s="44"/>
    </row>
    <row r="348" spans="1:11" s="34" customFormat="1" ht="15">
      <c r="A348" s="30"/>
      <c r="B348" s="43" t="s">
        <v>1882</v>
      </c>
      <c r="C348" s="45" t="s">
        <v>1883</v>
      </c>
      <c r="D348" s="46" t="s">
        <v>4</v>
      </c>
      <c r="E348" s="44">
        <v>0.927</v>
      </c>
      <c r="F348" s="31">
        <f>TRUNC(24.61,2)</f>
        <v>24.61</v>
      </c>
      <c r="G348" s="32">
        <f t="shared" si="18"/>
        <v>22.81</v>
      </c>
      <c r="H348" s="32"/>
      <c r="I348" s="33"/>
      <c r="J348" s="33"/>
      <c r="K348" s="44"/>
    </row>
    <row r="349" spans="1:11" s="34" customFormat="1" ht="30">
      <c r="A349" s="30"/>
      <c r="B349" s="43" t="s">
        <v>1865</v>
      </c>
      <c r="C349" s="45" t="s">
        <v>1866</v>
      </c>
      <c r="D349" s="46" t="s">
        <v>0</v>
      </c>
      <c r="E349" s="44">
        <v>1</v>
      </c>
      <c r="F349" s="31">
        <f>TRUNC(5.894,2)</f>
        <v>5.89</v>
      </c>
      <c r="G349" s="32">
        <f t="shared" si="18"/>
        <v>5.89</v>
      </c>
      <c r="H349" s="32"/>
      <c r="I349" s="33"/>
      <c r="J349" s="33"/>
      <c r="K349" s="44"/>
    </row>
    <row r="350" spans="1:11" s="34" customFormat="1" ht="15">
      <c r="A350" s="30"/>
      <c r="B350" s="43"/>
      <c r="C350" s="45"/>
      <c r="D350" s="46"/>
      <c r="E350" s="44" t="s">
        <v>5</v>
      </c>
      <c r="F350" s="31"/>
      <c r="G350" s="32">
        <f>TRUNC(SUM(G343:G349),2)</f>
        <v>100.47</v>
      </c>
      <c r="H350" s="32"/>
      <c r="I350" s="33"/>
      <c r="J350" s="33"/>
      <c r="K350" s="44"/>
    </row>
    <row r="351" spans="1:11" s="107" customFormat="1" ht="45">
      <c r="A351" s="99" t="s">
        <v>900</v>
      </c>
      <c r="B351" s="100" t="s">
        <v>1886</v>
      </c>
      <c r="C351" s="101" t="s">
        <v>1885</v>
      </c>
      <c r="D351" s="102" t="s">
        <v>0</v>
      </c>
      <c r="E351" s="103">
        <v>148.89</v>
      </c>
      <c r="F351" s="104">
        <f>TRUNC(G357,2)</f>
        <v>62.36</v>
      </c>
      <c r="G351" s="105">
        <f>TRUNC(F351*1.2247,2)</f>
        <v>76.37</v>
      </c>
      <c r="H351" s="105">
        <f>TRUNC(F351*E351,2)</f>
        <v>9284.78</v>
      </c>
      <c r="I351" s="106">
        <f>TRUNC(E351*G351,2)</f>
        <v>11370.72</v>
      </c>
      <c r="J351" s="106">
        <v>148.89</v>
      </c>
      <c r="K351" s="103"/>
    </row>
    <row r="352" spans="1:11" s="34" customFormat="1" ht="15">
      <c r="A352" s="30"/>
      <c r="B352" s="43" t="s">
        <v>1876</v>
      </c>
      <c r="C352" s="45" t="s">
        <v>317</v>
      </c>
      <c r="D352" s="46" t="s">
        <v>3</v>
      </c>
      <c r="E352" s="44">
        <v>0.24</v>
      </c>
      <c r="F352" s="31">
        <f>TRUNC(3.46,2)</f>
        <v>3.46</v>
      </c>
      <c r="G352" s="32">
        <f>TRUNC(E352*F352,2)</f>
        <v>0.83</v>
      </c>
      <c r="H352" s="32"/>
      <c r="I352" s="33"/>
      <c r="J352" s="33"/>
      <c r="K352" s="44"/>
    </row>
    <row r="353" spans="1:11" s="34" customFormat="1" ht="15">
      <c r="A353" s="30"/>
      <c r="B353" s="43" t="s">
        <v>1877</v>
      </c>
      <c r="C353" s="45" t="s">
        <v>319</v>
      </c>
      <c r="D353" s="46" t="s">
        <v>3</v>
      </c>
      <c r="E353" s="44">
        <v>4.86</v>
      </c>
      <c r="F353" s="31">
        <f>TRUNC(0.59,2)</f>
        <v>0.59</v>
      </c>
      <c r="G353" s="32">
        <f>TRUNC(E353*F353,2)</f>
        <v>2.86</v>
      </c>
      <c r="H353" s="32"/>
      <c r="I353" s="33"/>
      <c r="J353" s="33"/>
      <c r="K353" s="44"/>
    </row>
    <row r="354" spans="1:11" s="34" customFormat="1" ht="30">
      <c r="A354" s="30"/>
      <c r="B354" s="43" t="s">
        <v>1884</v>
      </c>
      <c r="C354" s="45" t="s">
        <v>321</v>
      </c>
      <c r="D354" s="46" t="s">
        <v>0</v>
      </c>
      <c r="E354" s="44">
        <v>1.08</v>
      </c>
      <c r="F354" s="31">
        <f>TRUNC(29.99,2)</f>
        <v>29.99</v>
      </c>
      <c r="G354" s="32">
        <f>TRUNC(E354*F354,2)</f>
        <v>32.38</v>
      </c>
      <c r="H354" s="32"/>
      <c r="I354" s="33"/>
      <c r="J354" s="33"/>
      <c r="K354" s="44"/>
    </row>
    <row r="355" spans="1:11" s="34" customFormat="1" ht="15">
      <c r="A355" s="30"/>
      <c r="B355" s="43" t="s">
        <v>43</v>
      </c>
      <c r="C355" s="45" t="s">
        <v>32</v>
      </c>
      <c r="D355" s="46" t="s">
        <v>4</v>
      </c>
      <c r="E355" s="44">
        <v>0.26</v>
      </c>
      <c r="F355" s="31">
        <f>TRUNC(23.42,2)</f>
        <v>23.42</v>
      </c>
      <c r="G355" s="32">
        <f>TRUNC(E355*F355,2)</f>
        <v>6.08</v>
      </c>
      <c r="H355" s="32"/>
      <c r="I355" s="33"/>
      <c r="J355" s="33"/>
      <c r="K355" s="44"/>
    </row>
    <row r="356" spans="1:11" s="34" customFormat="1" ht="15">
      <c r="A356" s="30"/>
      <c r="B356" s="43" t="s">
        <v>1879</v>
      </c>
      <c r="C356" s="45" t="s">
        <v>323</v>
      </c>
      <c r="D356" s="46" t="s">
        <v>4</v>
      </c>
      <c r="E356" s="44">
        <v>0.64</v>
      </c>
      <c r="F356" s="31">
        <f>TRUNC(31.58,2)</f>
        <v>31.58</v>
      </c>
      <c r="G356" s="32">
        <f>TRUNC(E356*F356,2)</f>
        <v>20.21</v>
      </c>
      <c r="H356" s="32"/>
      <c r="I356" s="33"/>
      <c r="J356" s="33"/>
      <c r="K356" s="44"/>
    </row>
    <row r="357" spans="1:11" s="34" customFormat="1" ht="15">
      <c r="A357" s="30"/>
      <c r="B357" s="43"/>
      <c r="C357" s="45"/>
      <c r="D357" s="46"/>
      <c r="E357" s="44" t="s">
        <v>5</v>
      </c>
      <c r="F357" s="31"/>
      <c r="G357" s="32">
        <f>TRUNC(SUM(G352:G356),2)</f>
        <v>62.36</v>
      </c>
      <c r="H357" s="32"/>
      <c r="I357" s="33"/>
      <c r="J357" s="33"/>
      <c r="K357" s="44"/>
    </row>
    <row r="358" spans="1:11" s="107" customFormat="1" ht="75">
      <c r="A358" s="99" t="s">
        <v>901</v>
      </c>
      <c r="B358" s="100" t="s">
        <v>1887</v>
      </c>
      <c r="C358" s="101" t="s">
        <v>333</v>
      </c>
      <c r="D358" s="102" t="s">
        <v>0</v>
      </c>
      <c r="E358" s="103">
        <v>410.81</v>
      </c>
      <c r="F358" s="104">
        <f>TRUNC(G367,2)</f>
        <v>42.24</v>
      </c>
      <c r="G358" s="105">
        <f>TRUNC(F358*1.2247,2)</f>
        <v>51.73</v>
      </c>
      <c r="H358" s="105">
        <f>TRUNC(F358*E358,2)</f>
        <v>17352.61</v>
      </c>
      <c r="I358" s="106">
        <f>TRUNC(E358*G358,2)</f>
        <v>21251.2</v>
      </c>
      <c r="J358" s="106"/>
      <c r="K358" s="103"/>
    </row>
    <row r="359" spans="1:11" s="34" customFormat="1" ht="30">
      <c r="A359" s="30"/>
      <c r="B359" s="43" t="s">
        <v>33</v>
      </c>
      <c r="C359" s="45" t="s">
        <v>34</v>
      </c>
      <c r="D359" s="46" t="s">
        <v>4</v>
      </c>
      <c r="E359" s="44">
        <v>0.13390000000000002</v>
      </c>
      <c r="F359" s="31">
        <f>TRUNC(16.55,2)</f>
        <v>16.55</v>
      </c>
      <c r="G359" s="32">
        <f aca="true" t="shared" si="19" ref="G359:G366">TRUNC(E359*F359,2)</f>
        <v>2.21</v>
      </c>
      <c r="H359" s="32"/>
      <c r="I359" s="33"/>
      <c r="J359" s="33"/>
      <c r="K359" s="44"/>
    </row>
    <row r="360" spans="1:11" s="34" customFormat="1" ht="30">
      <c r="A360" s="30"/>
      <c r="B360" s="43" t="s">
        <v>1888</v>
      </c>
      <c r="C360" s="45" t="s">
        <v>1889</v>
      </c>
      <c r="D360" s="46" t="s">
        <v>4</v>
      </c>
      <c r="E360" s="44">
        <v>0.20600000000000002</v>
      </c>
      <c r="F360" s="31">
        <f>TRUNC(22.86,2)</f>
        <v>22.86</v>
      </c>
      <c r="G360" s="32">
        <f t="shared" si="19"/>
        <v>4.7</v>
      </c>
      <c r="H360" s="32"/>
      <c r="I360" s="33"/>
      <c r="J360" s="33"/>
      <c r="K360" s="44"/>
    </row>
    <row r="361" spans="1:11" s="34" customFormat="1" ht="15">
      <c r="A361" s="30"/>
      <c r="B361" s="43" t="s">
        <v>35</v>
      </c>
      <c r="C361" s="45" t="s">
        <v>36</v>
      </c>
      <c r="D361" s="46" t="s">
        <v>4</v>
      </c>
      <c r="E361" s="44">
        <v>0.20600000000000002</v>
      </c>
      <c r="F361" s="31">
        <f>TRUNC(22.86,2)</f>
        <v>22.86</v>
      </c>
      <c r="G361" s="32">
        <f t="shared" si="19"/>
        <v>4.7</v>
      </c>
      <c r="H361" s="32"/>
      <c r="I361" s="33"/>
      <c r="J361" s="33"/>
      <c r="K361" s="44"/>
    </row>
    <row r="362" spans="1:11" s="34" customFormat="1" ht="15">
      <c r="A362" s="30"/>
      <c r="B362" s="43" t="s">
        <v>1890</v>
      </c>
      <c r="C362" s="45" t="s">
        <v>1891</v>
      </c>
      <c r="D362" s="46" t="s">
        <v>1</v>
      </c>
      <c r="E362" s="44">
        <v>0.05</v>
      </c>
      <c r="F362" s="31">
        <f>TRUNC(101.3313,2)</f>
        <v>101.33</v>
      </c>
      <c r="G362" s="32">
        <f t="shared" si="19"/>
        <v>5.06</v>
      </c>
      <c r="H362" s="32"/>
      <c r="I362" s="33"/>
      <c r="J362" s="33"/>
      <c r="K362" s="44"/>
    </row>
    <row r="363" spans="1:11" s="34" customFormat="1" ht="15">
      <c r="A363" s="30"/>
      <c r="B363" s="43" t="s">
        <v>1892</v>
      </c>
      <c r="C363" s="45" t="s">
        <v>1893</v>
      </c>
      <c r="D363" s="46" t="s">
        <v>1</v>
      </c>
      <c r="E363" s="44">
        <v>0.05</v>
      </c>
      <c r="F363" s="31">
        <f>TRUNC(63.7401,2)</f>
        <v>63.74</v>
      </c>
      <c r="G363" s="32">
        <f t="shared" si="19"/>
        <v>3.18</v>
      </c>
      <c r="H363" s="32"/>
      <c r="I363" s="33"/>
      <c r="J363" s="33"/>
      <c r="K363" s="44"/>
    </row>
    <row r="364" spans="1:11" s="34" customFormat="1" ht="15">
      <c r="A364" s="30"/>
      <c r="B364" s="43" t="s">
        <v>1894</v>
      </c>
      <c r="C364" s="45" t="s">
        <v>1895</v>
      </c>
      <c r="D364" s="46" t="s">
        <v>3</v>
      </c>
      <c r="E364" s="44">
        <v>0.95</v>
      </c>
      <c r="F364" s="31">
        <f>TRUNC(8.8745,2)</f>
        <v>8.87</v>
      </c>
      <c r="G364" s="32">
        <f t="shared" si="19"/>
        <v>8.42</v>
      </c>
      <c r="H364" s="32"/>
      <c r="I364" s="33"/>
      <c r="J364" s="33"/>
      <c r="K364" s="44"/>
    </row>
    <row r="365" spans="1:11" s="34" customFormat="1" ht="15">
      <c r="A365" s="30"/>
      <c r="B365" s="43" t="s">
        <v>1760</v>
      </c>
      <c r="C365" s="45" t="s">
        <v>1761</v>
      </c>
      <c r="D365" s="46" t="s">
        <v>1</v>
      </c>
      <c r="E365" s="44">
        <v>0.05</v>
      </c>
      <c r="F365" s="31">
        <f>TRUNC(258.9348,2)</f>
        <v>258.93</v>
      </c>
      <c r="G365" s="32">
        <f t="shared" si="19"/>
        <v>12.94</v>
      </c>
      <c r="H365" s="32"/>
      <c r="I365" s="33"/>
      <c r="J365" s="33"/>
      <c r="K365" s="44"/>
    </row>
    <row r="366" spans="1:11" s="34" customFormat="1" ht="15">
      <c r="A366" s="30"/>
      <c r="B366" s="43" t="s">
        <v>1896</v>
      </c>
      <c r="C366" s="45" t="s">
        <v>1897</v>
      </c>
      <c r="D366" s="46" t="s">
        <v>2</v>
      </c>
      <c r="E366" s="44">
        <v>0.7</v>
      </c>
      <c r="F366" s="31">
        <f>TRUNC(1.4867,2)</f>
        <v>1.48</v>
      </c>
      <c r="G366" s="32">
        <f t="shared" si="19"/>
        <v>1.03</v>
      </c>
      <c r="H366" s="32"/>
      <c r="I366" s="33"/>
      <c r="J366" s="33"/>
      <c r="K366" s="44"/>
    </row>
    <row r="367" spans="1:11" s="34" customFormat="1" ht="15">
      <c r="A367" s="30"/>
      <c r="B367" s="43"/>
      <c r="C367" s="45"/>
      <c r="D367" s="46"/>
      <c r="E367" s="44" t="s">
        <v>5</v>
      </c>
      <c r="F367" s="31"/>
      <c r="G367" s="32">
        <f>TRUNC(SUM(G359:G366),2)</f>
        <v>42.24</v>
      </c>
      <c r="H367" s="32"/>
      <c r="I367" s="33"/>
      <c r="J367" s="33"/>
      <c r="K367" s="44"/>
    </row>
    <row r="368" spans="1:11" s="107" customFormat="1" ht="75">
      <c r="A368" s="99" t="s">
        <v>902</v>
      </c>
      <c r="B368" s="100" t="s">
        <v>1898</v>
      </c>
      <c r="C368" s="101" t="s">
        <v>345</v>
      </c>
      <c r="D368" s="102" t="s">
        <v>0</v>
      </c>
      <c r="E368" s="103">
        <v>406.17</v>
      </c>
      <c r="F368" s="104">
        <f>TRUNC(G374,2)</f>
        <v>72.44</v>
      </c>
      <c r="G368" s="105">
        <f>TRUNC(F368*1.2247,2)</f>
        <v>88.71</v>
      </c>
      <c r="H368" s="105">
        <f>TRUNC(F368*E368,2)</f>
        <v>29422.95</v>
      </c>
      <c r="I368" s="106">
        <f>TRUNC(E368*G368,2)</f>
        <v>36031.34</v>
      </c>
      <c r="J368" s="106"/>
      <c r="K368" s="103"/>
    </row>
    <row r="369" spans="1:11" s="34" customFormat="1" ht="15">
      <c r="A369" s="30"/>
      <c r="B369" s="43" t="s">
        <v>346</v>
      </c>
      <c r="C369" s="45" t="s">
        <v>347</v>
      </c>
      <c r="D369" s="46" t="s">
        <v>3</v>
      </c>
      <c r="E369" s="44">
        <v>15</v>
      </c>
      <c r="F369" s="31">
        <f>TRUNC(1.13,2)</f>
        <v>1.13</v>
      </c>
      <c r="G369" s="32">
        <f>TRUNC(E369*F369,2)</f>
        <v>16.95</v>
      </c>
      <c r="H369" s="32"/>
      <c r="I369" s="33"/>
      <c r="J369" s="33"/>
      <c r="K369" s="44"/>
    </row>
    <row r="370" spans="1:11" s="34" customFormat="1" ht="15">
      <c r="A370" s="30"/>
      <c r="B370" s="43" t="s">
        <v>348</v>
      </c>
      <c r="C370" s="45" t="s">
        <v>349</v>
      </c>
      <c r="D370" s="46" t="s">
        <v>3</v>
      </c>
      <c r="E370" s="44">
        <v>25.8</v>
      </c>
      <c r="F370" s="31">
        <f>TRUNC(0.47,2)</f>
        <v>0.47</v>
      </c>
      <c r="G370" s="32">
        <f>TRUNC(E370*F370,2)</f>
        <v>12.12</v>
      </c>
      <c r="H370" s="32"/>
      <c r="I370" s="33"/>
      <c r="J370" s="33"/>
      <c r="K370" s="44"/>
    </row>
    <row r="371" spans="1:11" s="34" customFormat="1" ht="15">
      <c r="A371" s="30"/>
      <c r="B371" s="43" t="s">
        <v>350</v>
      </c>
      <c r="C371" s="45" t="s">
        <v>351</v>
      </c>
      <c r="D371" s="46" t="s">
        <v>1</v>
      </c>
      <c r="E371" s="44">
        <v>0.044</v>
      </c>
      <c r="F371" s="31">
        <f>TRUNC(80,2)</f>
        <v>80</v>
      </c>
      <c r="G371" s="32">
        <f>TRUNC(E371*F371,2)</f>
        <v>3.52</v>
      </c>
      <c r="H371" s="32"/>
      <c r="I371" s="33"/>
      <c r="J371" s="33"/>
      <c r="K371" s="44"/>
    </row>
    <row r="372" spans="1:11" s="34" customFormat="1" ht="30">
      <c r="A372" s="30"/>
      <c r="B372" s="43" t="s">
        <v>33</v>
      </c>
      <c r="C372" s="45" t="s">
        <v>34</v>
      </c>
      <c r="D372" s="46" t="s">
        <v>4</v>
      </c>
      <c r="E372" s="44">
        <v>0.7725</v>
      </c>
      <c r="F372" s="31">
        <f>TRUNC(16.55,2)</f>
        <v>16.55</v>
      </c>
      <c r="G372" s="32">
        <f>TRUNC(E372*F372,2)</f>
        <v>12.78</v>
      </c>
      <c r="H372" s="32"/>
      <c r="I372" s="33"/>
      <c r="J372" s="33"/>
      <c r="K372" s="44"/>
    </row>
    <row r="373" spans="1:11" s="34" customFormat="1" ht="30">
      <c r="A373" s="30"/>
      <c r="B373" s="43" t="s">
        <v>1899</v>
      </c>
      <c r="C373" s="45" t="s">
        <v>1900</v>
      </c>
      <c r="D373" s="46" t="s">
        <v>4</v>
      </c>
      <c r="E373" s="44">
        <v>1.1844999999999999</v>
      </c>
      <c r="F373" s="31">
        <f>TRUNC(22.86,2)</f>
        <v>22.86</v>
      </c>
      <c r="G373" s="32">
        <f>TRUNC(E373*F373,2)</f>
        <v>27.07</v>
      </c>
      <c r="H373" s="32"/>
      <c r="I373" s="33"/>
      <c r="J373" s="33"/>
      <c r="K373" s="44"/>
    </row>
    <row r="374" spans="1:11" s="34" customFormat="1" ht="15">
      <c r="A374" s="30"/>
      <c r="B374" s="43"/>
      <c r="C374" s="45"/>
      <c r="D374" s="46"/>
      <c r="E374" s="44" t="s">
        <v>5</v>
      </c>
      <c r="F374" s="31"/>
      <c r="G374" s="32">
        <f>TRUNC(SUM(G369:G373),2)</f>
        <v>72.44</v>
      </c>
      <c r="H374" s="32"/>
      <c r="I374" s="33"/>
      <c r="J374" s="33"/>
      <c r="K374" s="44"/>
    </row>
    <row r="375" spans="1:11" s="107" customFormat="1" ht="45">
      <c r="A375" s="99" t="s">
        <v>903</v>
      </c>
      <c r="B375" s="100" t="s">
        <v>1901</v>
      </c>
      <c r="C375" s="101" t="s">
        <v>355</v>
      </c>
      <c r="D375" s="102" t="s">
        <v>0</v>
      </c>
      <c r="E375" s="103">
        <v>406.17</v>
      </c>
      <c r="F375" s="104">
        <f>TRUNC(G384,2)</f>
        <v>11.41</v>
      </c>
      <c r="G375" s="105">
        <f>TRUNC(F375*1.2247,2)</f>
        <v>13.97</v>
      </c>
      <c r="H375" s="105">
        <f>TRUNC(F375*E375,2)</f>
        <v>4634.39</v>
      </c>
      <c r="I375" s="106">
        <f>TRUNC(E375*G375,2)</f>
        <v>5674.19</v>
      </c>
      <c r="J375" s="106"/>
      <c r="K375" s="103"/>
    </row>
    <row r="376" spans="1:11" s="34" customFormat="1" ht="15">
      <c r="A376" s="30"/>
      <c r="B376" s="43" t="s">
        <v>356</v>
      </c>
      <c r="C376" s="45" t="s">
        <v>357</v>
      </c>
      <c r="D376" s="46" t="s">
        <v>253</v>
      </c>
      <c r="E376" s="44">
        <v>0.03</v>
      </c>
      <c r="F376" s="31">
        <f>TRUNC(7.13,2)</f>
        <v>7.13</v>
      </c>
      <c r="G376" s="32">
        <f aca="true" t="shared" si="20" ref="G376:G383">TRUNC(E376*F376,2)</f>
        <v>0.21</v>
      </c>
      <c r="H376" s="32"/>
      <c r="I376" s="33"/>
      <c r="J376" s="33"/>
      <c r="K376" s="44"/>
    </row>
    <row r="377" spans="1:11" s="34" customFormat="1" ht="15">
      <c r="A377" s="30"/>
      <c r="B377" s="43" t="s">
        <v>348</v>
      </c>
      <c r="C377" s="45" t="s">
        <v>349</v>
      </c>
      <c r="D377" s="46" t="s">
        <v>3</v>
      </c>
      <c r="E377" s="44">
        <v>0.5</v>
      </c>
      <c r="F377" s="31">
        <f>TRUNC(0.47,2)</f>
        <v>0.47</v>
      </c>
      <c r="G377" s="32">
        <f t="shared" si="20"/>
        <v>0.23</v>
      </c>
      <c r="H377" s="32"/>
      <c r="I377" s="33"/>
      <c r="J377" s="33"/>
      <c r="K377" s="44"/>
    </row>
    <row r="378" spans="1:11" s="34" customFormat="1" ht="30">
      <c r="A378" s="30"/>
      <c r="B378" s="43" t="s">
        <v>33</v>
      </c>
      <c r="C378" s="45" t="s">
        <v>34</v>
      </c>
      <c r="D378" s="46" t="s">
        <v>4</v>
      </c>
      <c r="E378" s="44">
        <v>0.16068000000000002</v>
      </c>
      <c r="F378" s="31">
        <f>TRUNC(16.55,2)</f>
        <v>16.55</v>
      </c>
      <c r="G378" s="32">
        <f t="shared" si="20"/>
        <v>2.65</v>
      </c>
      <c r="H378" s="32"/>
      <c r="I378" s="33"/>
      <c r="J378" s="33"/>
      <c r="K378" s="44"/>
    </row>
    <row r="379" spans="1:11" s="34" customFormat="1" ht="15">
      <c r="A379" s="30"/>
      <c r="B379" s="43" t="s">
        <v>35</v>
      </c>
      <c r="C379" s="45" t="s">
        <v>36</v>
      </c>
      <c r="D379" s="46" t="s">
        <v>4</v>
      </c>
      <c r="E379" s="44">
        <v>0.16068000000000002</v>
      </c>
      <c r="F379" s="31">
        <f>TRUNC(22.86,2)</f>
        <v>22.86</v>
      </c>
      <c r="G379" s="32">
        <f t="shared" si="20"/>
        <v>3.67</v>
      </c>
      <c r="H379" s="32"/>
      <c r="I379" s="33"/>
      <c r="J379" s="33"/>
      <c r="K379" s="44"/>
    </row>
    <row r="380" spans="1:11" s="34" customFormat="1" ht="15">
      <c r="A380" s="30"/>
      <c r="B380" s="43" t="s">
        <v>358</v>
      </c>
      <c r="C380" s="45" t="s">
        <v>359</v>
      </c>
      <c r="D380" s="46" t="s">
        <v>10</v>
      </c>
      <c r="E380" s="44">
        <v>0.08</v>
      </c>
      <c r="F380" s="31">
        <f>TRUNC(22.4,2)</f>
        <v>22.4</v>
      </c>
      <c r="G380" s="32">
        <f t="shared" si="20"/>
        <v>1.79</v>
      </c>
      <c r="H380" s="32"/>
      <c r="I380" s="33"/>
      <c r="J380" s="33"/>
      <c r="K380" s="44"/>
    </row>
    <row r="381" spans="1:11" s="34" customFormat="1" ht="15">
      <c r="A381" s="30"/>
      <c r="B381" s="43" t="s">
        <v>360</v>
      </c>
      <c r="C381" s="45" t="s">
        <v>361</v>
      </c>
      <c r="D381" s="46" t="s">
        <v>10</v>
      </c>
      <c r="E381" s="44">
        <v>0.08</v>
      </c>
      <c r="F381" s="31">
        <f>TRUNC(22.4,2)</f>
        <v>22.4</v>
      </c>
      <c r="G381" s="32">
        <f t="shared" si="20"/>
        <v>1.79</v>
      </c>
      <c r="H381" s="32"/>
      <c r="I381" s="33"/>
      <c r="J381" s="33"/>
      <c r="K381" s="44"/>
    </row>
    <row r="382" spans="1:11" s="34" customFormat="1" ht="15">
      <c r="A382" s="30"/>
      <c r="B382" s="43" t="s">
        <v>1902</v>
      </c>
      <c r="C382" s="45" t="s">
        <v>1903</v>
      </c>
      <c r="D382" s="46" t="s">
        <v>4</v>
      </c>
      <c r="E382" s="44">
        <v>0.312</v>
      </c>
      <c r="F382" s="31">
        <f>TRUNC(1.03,2)</f>
        <v>1.03</v>
      </c>
      <c r="G382" s="32">
        <f t="shared" si="20"/>
        <v>0.32</v>
      </c>
      <c r="H382" s="32"/>
      <c r="I382" s="33"/>
      <c r="J382" s="33"/>
      <c r="K382" s="44"/>
    </row>
    <row r="383" spans="1:11" s="34" customFormat="1" ht="15">
      <c r="A383" s="30"/>
      <c r="B383" s="43" t="s">
        <v>1904</v>
      </c>
      <c r="C383" s="45" t="s">
        <v>1905</v>
      </c>
      <c r="D383" s="46" t="s">
        <v>4</v>
      </c>
      <c r="E383" s="44">
        <v>0.156</v>
      </c>
      <c r="F383" s="31">
        <f>TRUNC(4.8273,2)</f>
        <v>4.82</v>
      </c>
      <c r="G383" s="32">
        <f t="shared" si="20"/>
        <v>0.75</v>
      </c>
      <c r="H383" s="32"/>
      <c r="I383" s="33"/>
      <c r="J383" s="33"/>
      <c r="K383" s="44"/>
    </row>
    <row r="384" spans="1:11" s="34" customFormat="1" ht="15">
      <c r="A384" s="30"/>
      <c r="B384" s="43"/>
      <c r="C384" s="45"/>
      <c r="D384" s="46"/>
      <c r="E384" s="44" t="s">
        <v>5</v>
      </c>
      <c r="F384" s="31"/>
      <c r="G384" s="32">
        <f>TRUNC(SUM(G376:G383),2)</f>
        <v>11.41</v>
      </c>
      <c r="H384" s="32"/>
      <c r="I384" s="33"/>
      <c r="J384" s="33"/>
      <c r="K384" s="44"/>
    </row>
    <row r="385" spans="1:11" s="107" customFormat="1" ht="45">
      <c r="A385" s="99" t="s">
        <v>904</v>
      </c>
      <c r="B385" s="100" t="s">
        <v>1906</v>
      </c>
      <c r="C385" s="101" t="s">
        <v>367</v>
      </c>
      <c r="D385" s="102" t="s">
        <v>0</v>
      </c>
      <c r="E385" s="103">
        <v>189.45</v>
      </c>
      <c r="F385" s="104">
        <f>TRUNC(G389,2)</f>
        <v>34.21</v>
      </c>
      <c r="G385" s="105">
        <f>TRUNC(F385*1.2247,2)</f>
        <v>41.89</v>
      </c>
      <c r="H385" s="105">
        <f>TRUNC(F385*E385,2)</f>
        <v>6481.08</v>
      </c>
      <c r="I385" s="106">
        <f>TRUNC(E385*G385,2)</f>
        <v>7936.06</v>
      </c>
      <c r="J385" s="106"/>
      <c r="K385" s="103"/>
    </row>
    <row r="386" spans="1:11" s="34" customFormat="1" ht="30">
      <c r="A386" s="30"/>
      <c r="B386" s="43" t="s">
        <v>33</v>
      </c>
      <c r="C386" s="45" t="s">
        <v>34</v>
      </c>
      <c r="D386" s="46" t="s">
        <v>4</v>
      </c>
      <c r="E386" s="44">
        <v>0.7107</v>
      </c>
      <c r="F386" s="31">
        <f>TRUNC(16.55,2)</f>
        <v>16.55</v>
      </c>
      <c r="G386" s="32">
        <f>TRUNC(E386*F386,2)</f>
        <v>11.76</v>
      </c>
      <c r="H386" s="32"/>
      <c r="I386" s="33"/>
      <c r="J386" s="33"/>
      <c r="K386" s="44"/>
    </row>
    <row r="387" spans="1:11" s="34" customFormat="1" ht="15">
      <c r="A387" s="30"/>
      <c r="B387" s="43" t="s">
        <v>35</v>
      </c>
      <c r="C387" s="45" t="s">
        <v>36</v>
      </c>
      <c r="D387" s="46" t="s">
        <v>4</v>
      </c>
      <c r="E387" s="44">
        <v>0.7416</v>
      </c>
      <c r="F387" s="31">
        <f>TRUNC(22.86,2)</f>
        <v>22.86</v>
      </c>
      <c r="G387" s="32">
        <f>TRUNC(E387*F387,2)</f>
        <v>16.95</v>
      </c>
      <c r="H387" s="32"/>
      <c r="I387" s="33"/>
      <c r="J387" s="33"/>
      <c r="K387" s="44"/>
    </row>
    <row r="388" spans="1:11" s="34" customFormat="1" ht="15">
      <c r="A388" s="30"/>
      <c r="B388" s="43" t="s">
        <v>1771</v>
      </c>
      <c r="C388" s="45" t="s">
        <v>1772</v>
      </c>
      <c r="D388" s="46" t="s">
        <v>1</v>
      </c>
      <c r="E388" s="44">
        <v>0.015</v>
      </c>
      <c r="F388" s="31">
        <f>TRUNC(366.9965,2)</f>
        <v>366.99</v>
      </c>
      <c r="G388" s="32">
        <f>TRUNC(E388*F388,2)</f>
        <v>5.5</v>
      </c>
      <c r="H388" s="32"/>
      <c r="I388" s="33"/>
      <c r="J388" s="33"/>
      <c r="K388" s="44"/>
    </row>
    <row r="389" spans="1:11" s="34" customFormat="1" ht="15">
      <c r="A389" s="30"/>
      <c r="B389" s="43"/>
      <c r="C389" s="45"/>
      <c r="D389" s="46"/>
      <c r="E389" s="44" t="s">
        <v>5</v>
      </c>
      <c r="F389" s="31"/>
      <c r="G389" s="32">
        <f>TRUNC(SUM(G386:G388),2)</f>
        <v>34.21</v>
      </c>
      <c r="H389" s="32"/>
      <c r="I389" s="33"/>
      <c r="J389" s="33"/>
      <c r="K389" s="44"/>
    </row>
    <row r="390" spans="1:11" s="107" customFormat="1" ht="60">
      <c r="A390" s="99" t="s">
        <v>905</v>
      </c>
      <c r="B390" s="100" t="s">
        <v>1907</v>
      </c>
      <c r="C390" s="101" t="s">
        <v>369</v>
      </c>
      <c r="D390" s="102" t="s">
        <v>2</v>
      </c>
      <c r="E390" s="103">
        <v>19.2</v>
      </c>
      <c r="F390" s="104">
        <f>TRUNC(G397,2)</f>
        <v>62.04</v>
      </c>
      <c r="G390" s="105">
        <f>TRUNC(F390*1.2247,2)</f>
        <v>75.98</v>
      </c>
      <c r="H390" s="105">
        <f>TRUNC(F390*E390,2)</f>
        <v>1191.16</v>
      </c>
      <c r="I390" s="106">
        <f>TRUNC(E390*G390,2)</f>
        <v>1458.81</v>
      </c>
      <c r="J390" s="106"/>
      <c r="K390" s="103"/>
    </row>
    <row r="391" spans="1:11" s="34" customFormat="1" ht="15">
      <c r="A391" s="30"/>
      <c r="B391" s="43" t="s">
        <v>370</v>
      </c>
      <c r="C391" s="45" t="s">
        <v>371</v>
      </c>
      <c r="D391" s="46" t="s">
        <v>2</v>
      </c>
      <c r="E391" s="44">
        <v>1.05</v>
      </c>
      <c r="F391" s="31">
        <f>TRUNC(40.17,2)</f>
        <v>40.17</v>
      </c>
      <c r="G391" s="32">
        <f aca="true" t="shared" si="21" ref="G391:G396">TRUNC(E391*F391,2)</f>
        <v>42.17</v>
      </c>
      <c r="H391" s="32"/>
      <c r="I391" s="33"/>
      <c r="J391" s="33"/>
      <c r="K391" s="44"/>
    </row>
    <row r="392" spans="1:11" s="34" customFormat="1" ht="15">
      <c r="A392" s="30"/>
      <c r="B392" s="43" t="s">
        <v>372</v>
      </c>
      <c r="C392" s="45" t="s">
        <v>373</v>
      </c>
      <c r="D392" s="46" t="s">
        <v>3</v>
      </c>
      <c r="E392" s="44">
        <v>0.00275</v>
      </c>
      <c r="F392" s="31">
        <f>TRUNC(32.88,2)</f>
        <v>32.88</v>
      </c>
      <c r="G392" s="32">
        <f t="shared" si="21"/>
        <v>0.09</v>
      </c>
      <c r="H392" s="32"/>
      <c r="I392" s="33"/>
      <c r="J392" s="33"/>
      <c r="K392" s="44"/>
    </row>
    <row r="393" spans="1:11" s="34" customFormat="1" ht="15">
      <c r="A393" s="30"/>
      <c r="B393" s="43" t="s">
        <v>374</v>
      </c>
      <c r="C393" s="45" t="s">
        <v>375</v>
      </c>
      <c r="D393" s="46" t="s">
        <v>3</v>
      </c>
      <c r="E393" s="44">
        <v>0.58</v>
      </c>
      <c r="F393" s="31">
        <f>TRUNC(1.4,2)</f>
        <v>1.4</v>
      </c>
      <c r="G393" s="32">
        <f t="shared" si="21"/>
        <v>0.81</v>
      </c>
      <c r="H393" s="32"/>
      <c r="I393" s="33"/>
      <c r="J393" s="33"/>
      <c r="K393" s="44"/>
    </row>
    <row r="394" spans="1:11" s="34" customFormat="1" ht="30">
      <c r="A394" s="30"/>
      <c r="B394" s="43" t="s">
        <v>33</v>
      </c>
      <c r="C394" s="45" t="s">
        <v>34</v>
      </c>
      <c r="D394" s="46" t="s">
        <v>4</v>
      </c>
      <c r="E394" s="44">
        <v>0.4635</v>
      </c>
      <c r="F394" s="31">
        <f>TRUNC(16.55,2)</f>
        <v>16.55</v>
      </c>
      <c r="G394" s="32">
        <f t="shared" si="21"/>
        <v>7.67</v>
      </c>
      <c r="H394" s="32"/>
      <c r="I394" s="33"/>
      <c r="J394" s="33"/>
      <c r="K394" s="44"/>
    </row>
    <row r="395" spans="1:11" s="34" customFormat="1" ht="30">
      <c r="A395" s="30"/>
      <c r="B395" s="43" t="s">
        <v>1899</v>
      </c>
      <c r="C395" s="45" t="s">
        <v>1900</v>
      </c>
      <c r="D395" s="46" t="s">
        <v>4</v>
      </c>
      <c r="E395" s="44">
        <v>0.41200000000000003</v>
      </c>
      <c r="F395" s="31">
        <f>TRUNC(22.86,2)</f>
        <v>22.86</v>
      </c>
      <c r="G395" s="32">
        <f t="shared" si="21"/>
        <v>9.41</v>
      </c>
      <c r="H395" s="32"/>
      <c r="I395" s="33"/>
      <c r="J395" s="33"/>
      <c r="K395" s="44"/>
    </row>
    <row r="396" spans="1:11" s="34" customFormat="1" ht="15">
      <c r="A396" s="30"/>
      <c r="B396" s="43" t="s">
        <v>1908</v>
      </c>
      <c r="C396" s="45" t="s">
        <v>1909</v>
      </c>
      <c r="D396" s="46" t="s">
        <v>1</v>
      </c>
      <c r="E396" s="44">
        <v>0.0058</v>
      </c>
      <c r="F396" s="31">
        <f>TRUNC(326.832,2)</f>
        <v>326.83</v>
      </c>
      <c r="G396" s="32">
        <f t="shared" si="21"/>
        <v>1.89</v>
      </c>
      <c r="H396" s="32"/>
      <c r="I396" s="33"/>
      <c r="J396" s="33"/>
      <c r="K396" s="44"/>
    </row>
    <row r="397" spans="1:11" s="34" customFormat="1" ht="15">
      <c r="A397" s="30"/>
      <c r="B397" s="43"/>
      <c r="C397" s="45"/>
      <c r="D397" s="46"/>
      <c r="E397" s="44" t="s">
        <v>5</v>
      </c>
      <c r="F397" s="31"/>
      <c r="G397" s="32">
        <f>TRUNC(SUM(G391:G396),2)</f>
        <v>62.04</v>
      </c>
      <c r="H397" s="32"/>
      <c r="I397" s="33"/>
      <c r="J397" s="33"/>
      <c r="K397" s="44"/>
    </row>
    <row r="398" spans="1:11" s="107" customFormat="1" ht="60">
      <c r="A398" s="99" t="s">
        <v>906</v>
      </c>
      <c r="B398" s="100" t="s">
        <v>1910</v>
      </c>
      <c r="C398" s="101" t="s">
        <v>822</v>
      </c>
      <c r="D398" s="102" t="s">
        <v>2</v>
      </c>
      <c r="E398" s="103">
        <v>4.07</v>
      </c>
      <c r="F398" s="104">
        <f>TRUNC(G405,2)</f>
        <v>67.66</v>
      </c>
      <c r="G398" s="105">
        <f>TRUNC(F398*1.2247,2)</f>
        <v>82.86</v>
      </c>
      <c r="H398" s="105">
        <f>TRUNC(F398*E398,2)</f>
        <v>275.37</v>
      </c>
      <c r="I398" s="106">
        <f>TRUNC(E398*G398,2)</f>
        <v>337.24</v>
      </c>
      <c r="J398" s="106"/>
      <c r="K398" s="103"/>
    </row>
    <row r="399" spans="1:11" s="58" customFormat="1" ht="15">
      <c r="A399" s="54"/>
      <c r="B399" s="52" t="s">
        <v>370</v>
      </c>
      <c r="C399" s="55" t="s">
        <v>371</v>
      </c>
      <c r="D399" s="56" t="s">
        <v>2</v>
      </c>
      <c r="E399" s="57">
        <v>1.05</v>
      </c>
      <c r="F399" s="53">
        <v>45.52</v>
      </c>
      <c r="G399" s="50">
        <f aca="true" t="shared" si="22" ref="G399:G404">TRUNC(E399*F399,2)</f>
        <v>47.79</v>
      </c>
      <c r="H399" s="50"/>
      <c r="I399" s="51"/>
      <c r="J399" s="51"/>
      <c r="K399" s="57"/>
    </row>
    <row r="400" spans="1:11" s="34" customFormat="1" ht="15">
      <c r="A400" s="30"/>
      <c r="B400" s="43" t="s">
        <v>372</v>
      </c>
      <c r="C400" s="45" t="s">
        <v>373</v>
      </c>
      <c r="D400" s="46" t="s">
        <v>3</v>
      </c>
      <c r="E400" s="44">
        <v>0.00275</v>
      </c>
      <c r="F400" s="31">
        <f>TRUNC(32.88,2)</f>
        <v>32.88</v>
      </c>
      <c r="G400" s="32">
        <f t="shared" si="22"/>
        <v>0.09</v>
      </c>
      <c r="H400" s="32"/>
      <c r="I400" s="33"/>
      <c r="J400" s="33"/>
      <c r="K400" s="44"/>
    </row>
    <row r="401" spans="1:11" s="34" customFormat="1" ht="15">
      <c r="A401" s="30"/>
      <c r="B401" s="43" t="s">
        <v>374</v>
      </c>
      <c r="C401" s="45" t="s">
        <v>375</v>
      </c>
      <c r="D401" s="46" t="s">
        <v>3</v>
      </c>
      <c r="E401" s="44">
        <v>0.58</v>
      </c>
      <c r="F401" s="31">
        <f>TRUNC(1.4,2)</f>
        <v>1.4</v>
      </c>
      <c r="G401" s="32">
        <f t="shared" si="22"/>
        <v>0.81</v>
      </c>
      <c r="H401" s="32"/>
      <c r="I401" s="33"/>
      <c r="J401" s="33"/>
      <c r="K401" s="44"/>
    </row>
    <row r="402" spans="1:11" s="34" customFormat="1" ht="30">
      <c r="A402" s="30"/>
      <c r="B402" s="43" t="s">
        <v>33</v>
      </c>
      <c r="C402" s="45" t="s">
        <v>34</v>
      </c>
      <c r="D402" s="46" t="s">
        <v>4</v>
      </c>
      <c r="E402" s="44">
        <v>0.4635</v>
      </c>
      <c r="F402" s="31">
        <f>TRUNC(16.55,2)</f>
        <v>16.55</v>
      </c>
      <c r="G402" s="32">
        <f t="shared" si="22"/>
        <v>7.67</v>
      </c>
      <c r="H402" s="32"/>
      <c r="I402" s="33"/>
      <c r="J402" s="33"/>
      <c r="K402" s="44"/>
    </row>
    <row r="403" spans="1:11" s="34" customFormat="1" ht="30">
      <c r="A403" s="30"/>
      <c r="B403" s="43" t="s">
        <v>1899</v>
      </c>
      <c r="C403" s="45" t="s">
        <v>1900</v>
      </c>
      <c r="D403" s="46" t="s">
        <v>4</v>
      </c>
      <c r="E403" s="44">
        <v>0.41200000000000003</v>
      </c>
      <c r="F403" s="31">
        <f>TRUNC(22.86,2)</f>
        <v>22.86</v>
      </c>
      <c r="G403" s="32">
        <f t="shared" si="22"/>
        <v>9.41</v>
      </c>
      <c r="H403" s="32"/>
      <c r="I403" s="33"/>
      <c r="J403" s="33"/>
      <c r="K403" s="44"/>
    </row>
    <row r="404" spans="1:11" s="34" customFormat="1" ht="15">
      <c r="A404" s="30"/>
      <c r="B404" s="43" t="s">
        <v>1908</v>
      </c>
      <c r="C404" s="45" t="s">
        <v>1909</v>
      </c>
      <c r="D404" s="46" t="s">
        <v>1</v>
      </c>
      <c r="E404" s="44">
        <v>0.0058</v>
      </c>
      <c r="F404" s="31">
        <f>TRUNC(326.832,2)</f>
        <v>326.83</v>
      </c>
      <c r="G404" s="32">
        <f t="shared" si="22"/>
        <v>1.89</v>
      </c>
      <c r="H404" s="32"/>
      <c r="I404" s="33"/>
      <c r="J404" s="33"/>
      <c r="K404" s="44"/>
    </row>
    <row r="405" spans="1:11" s="34" customFormat="1" ht="15">
      <c r="A405" s="30"/>
      <c r="B405" s="43"/>
      <c r="C405" s="45"/>
      <c r="D405" s="46"/>
      <c r="E405" s="44" t="s">
        <v>5</v>
      </c>
      <c r="F405" s="31"/>
      <c r="G405" s="32">
        <f>TRUNC(SUM(G399:G404),2)</f>
        <v>67.66</v>
      </c>
      <c r="H405" s="32"/>
      <c r="I405" s="33"/>
      <c r="J405" s="33"/>
      <c r="K405" s="44"/>
    </row>
    <row r="406" spans="1:11" s="107" customFormat="1" ht="60">
      <c r="A406" s="99" t="s">
        <v>908</v>
      </c>
      <c r="B406" s="100" t="s">
        <v>1912</v>
      </c>
      <c r="C406" s="101" t="s">
        <v>824</v>
      </c>
      <c r="D406" s="102" t="s">
        <v>2</v>
      </c>
      <c r="E406" s="103">
        <v>61.2</v>
      </c>
      <c r="F406" s="104">
        <f>TRUNC(G413,2)</f>
        <v>74.87</v>
      </c>
      <c r="G406" s="105">
        <f>TRUNC(F406*1.2247,2)</f>
        <v>91.69</v>
      </c>
      <c r="H406" s="105">
        <f>TRUNC(F406*E406,2)</f>
        <v>4582.04</v>
      </c>
      <c r="I406" s="106">
        <f>TRUNC(E406*G406,2)</f>
        <v>5611.42</v>
      </c>
      <c r="J406" s="106"/>
      <c r="K406" s="103"/>
    </row>
    <row r="407" spans="1:11" s="34" customFormat="1" ht="15">
      <c r="A407" s="30"/>
      <c r="B407" s="43" t="s">
        <v>825</v>
      </c>
      <c r="C407" s="45" t="s">
        <v>826</v>
      </c>
      <c r="D407" s="46" t="s">
        <v>2</v>
      </c>
      <c r="E407" s="44">
        <v>1.05</v>
      </c>
      <c r="F407" s="31">
        <f>TRUNC(49.07,2)</f>
        <v>49.07</v>
      </c>
      <c r="G407" s="32">
        <f aca="true" t="shared" si="23" ref="G407:G412">TRUNC(E407*F407,2)</f>
        <v>51.52</v>
      </c>
      <c r="H407" s="32"/>
      <c r="I407" s="33"/>
      <c r="J407" s="33"/>
      <c r="K407" s="44"/>
    </row>
    <row r="408" spans="1:11" s="34" customFormat="1" ht="15">
      <c r="A408" s="30"/>
      <c r="B408" s="43" t="s">
        <v>374</v>
      </c>
      <c r="C408" s="45" t="s">
        <v>375</v>
      </c>
      <c r="D408" s="46" t="s">
        <v>3</v>
      </c>
      <c r="E408" s="44">
        <v>0.4</v>
      </c>
      <c r="F408" s="31">
        <f>TRUNC(1.4,2)</f>
        <v>1.4</v>
      </c>
      <c r="G408" s="32">
        <f t="shared" si="23"/>
        <v>0.56</v>
      </c>
      <c r="H408" s="32"/>
      <c r="I408" s="33"/>
      <c r="J408" s="33"/>
      <c r="K408" s="44"/>
    </row>
    <row r="409" spans="1:11" s="34" customFormat="1" ht="30">
      <c r="A409" s="30"/>
      <c r="B409" s="43" t="s">
        <v>33</v>
      </c>
      <c r="C409" s="45" t="s">
        <v>34</v>
      </c>
      <c r="D409" s="46" t="s">
        <v>4</v>
      </c>
      <c r="E409" s="44">
        <v>0.5665000000000001</v>
      </c>
      <c r="F409" s="31">
        <f>TRUNC(16.55,2)</f>
        <v>16.55</v>
      </c>
      <c r="G409" s="32">
        <f t="shared" si="23"/>
        <v>9.37</v>
      </c>
      <c r="H409" s="32"/>
      <c r="I409" s="33"/>
      <c r="J409" s="33"/>
      <c r="K409" s="44"/>
    </row>
    <row r="410" spans="1:11" s="34" customFormat="1" ht="30">
      <c r="A410" s="30"/>
      <c r="B410" s="43" t="s">
        <v>1899</v>
      </c>
      <c r="C410" s="45" t="s">
        <v>1900</v>
      </c>
      <c r="D410" s="46" t="s">
        <v>4</v>
      </c>
      <c r="E410" s="44">
        <v>0.4635</v>
      </c>
      <c r="F410" s="31">
        <f>TRUNC(22.86,2)</f>
        <v>22.86</v>
      </c>
      <c r="G410" s="32">
        <f t="shared" si="23"/>
        <v>10.59</v>
      </c>
      <c r="H410" s="32"/>
      <c r="I410" s="33"/>
      <c r="J410" s="33"/>
      <c r="K410" s="44"/>
    </row>
    <row r="411" spans="1:11" s="34" customFormat="1" ht="15">
      <c r="A411" s="30"/>
      <c r="B411" s="43" t="s">
        <v>1913</v>
      </c>
      <c r="C411" s="45" t="s">
        <v>1914</v>
      </c>
      <c r="D411" s="46" t="s">
        <v>1</v>
      </c>
      <c r="E411" s="44">
        <v>0.006</v>
      </c>
      <c r="F411" s="31">
        <f>TRUNC(410.1515,2)</f>
        <v>410.15</v>
      </c>
      <c r="G411" s="32">
        <f t="shared" si="23"/>
        <v>2.46</v>
      </c>
      <c r="H411" s="32"/>
      <c r="I411" s="33"/>
      <c r="J411" s="33"/>
      <c r="K411" s="44"/>
    </row>
    <row r="412" spans="1:11" s="34" customFormat="1" ht="15">
      <c r="A412" s="30"/>
      <c r="B412" s="43" t="s">
        <v>1915</v>
      </c>
      <c r="C412" s="45" t="s">
        <v>1916</v>
      </c>
      <c r="D412" s="46" t="s">
        <v>1</v>
      </c>
      <c r="E412" s="44">
        <v>0.0005</v>
      </c>
      <c r="F412" s="31">
        <f>TRUNC(740.9185,2)</f>
        <v>740.91</v>
      </c>
      <c r="G412" s="32">
        <f t="shared" si="23"/>
        <v>0.37</v>
      </c>
      <c r="H412" s="32"/>
      <c r="I412" s="33"/>
      <c r="J412" s="33"/>
      <c r="K412" s="44"/>
    </row>
    <row r="413" spans="1:11" s="34" customFormat="1" ht="15">
      <c r="A413" s="30"/>
      <c r="B413" s="43"/>
      <c r="C413" s="45"/>
      <c r="D413" s="46"/>
      <c r="E413" s="44" t="s">
        <v>5</v>
      </c>
      <c r="F413" s="31"/>
      <c r="G413" s="32">
        <f>TRUNC(SUM(G407:G412),2)</f>
        <v>74.87</v>
      </c>
      <c r="H413" s="32"/>
      <c r="I413" s="33"/>
      <c r="J413" s="33"/>
      <c r="K413" s="44"/>
    </row>
    <row r="414" spans="1:11" s="107" customFormat="1" ht="60">
      <c r="A414" s="99" t="s">
        <v>909</v>
      </c>
      <c r="B414" s="100" t="s">
        <v>1917</v>
      </c>
      <c r="C414" s="101" t="s">
        <v>1918</v>
      </c>
      <c r="D414" s="102" t="s">
        <v>2</v>
      </c>
      <c r="E414" s="103">
        <v>14.6</v>
      </c>
      <c r="F414" s="104">
        <f>TRUNC(G421,2)</f>
        <v>101.89</v>
      </c>
      <c r="G414" s="105">
        <f>TRUNC(F414*1.2247,2)</f>
        <v>124.78</v>
      </c>
      <c r="H414" s="105">
        <f>TRUNC(F414*E414,2)</f>
        <v>1487.59</v>
      </c>
      <c r="I414" s="106">
        <f>TRUNC(E414*G414,2)</f>
        <v>1821.78</v>
      </c>
      <c r="J414" s="106"/>
      <c r="K414" s="103"/>
    </row>
    <row r="415" spans="1:11" s="34" customFormat="1" ht="15">
      <c r="A415" s="30"/>
      <c r="B415" s="43" t="s">
        <v>379</v>
      </c>
      <c r="C415" s="45" t="s">
        <v>380</v>
      </c>
      <c r="D415" s="46" t="s">
        <v>2</v>
      </c>
      <c r="E415" s="44">
        <v>1.05</v>
      </c>
      <c r="F415" s="31">
        <f>TRUNC(74.98,2)</f>
        <v>74.98</v>
      </c>
      <c r="G415" s="32">
        <f aca="true" t="shared" si="24" ref="G415:G420">TRUNC(E415*F415,2)</f>
        <v>78.72</v>
      </c>
      <c r="H415" s="32"/>
      <c r="I415" s="33"/>
      <c r="J415" s="33"/>
      <c r="K415" s="44"/>
    </row>
    <row r="416" spans="1:11" s="34" customFormat="1" ht="15">
      <c r="A416" s="30"/>
      <c r="B416" s="43" t="s">
        <v>374</v>
      </c>
      <c r="C416" s="45" t="s">
        <v>375</v>
      </c>
      <c r="D416" s="46" t="s">
        <v>3</v>
      </c>
      <c r="E416" s="44">
        <v>1</v>
      </c>
      <c r="F416" s="31">
        <f>TRUNC(1.4,2)</f>
        <v>1.4</v>
      </c>
      <c r="G416" s="32">
        <f t="shared" si="24"/>
        <v>1.4</v>
      </c>
      <c r="H416" s="32"/>
      <c r="I416" s="33"/>
      <c r="J416" s="33"/>
      <c r="K416" s="44"/>
    </row>
    <row r="417" spans="1:11" s="34" customFormat="1" ht="30">
      <c r="A417" s="30"/>
      <c r="B417" s="43" t="s">
        <v>33</v>
      </c>
      <c r="C417" s="45" t="s">
        <v>34</v>
      </c>
      <c r="D417" s="46" t="s">
        <v>4</v>
      </c>
      <c r="E417" s="44">
        <v>0.4635</v>
      </c>
      <c r="F417" s="31">
        <f>TRUNC(16.55,2)</f>
        <v>16.55</v>
      </c>
      <c r="G417" s="32">
        <f t="shared" si="24"/>
        <v>7.67</v>
      </c>
      <c r="H417" s="32"/>
      <c r="I417" s="33"/>
      <c r="J417" s="33"/>
      <c r="K417" s="44"/>
    </row>
    <row r="418" spans="1:11" s="34" customFormat="1" ht="30">
      <c r="A418" s="30"/>
      <c r="B418" s="43" t="s">
        <v>1899</v>
      </c>
      <c r="C418" s="45" t="s">
        <v>1900</v>
      </c>
      <c r="D418" s="46" t="s">
        <v>4</v>
      </c>
      <c r="E418" s="44">
        <v>0.41200000000000003</v>
      </c>
      <c r="F418" s="31">
        <f>TRUNC(22.86,2)</f>
        <v>22.86</v>
      </c>
      <c r="G418" s="32">
        <f t="shared" si="24"/>
        <v>9.41</v>
      </c>
      <c r="H418" s="32"/>
      <c r="I418" s="33"/>
      <c r="J418" s="33"/>
      <c r="K418" s="44"/>
    </row>
    <row r="419" spans="1:11" s="34" customFormat="1" ht="15">
      <c r="A419" s="30"/>
      <c r="B419" s="43" t="s">
        <v>1913</v>
      </c>
      <c r="C419" s="45" t="s">
        <v>1914</v>
      </c>
      <c r="D419" s="46" t="s">
        <v>1</v>
      </c>
      <c r="E419" s="44">
        <v>0.01</v>
      </c>
      <c r="F419" s="31">
        <f>TRUNC(410.1515,2)</f>
        <v>410.15</v>
      </c>
      <c r="G419" s="32">
        <f t="shared" si="24"/>
        <v>4.1</v>
      </c>
      <c r="H419" s="32"/>
      <c r="I419" s="33"/>
      <c r="J419" s="33"/>
      <c r="K419" s="44"/>
    </row>
    <row r="420" spans="1:11" s="34" customFormat="1" ht="15">
      <c r="A420" s="30"/>
      <c r="B420" s="43" t="s">
        <v>1915</v>
      </c>
      <c r="C420" s="45" t="s">
        <v>1916</v>
      </c>
      <c r="D420" s="46" t="s">
        <v>1</v>
      </c>
      <c r="E420" s="44">
        <v>0.0008</v>
      </c>
      <c r="F420" s="31">
        <f>TRUNC(740.9185,2)</f>
        <v>740.91</v>
      </c>
      <c r="G420" s="32">
        <f t="shared" si="24"/>
        <v>0.59</v>
      </c>
      <c r="H420" s="32"/>
      <c r="I420" s="33"/>
      <c r="J420" s="33"/>
      <c r="K420" s="44"/>
    </row>
    <row r="421" spans="1:11" s="34" customFormat="1" ht="15">
      <c r="A421" s="30"/>
      <c r="B421" s="43"/>
      <c r="C421" s="45"/>
      <c r="D421" s="46"/>
      <c r="E421" s="44" t="s">
        <v>5</v>
      </c>
      <c r="F421" s="31"/>
      <c r="G421" s="32">
        <f>TRUNC(SUM(G415:G420),2)</f>
        <v>101.89</v>
      </c>
      <c r="H421" s="32"/>
      <c r="I421" s="33"/>
      <c r="J421" s="33"/>
      <c r="K421" s="44"/>
    </row>
    <row r="422" spans="1:11" s="107" customFormat="1" ht="60">
      <c r="A422" s="99" t="s">
        <v>907</v>
      </c>
      <c r="B422" s="100" t="s">
        <v>1919</v>
      </c>
      <c r="C422" s="101" t="s">
        <v>593</v>
      </c>
      <c r="D422" s="102" t="s">
        <v>0</v>
      </c>
      <c r="E422" s="103">
        <v>3.87</v>
      </c>
      <c r="F422" s="104">
        <f>TRUNC(G430,2)</f>
        <v>133.72</v>
      </c>
      <c r="G422" s="105">
        <f>TRUNC(F422*1.2247,2)</f>
        <v>163.76</v>
      </c>
      <c r="H422" s="105">
        <f>TRUNC(F422*E422,2)</f>
        <v>517.49</v>
      </c>
      <c r="I422" s="106">
        <f>TRUNC(E422*G422,2)</f>
        <v>633.75</v>
      </c>
      <c r="J422" s="106"/>
      <c r="K422" s="103"/>
    </row>
    <row r="423" spans="1:11" s="34" customFormat="1" ht="30">
      <c r="A423" s="30"/>
      <c r="B423" s="43" t="s">
        <v>594</v>
      </c>
      <c r="C423" s="45" t="s">
        <v>595</v>
      </c>
      <c r="D423" s="46" t="s">
        <v>0</v>
      </c>
      <c r="E423" s="44">
        <v>1.05</v>
      </c>
      <c r="F423" s="31">
        <f>TRUNC(64.61,2)</f>
        <v>64.61</v>
      </c>
      <c r="G423" s="32">
        <f aca="true" t="shared" si="25" ref="G423:G429">TRUNC(E423*F423,2)</f>
        <v>67.84</v>
      </c>
      <c r="H423" s="32"/>
      <c r="I423" s="33"/>
      <c r="J423" s="33"/>
      <c r="K423" s="44"/>
    </row>
    <row r="424" spans="1:11" s="34" customFormat="1" ht="15">
      <c r="A424" s="30"/>
      <c r="B424" s="43" t="s">
        <v>372</v>
      </c>
      <c r="C424" s="45" t="s">
        <v>373</v>
      </c>
      <c r="D424" s="46" t="s">
        <v>3</v>
      </c>
      <c r="E424" s="44">
        <v>0.1</v>
      </c>
      <c r="F424" s="31">
        <f>TRUNC(32.88,2)</f>
        <v>32.88</v>
      </c>
      <c r="G424" s="32">
        <f t="shared" si="25"/>
        <v>3.28</v>
      </c>
      <c r="H424" s="32"/>
      <c r="I424" s="33"/>
      <c r="J424" s="33"/>
      <c r="K424" s="44"/>
    </row>
    <row r="425" spans="1:11" s="34" customFormat="1" ht="15">
      <c r="A425" s="30"/>
      <c r="B425" s="43" t="s">
        <v>374</v>
      </c>
      <c r="C425" s="45" t="s">
        <v>375</v>
      </c>
      <c r="D425" s="46" t="s">
        <v>3</v>
      </c>
      <c r="E425" s="44">
        <v>0.1</v>
      </c>
      <c r="F425" s="31">
        <f>TRUNC(1.4,2)</f>
        <v>1.4</v>
      </c>
      <c r="G425" s="32">
        <f t="shared" si="25"/>
        <v>0.14</v>
      </c>
      <c r="H425" s="32"/>
      <c r="I425" s="33"/>
      <c r="J425" s="33"/>
      <c r="K425" s="44"/>
    </row>
    <row r="426" spans="1:11" s="34" customFormat="1" ht="30">
      <c r="A426" s="30"/>
      <c r="B426" s="43" t="s">
        <v>33</v>
      </c>
      <c r="C426" s="45" t="s">
        <v>34</v>
      </c>
      <c r="D426" s="46" t="s">
        <v>4</v>
      </c>
      <c r="E426" s="44">
        <v>1.1330000000000002</v>
      </c>
      <c r="F426" s="31">
        <f>TRUNC(16.55,2)</f>
        <v>16.55</v>
      </c>
      <c r="G426" s="32">
        <f t="shared" si="25"/>
        <v>18.75</v>
      </c>
      <c r="H426" s="32"/>
      <c r="I426" s="33"/>
      <c r="J426" s="33"/>
      <c r="K426" s="44"/>
    </row>
    <row r="427" spans="1:11" s="34" customFormat="1" ht="15">
      <c r="A427" s="30"/>
      <c r="B427" s="43" t="s">
        <v>1882</v>
      </c>
      <c r="C427" s="45" t="s">
        <v>1883</v>
      </c>
      <c r="D427" s="46" t="s">
        <v>4</v>
      </c>
      <c r="E427" s="44">
        <v>1.1330000000000002</v>
      </c>
      <c r="F427" s="31">
        <f>TRUNC(24.61,2)</f>
        <v>24.61</v>
      </c>
      <c r="G427" s="32">
        <f t="shared" si="25"/>
        <v>27.88</v>
      </c>
      <c r="H427" s="32"/>
      <c r="I427" s="33"/>
      <c r="J427" s="33"/>
      <c r="K427" s="44"/>
    </row>
    <row r="428" spans="1:11" s="34" customFormat="1" ht="15">
      <c r="A428" s="30"/>
      <c r="B428" s="43" t="s">
        <v>1913</v>
      </c>
      <c r="C428" s="45" t="s">
        <v>1914</v>
      </c>
      <c r="D428" s="46" t="s">
        <v>1</v>
      </c>
      <c r="E428" s="44">
        <v>0.035</v>
      </c>
      <c r="F428" s="31">
        <f>TRUNC(410.1515,2)</f>
        <v>410.15</v>
      </c>
      <c r="G428" s="32">
        <f t="shared" si="25"/>
        <v>14.35</v>
      </c>
      <c r="H428" s="32"/>
      <c r="I428" s="33"/>
      <c r="J428" s="33"/>
      <c r="K428" s="44"/>
    </row>
    <row r="429" spans="1:11" s="34" customFormat="1" ht="15">
      <c r="A429" s="30"/>
      <c r="B429" s="43" t="s">
        <v>1915</v>
      </c>
      <c r="C429" s="45" t="s">
        <v>1916</v>
      </c>
      <c r="D429" s="46" t="s">
        <v>1</v>
      </c>
      <c r="E429" s="44">
        <v>0.002</v>
      </c>
      <c r="F429" s="31">
        <f>TRUNC(740.9185,2)</f>
        <v>740.91</v>
      </c>
      <c r="G429" s="32">
        <f t="shared" si="25"/>
        <v>1.48</v>
      </c>
      <c r="H429" s="32"/>
      <c r="I429" s="33"/>
      <c r="J429" s="33"/>
      <c r="K429" s="44"/>
    </row>
    <row r="430" spans="1:11" s="34" customFormat="1" ht="15">
      <c r="A430" s="30"/>
      <c r="B430" s="43"/>
      <c r="C430" s="45"/>
      <c r="D430" s="46"/>
      <c r="E430" s="44" t="s">
        <v>5</v>
      </c>
      <c r="F430" s="31"/>
      <c r="G430" s="32">
        <f>TRUNC(SUM(G423:G429),2)</f>
        <v>133.72</v>
      </c>
      <c r="H430" s="32"/>
      <c r="I430" s="33"/>
      <c r="J430" s="33"/>
      <c r="K430" s="44"/>
    </row>
    <row r="431" spans="1:11" s="107" customFormat="1" ht="45">
      <c r="A431" s="99" t="s">
        <v>910</v>
      </c>
      <c r="B431" s="100" t="s">
        <v>1920</v>
      </c>
      <c r="C431" s="101" t="s">
        <v>912</v>
      </c>
      <c r="D431" s="102" t="s">
        <v>0</v>
      </c>
      <c r="E431" s="103">
        <v>14.31</v>
      </c>
      <c r="F431" s="104">
        <f>TRUNC(G436,2)</f>
        <v>98.01</v>
      </c>
      <c r="G431" s="105">
        <f>TRUNC(F431*1.2247,2)</f>
        <v>120.03</v>
      </c>
      <c r="H431" s="105">
        <f>TRUNC(F431*E431,2)</f>
        <v>1402.52</v>
      </c>
      <c r="I431" s="106">
        <f>TRUNC(E431*G431,2)</f>
        <v>1717.62</v>
      </c>
      <c r="J431" s="106"/>
      <c r="K431" s="103"/>
    </row>
    <row r="432" spans="1:11" s="34" customFormat="1" ht="30">
      <c r="A432" s="30"/>
      <c r="B432" s="43" t="s">
        <v>913</v>
      </c>
      <c r="C432" s="45" t="s">
        <v>914</v>
      </c>
      <c r="D432" s="46" t="s">
        <v>0</v>
      </c>
      <c r="E432" s="44">
        <v>1.05</v>
      </c>
      <c r="F432" s="31">
        <f>TRUNC(62.62,2)</f>
        <v>62.62</v>
      </c>
      <c r="G432" s="32">
        <f>TRUNC(E432*F432,2)</f>
        <v>65.75</v>
      </c>
      <c r="H432" s="32"/>
      <c r="I432" s="33"/>
      <c r="J432" s="33"/>
      <c r="K432" s="44"/>
    </row>
    <row r="433" spans="1:11" s="34" customFormat="1" ht="15">
      <c r="A433" s="30"/>
      <c r="B433" s="43" t="s">
        <v>915</v>
      </c>
      <c r="C433" s="45" t="s">
        <v>916</v>
      </c>
      <c r="D433" s="46" t="s">
        <v>404</v>
      </c>
      <c r="E433" s="44">
        <v>0.142</v>
      </c>
      <c r="F433" s="31">
        <f>TRUNC(78,2)</f>
        <v>78</v>
      </c>
      <c r="G433" s="32">
        <f>TRUNC(E433*F433,2)</f>
        <v>11.07</v>
      </c>
      <c r="H433" s="32"/>
      <c r="I433" s="33"/>
      <c r="J433" s="33"/>
      <c r="K433" s="44"/>
    </row>
    <row r="434" spans="1:11" s="34" customFormat="1" ht="30">
      <c r="A434" s="30"/>
      <c r="B434" s="43" t="s">
        <v>33</v>
      </c>
      <c r="C434" s="45" t="s">
        <v>34</v>
      </c>
      <c r="D434" s="46" t="s">
        <v>4</v>
      </c>
      <c r="E434" s="44">
        <v>0.515</v>
      </c>
      <c r="F434" s="31">
        <f>TRUNC(16.55,2)</f>
        <v>16.55</v>
      </c>
      <c r="G434" s="32">
        <f>TRUNC(E434*F434,2)</f>
        <v>8.52</v>
      </c>
      <c r="H434" s="32"/>
      <c r="I434" s="33"/>
      <c r="J434" s="33"/>
      <c r="K434" s="44"/>
    </row>
    <row r="435" spans="1:11" s="34" customFormat="1" ht="15">
      <c r="A435" s="30"/>
      <c r="B435" s="43" t="s">
        <v>1882</v>
      </c>
      <c r="C435" s="45" t="s">
        <v>1883</v>
      </c>
      <c r="D435" s="46" t="s">
        <v>4</v>
      </c>
      <c r="E435" s="44">
        <v>0.515</v>
      </c>
      <c r="F435" s="31">
        <f>TRUNC(24.61,2)</f>
        <v>24.61</v>
      </c>
      <c r="G435" s="32">
        <f>TRUNC(E435*F435,2)</f>
        <v>12.67</v>
      </c>
      <c r="H435" s="32"/>
      <c r="I435" s="33"/>
      <c r="J435" s="33"/>
      <c r="K435" s="44"/>
    </row>
    <row r="436" spans="1:11" s="34" customFormat="1" ht="15">
      <c r="A436" s="30"/>
      <c r="B436" s="43"/>
      <c r="C436" s="45"/>
      <c r="D436" s="46"/>
      <c r="E436" s="44" t="s">
        <v>5</v>
      </c>
      <c r="F436" s="31"/>
      <c r="G436" s="32">
        <f>TRUNC(SUM(G432:G435),2)</f>
        <v>98.01</v>
      </c>
      <c r="H436" s="32"/>
      <c r="I436" s="33"/>
      <c r="J436" s="33"/>
      <c r="K436" s="44"/>
    </row>
    <row r="437" spans="1:11" s="107" customFormat="1" ht="45">
      <c r="A437" s="99" t="s">
        <v>921</v>
      </c>
      <c r="B437" s="100" t="s">
        <v>1921</v>
      </c>
      <c r="C437" s="101" t="s">
        <v>918</v>
      </c>
      <c r="D437" s="102" t="s">
        <v>0</v>
      </c>
      <c r="E437" s="103">
        <v>8.87</v>
      </c>
      <c r="F437" s="104">
        <f>TRUNC(G442,2)</f>
        <v>98.01</v>
      </c>
      <c r="G437" s="105">
        <f>TRUNC(F437*1.2247,2)</f>
        <v>120.03</v>
      </c>
      <c r="H437" s="105">
        <f>TRUNC(F437*E437,2)</f>
        <v>869.34</v>
      </c>
      <c r="I437" s="106">
        <f>TRUNC(E437*G437,2)</f>
        <v>1064.66</v>
      </c>
      <c r="J437" s="106"/>
      <c r="K437" s="103"/>
    </row>
    <row r="438" spans="1:11" s="34" customFormat="1" ht="30">
      <c r="A438" s="30"/>
      <c r="B438" s="43" t="s">
        <v>919</v>
      </c>
      <c r="C438" s="45" t="s">
        <v>920</v>
      </c>
      <c r="D438" s="46" t="s">
        <v>0</v>
      </c>
      <c r="E438" s="44">
        <v>1.05</v>
      </c>
      <c r="F438" s="31">
        <f>TRUNC(62.62,2)</f>
        <v>62.62</v>
      </c>
      <c r="G438" s="32">
        <f>TRUNC(E438*F438,2)</f>
        <v>65.75</v>
      </c>
      <c r="H438" s="32"/>
      <c r="I438" s="33"/>
      <c r="J438" s="33"/>
      <c r="K438" s="44"/>
    </row>
    <row r="439" spans="1:11" s="34" customFormat="1" ht="15">
      <c r="A439" s="30"/>
      <c r="B439" s="43" t="s">
        <v>915</v>
      </c>
      <c r="C439" s="45" t="s">
        <v>916</v>
      </c>
      <c r="D439" s="46" t="s">
        <v>404</v>
      </c>
      <c r="E439" s="44">
        <v>0.142</v>
      </c>
      <c r="F439" s="31">
        <f>TRUNC(78,2)</f>
        <v>78</v>
      </c>
      <c r="G439" s="32">
        <f>TRUNC(E439*F439,2)</f>
        <v>11.07</v>
      </c>
      <c r="H439" s="32"/>
      <c r="I439" s="33"/>
      <c r="J439" s="33"/>
      <c r="K439" s="44"/>
    </row>
    <row r="440" spans="1:11" s="34" customFormat="1" ht="30">
      <c r="A440" s="30"/>
      <c r="B440" s="43" t="s">
        <v>33</v>
      </c>
      <c r="C440" s="45" t="s">
        <v>34</v>
      </c>
      <c r="D440" s="46" t="s">
        <v>4</v>
      </c>
      <c r="E440" s="44">
        <v>0.515</v>
      </c>
      <c r="F440" s="31">
        <f>TRUNC(16.55,2)</f>
        <v>16.55</v>
      </c>
      <c r="G440" s="32">
        <f>TRUNC(E440*F440,2)</f>
        <v>8.52</v>
      </c>
      <c r="H440" s="32"/>
      <c r="I440" s="33"/>
      <c r="J440" s="33"/>
      <c r="K440" s="44"/>
    </row>
    <row r="441" spans="1:11" s="34" customFormat="1" ht="15">
      <c r="A441" s="30"/>
      <c r="B441" s="43" t="s">
        <v>1882</v>
      </c>
      <c r="C441" s="45" t="s">
        <v>1883</v>
      </c>
      <c r="D441" s="46" t="s">
        <v>4</v>
      </c>
      <c r="E441" s="44">
        <v>0.515</v>
      </c>
      <c r="F441" s="31">
        <f>TRUNC(24.61,2)</f>
        <v>24.61</v>
      </c>
      <c r="G441" s="32">
        <f>TRUNC(E441*F441,2)</f>
        <v>12.67</v>
      </c>
      <c r="H441" s="32"/>
      <c r="I441" s="33"/>
      <c r="J441" s="33"/>
      <c r="K441" s="44"/>
    </row>
    <row r="442" spans="1:11" s="34" customFormat="1" ht="15">
      <c r="A442" s="30"/>
      <c r="B442" s="43"/>
      <c r="C442" s="45"/>
      <c r="D442" s="46"/>
      <c r="E442" s="44" t="s">
        <v>5</v>
      </c>
      <c r="F442" s="31"/>
      <c r="G442" s="32">
        <f>TRUNC(SUM(G438:G441),2)</f>
        <v>98.01</v>
      </c>
      <c r="H442" s="32"/>
      <c r="I442" s="33"/>
      <c r="J442" s="33"/>
      <c r="K442" s="44"/>
    </row>
    <row r="443" spans="1:11" s="107" customFormat="1" ht="30">
      <c r="A443" s="99" t="s">
        <v>922</v>
      </c>
      <c r="B443" s="100" t="s">
        <v>1922</v>
      </c>
      <c r="C443" s="101" t="s">
        <v>616</v>
      </c>
      <c r="D443" s="102" t="s">
        <v>1</v>
      </c>
      <c r="E443" s="103">
        <v>27.44</v>
      </c>
      <c r="F443" s="104">
        <f>TRUNC(70,2)</f>
        <v>70</v>
      </c>
      <c r="G443" s="105">
        <f>TRUNC(F443*1.2247,2)</f>
        <v>85.72</v>
      </c>
      <c r="H443" s="105">
        <f>TRUNC(F443*E443,2)</f>
        <v>1920.8</v>
      </c>
      <c r="I443" s="106">
        <f>TRUNC(E443*G443,2)</f>
        <v>2352.15</v>
      </c>
      <c r="J443" s="106"/>
      <c r="K443" s="103"/>
    </row>
    <row r="444" spans="1:11" s="34" customFormat="1" ht="30">
      <c r="A444" s="30"/>
      <c r="B444" s="43" t="s">
        <v>617</v>
      </c>
      <c r="C444" s="45" t="s">
        <v>618</v>
      </c>
      <c r="D444" s="46" t="s">
        <v>1</v>
      </c>
      <c r="E444" s="44">
        <v>1</v>
      </c>
      <c r="F444" s="31">
        <f>TRUNC(70,2)</f>
        <v>70</v>
      </c>
      <c r="G444" s="32">
        <f>TRUNC(E444*F444,2)</f>
        <v>70</v>
      </c>
      <c r="H444" s="32"/>
      <c r="I444" s="33"/>
      <c r="J444" s="33"/>
      <c r="K444" s="44"/>
    </row>
    <row r="445" spans="1:11" s="34" customFormat="1" ht="15">
      <c r="A445" s="30"/>
      <c r="B445" s="43"/>
      <c r="C445" s="45"/>
      <c r="D445" s="46"/>
      <c r="E445" s="44" t="s">
        <v>5</v>
      </c>
      <c r="F445" s="31"/>
      <c r="G445" s="32">
        <f>TRUNC(SUM(G444:G444),2)</f>
        <v>70</v>
      </c>
      <c r="H445" s="32"/>
      <c r="I445" s="33"/>
      <c r="J445" s="33"/>
      <c r="K445" s="44"/>
    </row>
    <row r="446" spans="1:11" s="72" customFormat="1" ht="15">
      <c r="A446" s="65" t="s">
        <v>1363</v>
      </c>
      <c r="B446" s="66"/>
      <c r="C446" s="67"/>
      <c r="D446" s="68"/>
      <c r="E446" s="69"/>
      <c r="F446" s="70"/>
      <c r="G446" s="73" t="s">
        <v>1455</v>
      </c>
      <c r="H446" s="75">
        <f>H443+H437+H431+H422+H414+H406+H398+H390+H385+H375+H368+H358+H351+H342+H331+H324+H314+H308+H303+H298+H292+H286</f>
        <v>385551.36999999994</v>
      </c>
      <c r="I446" s="75">
        <f>I443+I437+I431+I422+I414+I406+I398+I390+I385+I375+I368+I358+I351+I342+I331+I324+I314+I308+I303+I298+I292+I286</f>
        <v>472152.21</v>
      </c>
      <c r="J446" s="71"/>
      <c r="K446" s="69"/>
    </row>
    <row r="447" spans="1:11" s="21" customFormat="1" ht="15.75">
      <c r="A447" s="21" t="s">
        <v>923</v>
      </c>
      <c r="B447" s="28"/>
      <c r="C447" s="29" t="s">
        <v>832</v>
      </c>
      <c r="D447" s="29"/>
      <c r="E447" s="29"/>
      <c r="F447" s="29"/>
      <c r="G447" s="29"/>
      <c r="H447" s="29"/>
      <c r="I447" s="27"/>
      <c r="J447" s="29"/>
      <c r="K447" s="29"/>
    </row>
    <row r="448" spans="1:11" s="107" customFormat="1" ht="45">
      <c r="A448" s="99" t="s">
        <v>924</v>
      </c>
      <c r="B448" s="100" t="s">
        <v>1923</v>
      </c>
      <c r="C448" s="101" t="s">
        <v>541</v>
      </c>
      <c r="D448" s="102" t="s">
        <v>10</v>
      </c>
      <c r="E448" s="103">
        <v>11</v>
      </c>
      <c r="F448" s="104">
        <f>TRUNC(G454,2)</f>
        <v>295.95</v>
      </c>
      <c r="G448" s="105">
        <f>TRUNC(F448*1.2247,2)</f>
        <v>362.44</v>
      </c>
      <c r="H448" s="105">
        <f>TRUNC(F448*E448,2)</f>
        <v>3255.45</v>
      </c>
      <c r="I448" s="106">
        <f>TRUNC(E448*G448,2)</f>
        <v>3986.84</v>
      </c>
      <c r="J448" s="106"/>
      <c r="K448" s="103"/>
    </row>
    <row r="449" spans="1:11" s="34" customFormat="1" ht="30">
      <c r="A449" s="30"/>
      <c r="B449" s="43" t="s">
        <v>1924</v>
      </c>
      <c r="C449" s="45" t="s">
        <v>543</v>
      </c>
      <c r="D449" s="46" t="s">
        <v>10</v>
      </c>
      <c r="E449" s="44">
        <v>19.8</v>
      </c>
      <c r="F449" s="31">
        <f>TRUNC(0.08,2)</f>
        <v>0.08</v>
      </c>
      <c r="G449" s="32">
        <f>TRUNC(E449*F449,2)</f>
        <v>1.58</v>
      </c>
      <c r="H449" s="32"/>
      <c r="I449" s="33"/>
      <c r="J449" s="33"/>
      <c r="K449" s="44"/>
    </row>
    <row r="450" spans="1:11" s="34" customFormat="1" ht="45">
      <c r="A450" s="30"/>
      <c r="B450" s="43" t="s">
        <v>1925</v>
      </c>
      <c r="C450" s="45" t="s">
        <v>545</v>
      </c>
      <c r="D450" s="46" t="s">
        <v>10</v>
      </c>
      <c r="E450" s="44">
        <v>1</v>
      </c>
      <c r="F450" s="31">
        <f>TRUNC(153.12,2)</f>
        <v>153.12</v>
      </c>
      <c r="G450" s="32">
        <f>TRUNC(E450*F450,2)</f>
        <v>153.12</v>
      </c>
      <c r="H450" s="32"/>
      <c r="I450" s="33"/>
      <c r="J450" s="33"/>
      <c r="K450" s="44"/>
    </row>
    <row r="451" spans="1:11" s="34" customFormat="1" ht="30">
      <c r="A451" s="30"/>
      <c r="B451" s="43" t="s">
        <v>1926</v>
      </c>
      <c r="C451" s="45" t="s">
        <v>547</v>
      </c>
      <c r="D451" s="46" t="s">
        <v>10</v>
      </c>
      <c r="E451" s="44">
        <v>3</v>
      </c>
      <c r="F451" s="31">
        <f>TRUNC(24.83,2)</f>
        <v>24.83</v>
      </c>
      <c r="G451" s="32">
        <f>TRUNC(E451*F451,2)</f>
        <v>74.49</v>
      </c>
      <c r="H451" s="32"/>
      <c r="I451" s="33"/>
      <c r="J451" s="33"/>
      <c r="K451" s="44"/>
    </row>
    <row r="452" spans="1:11" s="34" customFormat="1" ht="15">
      <c r="A452" s="30"/>
      <c r="B452" s="43" t="s">
        <v>43</v>
      </c>
      <c r="C452" s="45" t="s">
        <v>32</v>
      </c>
      <c r="D452" s="46" t="s">
        <v>4</v>
      </c>
      <c r="E452" s="44">
        <v>0.773</v>
      </c>
      <c r="F452" s="31">
        <f>TRUNC(23.42,2)</f>
        <v>23.42</v>
      </c>
      <c r="G452" s="32">
        <f>TRUNC(E452*F452,2)</f>
        <v>18.1</v>
      </c>
      <c r="H452" s="32"/>
      <c r="I452" s="33"/>
      <c r="J452" s="33"/>
      <c r="K452" s="44"/>
    </row>
    <row r="453" spans="1:11" s="34" customFormat="1" ht="15">
      <c r="A453" s="30"/>
      <c r="B453" s="43" t="s">
        <v>1927</v>
      </c>
      <c r="C453" s="45" t="s">
        <v>549</v>
      </c>
      <c r="D453" s="46" t="s">
        <v>4</v>
      </c>
      <c r="E453" s="44">
        <v>1.546</v>
      </c>
      <c r="F453" s="31">
        <f>TRUNC(31.48,2)</f>
        <v>31.48</v>
      </c>
      <c r="G453" s="32">
        <f>TRUNC(E453*F453,2)</f>
        <v>48.66</v>
      </c>
      <c r="H453" s="32"/>
      <c r="I453" s="33"/>
      <c r="J453" s="33"/>
      <c r="K453" s="44"/>
    </row>
    <row r="454" spans="1:11" s="34" customFormat="1" ht="15">
      <c r="A454" s="30"/>
      <c r="B454" s="43"/>
      <c r="C454" s="45"/>
      <c r="D454" s="46"/>
      <c r="E454" s="44" t="s">
        <v>5</v>
      </c>
      <c r="F454" s="31"/>
      <c r="G454" s="32">
        <f>TRUNC(SUM(G449:G453),2)</f>
        <v>295.95</v>
      </c>
      <c r="H454" s="32"/>
      <c r="I454" s="33"/>
      <c r="J454" s="33"/>
      <c r="K454" s="44"/>
    </row>
    <row r="455" spans="1:11" s="107" customFormat="1" ht="45">
      <c r="A455" s="99" t="s">
        <v>925</v>
      </c>
      <c r="B455" s="100" t="s">
        <v>1928</v>
      </c>
      <c r="C455" s="101" t="s">
        <v>551</v>
      </c>
      <c r="D455" s="102" t="s">
        <v>10</v>
      </c>
      <c r="E455" s="103">
        <v>1</v>
      </c>
      <c r="F455" s="104">
        <f>TRUNC(G461,2)</f>
        <v>270.61</v>
      </c>
      <c r="G455" s="105">
        <f>TRUNC(F455*1.2247,2)</f>
        <v>331.41</v>
      </c>
      <c r="H455" s="105">
        <f>TRUNC(F455*E455,2)</f>
        <v>270.61</v>
      </c>
      <c r="I455" s="106">
        <f>TRUNC(E455*G455,2)</f>
        <v>331.41</v>
      </c>
      <c r="J455" s="106"/>
      <c r="K455" s="103"/>
    </row>
    <row r="456" spans="1:11" s="34" customFormat="1" ht="30">
      <c r="A456" s="30"/>
      <c r="B456" s="43" t="s">
        <v>1924</v>
      </c>
      <c r="C456" s="45" t="s">
        <v>543</v>
      </c>
      <c r="D456" s="46" t="s">
        <v>10</v>
      </c>
      <c r="E456" s="44">
        <v>19.8</v>
      </c>
      <c r="F456" s="31">
        <f>TRUNC(0.08,2)</f>
        <v>0.08</v>
      </c>
      <c r="G456" s="32">
        <f>TRUNC(E456*F456,2)</f>
        <v>1.58</v>
      </c>
      <c r="H456" s="32"/>
      <c r="I456" s="33"/>
      <c r="J456" s="33"/>
      <c r="K456" s="44"/>
    </row>
    <row r="457" spans="1:11" s="34" customFormat="1" ht="45">
      <c r="A457" s="30"/>
      <c r="B457" s="43" t="s">
        <v>1929</v>
      </c>
      <c r="C457" s="45" t="s">
        <v>553</v>
      </c>
      <c r="D457" s="46" t="s">
        <v>10</v>
      </c>
      <c r="E457" s="44">
        <v>1</v>
      </c>
      <c r="F457" s="31">
        <f>TRUNC(139.18,2)</f>
        <v>139.18</v>
      </c>
      <c r="G457" s="32">
        <f>TRUNC(E457*F457,2)</f>
        <v>139.18</v>
      </c>
      <c r="H457" s="32"/>
      <c r="I457" s="33"/>
      <c r="J457" s="33"/>
      <c r="K457" s="44"/>
    </row>
    <row r="458" spans="1:11" s="34" customFormat="1" ht="30">
      <c r="A458" s="30"/>
      <c r="B458" s="43" t="s">
        <v>1926</v>
      </c>
      <c r="C458" s="45" t="s">
        <v>547</v>
      </c>
      <c r="D458" s="46" t="s">
        <v>10</v>
      </c>
      <c r="E458" s="44">
        <v>3</v>
      </c>
      <c r="F458" s="31">
        <f>TRUNC(24.83,2)</f>
        <v>24.83</v>
      </c>
      <c r="G458" s="32">
        <f>TRUNC(E458*F458,2)</f>
        <v>74.49</v>
      </c>
      <c r="H458" s="32"/>
      <c r="I458" s="33"/>
      <c r="J458" s="33"/>
      <c r="K458" s="44"/>
    </row>
    <row r="459" spans="1:11" s="34" customFormat="1" ht="15">
      <c r="A459" s="30"/>
      <c r="B459" s="43" t="s">
        <v>43</v>
      </c>
      <c r="C459" s="45" t="s">
        <v>32</v>
      </c>
      <c r="D459" s="46" t="s">
        <v>4</v>
      </c>
      <c r="E459" s="44">
        <v>0.641</v>
      </c>
      <c r="F459" s="31">
        <f>TRUNC(23.42,2)</f>
        <v>23.42</v>
      </c>
      <c r="G459" s="32">
        <f>TRUNC(E459*F459,2)</f>
        <v>15.01</v>
      </c>
      <c r="H459" s="32"/>
      <c r="I459" s="33"/>
      <c r="J459" s="33"/>
      <c r="K459" s="44"/>
    </row>
    <row r="460" spans="1:11" s="34" customFormat="1" ht="15">
      <c r="A460" s="30"/>
      <c r="B460" s="43" t="s">
        <v>1927</v>
      </c>
      <c r="C460" s="45" t="s">
        <v>549</v>
      </c>
      <c r="D460" s="46" t="s">
        <v>4</v>
      </c>
      <c r="E460" s="44">
        <v>1.282</v>
      </c>
      <c r="F460" s="31">
        <f>TRUNC(31.48,2)</f>
        <v>31.48</v>
      </c>
      <c r="G460" s="32">
        <f>TRUNC(E460*F460,2)</f>
        <v>40.35</v>
      </c>
      <c r="H460" s="32"/>
      <c r="I460" s="33"/>
      <c r="J460" s="33"/>
      <c r="K460" s="44"/>
    </row>
    <row r="461" spans="1:11" s="34" customFormat="1" ht="15">
      <c r="A461" s="30"/>
      <c r="B461" s="43"/>
      <c r="C461" s="45"/>
      <c r="D461" s="46"/>
      <c r="E461" s="44" t="s">
        <v>5</v>
      </c>
      <c r="F461" s="31"/>
      <c r="G461" s="32">
        <f>TRUNC(SUM(G456:G460),2)</f>
        <v>270.61</v>
      </c>
      <c r="H461" s="32"/>
      <c r="I461" s="33"/>
      <c r="J461" s="33"/>
      <c r="K461" s="44"/>
    </row>
    <row r="462" spans="1:11" s="116" customFormat="1" ht="42.75">
      <c r="A462" s="108" t="s">
        <v>926</v>
      </c>
      <c r="B462" s="109" t="s">
        <v>1934</v>
      </c>
      <c r="C462" s="110" t="s">
        <v>838</v>
      </c>
      <c r="D462" s="111" t="s">
        <v>10</v>
      </c>
      <c r="E462" s="112">
        <v>15</v>
      </c>
      <c r="F462" s="113">
        <f>TRUNC(G469+G475,2)</f>
        <v>569.71</v>
      </c>
      <c r="G462" s="114">
        <f>TRUNC(F462*1.2247,2)</f>
        <v>697.72</v>
      </c>
      <c r="H462" s="114">
        <f>TRUNC(F462*E462,2)</f>
        <v>8545.65</v>
      </c>
      <c r="I462" s="115">
        <f>TRUNC(E462*G462,2)</f>
        <v>10465.8</v>
      </c>
      <c r="J462" s="115"/>
      <c r="K462" s="112">
        <f>E462+E455+E448</f>
        <v>27</v>
      </c>
    </row>
    <row r="463" spans="1:11" s="58" customFormat="1" ht="42.75">
      <c r="A463" s="54"/>
      <c r="B463" s="52" t="s">
        <v>1923</v>
      </c>
      <c r="C463" s="55" t="s">
        <v>541</v>
      </c>
      <c r="D463" s="56" t="s">
        <v>10</v>
      </c>
      <c r="E463" s="57">
        <v>1</v>
      </c>
      <c r="F463" s="53">
        <f>TRUNC(295.96574,2)</f>
        <v>295.96</v>
      </c>
      <c r="G463" s="32">
        <f aca="true" t="shared" si="26" ref="G463:G468">TRUNC(E463*F463,2)</f>
        <v>295.96</v>
      </c>
      <c r="H463" s="32"/>
      <c r="I463" s="33"/>
      <c r="J463" s="51"/>
      <c r="K463" s="57"/>
    </row>
    <row r="464" spans="1:11" s="58" customFormat="1" ht="28.5">
      <c r="A464" s="54"/>
      <c r="B464" s="52" t="s">
        <v>1924</v>
      </c>
      <c r="C464" s="55" t="s">
        <v>543</v>
      </c>
      <c r="D464" s="56" t="s">
        <v>10</v>
      </c>
      <c r="E464" s="57">
        <v>19.8</v>
      </c>
      <c r="F464" s="53">
        <f>TRUNC(0.08,2)</f>
        <v>0.08</v>
      </c>
      <c r="G464" s="32">
        <f t="shared" si="26"/>
        <v>1.58</v>
      </c>
      <c r="H464" s="32"/>
      <c r="I464" s="33"/>
      <c r="J464" s="51"/>
      <c r="K464" s="57"/>
    </row>
    <row r="465" spans="1:11" s="58" customFormat="1" ht="42.75">
      <c r="A465" s="54"/>
      <c r="B465" s="52" t="s">
        <v>1925</v>
      </c>
      <c r="C465" s="55" t="s">
        <v>545</v>
      </c>
      <c r="D465" s="56" t="s">
        <v>10</v>
      </c>
      <c r="E465" s="57">
        <v>1</v>
      </c>
      <c r="F465" s="53">
        <f>TRUNC(153.12,2)</f>
        <v>153.12</v>
      </c>
      <c r="G465" s="32">
        <f t="shared" si="26"/>
        <v>153.12</v>
      </c>
      <c r="H465" s="32"/>
      <c r="I465" s="33"/>
      <c r="J465" s="51"/>
      <c r="K465" s="57"/>
    </row>
    <row r="466" spans="1:11" s="58" customFormat="1" ht="28.5">
      <c r="A466" s="54"/>
      <c r="B466" s="52" t="s">
        <v>1926</v>
      </c>
      <c r="C466" s="55" t="s">
        <v>547</v>
      </c>
      <c r="D466" s="56" t="s">
        <v>10</v>
      </c>
      <c r="E466" s="57">
        <v>3</v>
      </c>
      <c r="F466" s="53">
        <f>TRUNC(24.83,2)</f>
        <v>24.83</v>
      </c>
      <c r="G466" s="32">
        <f t="shared" si="26"/>
        <v>74.49</v>
      </c>
      <c r="H466" s="32"/>
      <c r="I466" s="33"/>
      <c r="J466" s="51"/>
      <c r="K466" s="57"/>
    </row>
    <row r="467" spans="1:11" s="58" customFormat="1" ht="15">
      <c r="A467" s="54"/>
      <c r="B467" s="52" t="s">
        <v>43</v>
      </c>
      <c r="C467" s="55" t="s">
        <v>32</v>
      </c>
      <c r="D467" s="56" t="s">
        <v>4</v>
      </c>
      <c r="E467" s="57">
        <v>0.773</v>
      </c>
      <c r="F467" s="53">
        <f>TRUNC(23.42,2)</f>
        <v>23.42</v>
      </c>
      <c r="G467" s="32">
        <f t="shared" si="26"/>
        <v>18.1</v>
      </c>
      <c r="H467" s="32"/>
      <c r="I467" s="33"/>
      <c r="J467" s="51"/>
      <c r="K467" s="57"/>
    </row>
    <row r="468" spans="1:11" s="58" customFormat="1" ht="15">
      <c r="A468" s="54"/>
      <c r="B468" s="52" t="s">
        <v>1927</v>
      </c>
      <c r="C468" s="55" t="s">
        <v>549</v>
      </c>
      <c r="D468" s="56" t="s">
        <v>4</v>
      </c>
      <c r="E468" s="57">
        <v>1.546</v>
      </c>
      <c r="F468" s="53">
        <f>TRUNC(31.48,2)</f>
        <v>31.48</v>
      </c>
      <c r="G468" s="32">
        <f t="shared" si="26"/>
        <v>48.66</v>
      </c>
      <c r="H468" s="32"/>
      <c r="I468" s="33"/>
      <c r="J468" s="51"/>
      <c r="K468" s="57"/>
    </row>
    <row r="469" spans="1:11" s="58" customFormat="1" ht="15">
      <c r="A469" s="54"/>
      <c r="B469" s="52"/>
      <c r="C469" s="55"/>
      <c r="D469" s="56"/>
      <c r="E469" s="57" t="s">
        <v>5</v>
      </c>
      <c r="F469" s="53"/>
      <c r="G469" s="32">
        <f>TRUNC(SUM(G464:G468),2)</f>
        <v>295.95</v>
      </c>
      <c r="H469" s="32"/>
      <c r="I469" s="33"/>
      <c r="J469" s="51"/>
      <c r="K469" s="57"/>
    </row>
    <row r="470" spans="1:11" s="34" customFormat="1" ht="30">
      <c r="A470" s="30"/>
      <c r="B470" s="43" t="s">
        <v>1930</v>
      </c>
      <c r="C470" s="45" t="s">
        <v>834</v>
      </c>
      <c r="D470" s="46" t="s">
        <v>10</v>
      </c>
      <c r="E470" s="44">
        <v>1</v>
      </c>
      <c r="F470" s="31">
        <f>TRUNC(273.767916,2)</f>
        <v>273.76</v>
      </c>
      <c r="G470" s="32">
        <f>TRUNC(E470*F470,2)</f>
        <v>273.76</v>
      </c>
      <c r="H470" s="32"/>
      <c r="I470" s="33"/>
      <c r="J470" s="33"/>
      <c r="K470" s="44"/>
    </row>
    <row r="471" spans="1:11" s="34" customFormat="1" ht="30">
      <c r="A471" s="30"/>
      <c r="B471" s="43" t="s">
        <v>1931</v>
      </c>
      <c r="C471" s="45" t="s">
        <v>836</v>
      </c>
      <c r="D471" s="46" t="s">
        <v>10</v>
      </c>
      <c r="E471" s="44">
        <v>1</v>
      </c>
      <c r="F471" s="31">
        <f>TRUNC(125.74,2)</f>
        <v>125.74</v>
      </c>
      <c r="G471" s="32">
        <f>TRUNC(E471*F471,2)</f>
        <v>125.74</v>
      </c>
      <c r="H471" s="32"/>
      <c r="I471" s="33"/>
      <c r="J471" s="33"/>
      <c r="K471" s="44"/>
    </row>
    <row r="472" spans="1:11" s="34" customFormat="1" ht="30">
      <c r="A472" s="30"/>
      <c r="B472" s="43" t="s">
        <v>1932</v>
      </c>
      <c r="C472" s="45" t="s">
        <v>736</v>
      </c>
      <c r="D472" s="46" t="s">
        <v>10</v>
      </c>
      <c r="E472" s="44">
        <v>6</v>
      </c>
      <c r="F472" s="31">
        <f>TRUNC(18.87,2)</f>
        <v>18.87</v>
      </c>
      <c r="G472" s="32">
        <f>TRUNC(E472*F472,2)</f>
        <v>113.22</v>
      </c>
      <c r="H472" s="32"/>
      <c r="I472" s="33"/>
      <c r="J472" s="33"/>
      <c r="K472" s="44"/>
    </row>
    <row r="473" spans="1:11" s="34" customFormat="1" ht="15">
      <c r="A473" s="30"/>
      <c r="B473" s="43" t="s">
        <v>43</v>
      </c>
      <c r="C473" s="45" t="s">
        <v>32</v>
      </c>
      <c r="D473" s="46" t="s">
        <v>4</v>
      </c>
      <c r="E473" s="44">
        <v>0.2988</v>
      </c>
      <c r="F473" s="31">
        <f>TRUNC(23.42,2)</f>
        <v>23.42</v>
      </c>
      <c r="G473" s="32">
        <f>TRUNC(E473*F473,2)</f>
        <v>6.99</v>
      </c>
      <c r="H473" s="32"/>
      <c r="I473" s="33"/>
      <c r="J473" s="33"/>
      <c r="K473" s="44"/>
    </row>
    <row r="474" spans="1:11" s="34" customFormat="1" ht="15">
      <c r="A474" s="30"/>
      <c r="B474" s="43" t="s">
        <v>1933</v>
      </c>
      <c r="C474" s="45" t="s">
        <v>417</v>
      </c>
      <c r="D474" s="46" t="s">
        <v>4</v>
      </c>
      <c r="E474" s="44">
        <v>0.9485</v>
      </c>
      <c r="F474" s="31">
        <f>TRUNC(29.32,2)</f>
        <v>29.32</v>
      </c>
      <c r="G474" s="32">
        <f>TRUNC(E474*F474,2)</f>
        <v>27.81</v>
      </c>
      <c r="H474" s="32"/>
      <c r="I474" s="33"/>
      <c r="J474" s="33"/>
      <c r="K474" s="44"/>
    </row>
    <row r="475" spans="1:11" s="34" customFormat="1" ht="15">
      <c r="A475" s="30"/>
      <c r="B475" s="43"/>
      <c r="C475" s="45"/>
      <c r="D475" s="46"/>
      <c r="E475" s="44" t="s">
        <v>5</v>
      </c>
      <c r="F475" s="31"/>
      <c r="G475" s="32">
        <f>TRUNC(SUM(G471:G474),2)</f>
        <v>273.76</v>
      </c>
      <c r="H475" s="32"/>
      <c r="I475" s="33"/>
      <c r="J475" s="33"/>
      <c r="K475" s="44"/>
    </row>
    <row r="476" spans="1:11" s="107" customFormat="1" ht="60">
      <c r="A476" s="99" t="s">
        <v>927</v>
      </c>
      <c r="B476" s="100" t="s">
        <v>1935</v>
      </c>
      <c r="C476" s="101" t="s">
        <v>1936</v>
      </c>
      <c r="D476" s="102" t="s">
        <v>10</v>
      </c>
      <c r="E476" s="103">
        <v>11</v>
      </c>
      <c r="F476" s="104">
        <f>TRUNC(G482,2)</f>
        <v>722.98</v>
      </c>
      <c r="G476" s="105">
        <f>TRUNC(F476*1.2247,2)</f>
        <v>885.43</v>
      </c>
      <c r="H476" s="105">
        <f>TRUNC(F476*E476,2)</f>
        <v>7952.78</v>
      </c>
      <c r="I476" s="106">
        <f>TRUNC(E476*G476,2)</f>
        <v>9739.73</v>
      </c>
      <c r="J476" s="106"/>
      <c r="K476" s="103"/>
    </row>
    <row r="477" spans="1:11" s="34" customFormat="1" ht="15">
      <c r="A477" s="30"/>
      <c r="B477" s="43" t="s">
        <v>149</v>
      </c>
      <c r="C477" s="45" t="s">
        <v>842</v>
      </c>
      <c r="D477" s="46" t="s">
        <v>10</v>
      </c>
      <c r="E477" s="44">
        <v>1</v>
      </c>
      <c r="F477" s="31">
        <v>68.58</v>
      </c>
      <c r="G477" s="32">
        <f>TRUNC(E477*F477,2)</f>
        <v>68.58</v>
      </c>
      <c r="H477" s="32"/>
      <c r="I477" s="33"/>
      <c r="J477" s="33"/>
      <c r="K477" s="44"/>
    </row>
    <row r="478" spans="1:11" s="34" customFormat="1" ht="30">
      <c r="A478" s="30"/>
      <c r="B478" s="43" t="s">
        <v>63</v>
      </c>
      <c r="C478" s="45" t="s">
        <v>64</v>
      </c>
      <c r="D478" s="46" t="s">
        <v>3</v>
      </c>
      <c r="E478" s="44">
        <v>0.1</v>
      </c>
      <c r="F478" s="31">
        <f>TRUNC(15.94,2)</f>
        <v>15.94</v>
      </c>
      <c r="G478" s="32">
        <f>TRUNC(E478*F478,2)</f>
        <v>1.59</v>
      </c>
      <c r="H478" s="32"/>
      <c r="I478" s="33"/>
      <c r="J478" s="33"/>
      <c r="K478" s="44"/>
    </row>
    <row r="479" spans="1:11" s="34" customFormat="1" ht="30">
      <c r="A479" s="30"/>
      <c r="B479" s="43" t="s">
        <v>33</v>
      </c>
      <c r="C479" s="45" t="s">
        <v>34</v>
      </c>
      <c r="D479" s="46" t="s">
        <v>4</v>
      </c>
      <c r="E479" s="44">
        <v>5.665</v>
      </c>
      <c r="F479" s="31">
        <f>TRUNC(16.55,2)</f>
        <v>16.55</v>
      </c>
      <c r="G479" s="32">
        <f>TRUNC(E479*F479,2)</f>
        <v>93.75</v>
      </c>
      <c r="H479" s="32"/>
      <c r="I479" s="33"/>
      <c r="J479" s="33"/>
      <c r="K479" s="44"/>
    </row>
    <row r="480" spans="1:11" s="34" customFormat="1" ht="30">
      <c r="A480" s="30"/>
      <c r="B480" s="43" t="s">
        <v>1745</v>
      </c>
      <c r="C480" s="45" t="s">
        <v>1746</v>
      </c>
      <c r="D480" s="46" t="s">
        <v>4</v>
      </c>
      <c r="E480" s="44">
        <v>5.665</v>
      </c>
      <c r="F480" s="31">
        <f>TRUNC(24.61,2)</f>
        <v>24.61</v>
      </c>
      <c r="G480" s="32">
        <f>TRUNC(E480*F480,2)</f>
        <v>139.41</v>
      </c>
      <c r="H480" s="32"/>
      <c r="I480" s="33"/>
      <c r="J480" s="33"/>
      <c r="K480" s="44"/>
    </row>
    <row r="481" spans="1:11" s="34" customFormat="1" ht="15">
      <c r="A481" s="30"/>
      <c r="B481" s="43" t="s">
        <v>1937</v>
      </c>
      <c r="C481" s="45" t="s">
        <v>1938</v>
      </c>
      <c r="D481" s="46" t="s">
        <v>0</v>
      </c>
      <c r="E481" s="44">
        <v>3.85</v>
      </c>
      <c r="F481" s="31">
        <f>TRUNC(109.0088,2)</f>
        <v>109</v>
      </c>
      <c r="G481" s="32">
        <f>TRUNC(E481*F481,2)</f>
        <v>419.65</v>
      </c>
      <c r="H481" s="32"/>
      <c r="I481" s="33"/>
      <c r="J481" s="33"/>
      <c r="K481" s="44"/>
    </row>
    <row r="482" spans="1:11" s="34" customFormat="1" ht="15">
      <c r="A482" s="30"/>
      <c r="B482" s="43"/>
      <c r="C482" s="45"/>
      <c r="D482" s="46"/>
      <c r="E482" s="44" t="s">
        <v>5</v>
      </c>
      <c r="F482" s="31"/>
      <c r="G482" s="32">
        <f>TRUNC(SUM(G477:G481),2)</f>
        <v>722.98</v>
      </c>
      <c r="H482" s="32"/>
      <c r="I482" s="33"/>
      <c r="J482" s="33"/>
      <c r="K482" s="44"/>
    </row>
    <row r="483" spans="1:11" s="107" customFormat="1" ht="60">
      <c r="A483" s="99" t="s">
        <v>928</v>
      </c>
      <c r="B483" s="100" t="s">
        <v>1939</v>
      </c>
      <c r="C483" s="101" t="s">
        <v>844</v>
      </c>
      <c r="D483" s="102" t="s">
        <v>10</v>
      </c>
      <c r="E483" s="103">
        <v>27</v>
      </c>
      <c r="F483" s="104">
        <f>TRUNC(G485,2)</f>
        <v>231.59</v>
      </c>
      <c r="G483" s="105">
        <f>TRUNC(F483*1.2247,2)</f>
        <v>283.62</v>
      </c>
      <c r="H483" s="105">
        <f>TRUNC(F483*E483,2)</f>
        <v>6252.93</v>
      </c>
      <c r="I483" s="106">
        <f>TRUNC(E483*G483,2)</f>
        <v>7657.74</v>
      </c>
      <c r="J483" s="106"/>
      <c r="K483" s="103"/>
    </row>
    <row r="484" spans="1:11" s="34" customFormat="1" ht="30">
      <c r="A484" s="30"/>
      <c r="B484" s="43" t="s">
        <v>845</v>
      </c>
      <c r="C484" s="45" t="s">
        <v>846</v>
      </c>
      <c r="D484" s="46" t="s">
        <v>10</v>
      </c>
      <c r="E484" s="44">
        <v>1</v>
      </c>
      <c r="F484" s="31">
        <f>TRUNC(231.59,2)</f>
        <v>231.59</v>
      </c>
      <c r="G484" s="32">
        <f>TRUNC(E484*F484,2)</f>
        <v>231.59</v>
      </c>
      <c r="H484" s="32"/>
      <c r="I484" s="33"/>
      <c r="J484" s="33"/>
      <c r="K484" s="44"/>
    </row>
    <row r="485" spans="1:11" s="34" customFormat="1" ht="15">
      <c r="A485" s="30"/>
      <c r="B485" s="43"/>
      <c r="C485" s="45"/>
      <c r="D485" s="46"/>
      <c r="E485" s="44" t="s">
        <v>5</v>
      </c>
      <c r="F485" s="31"/>
      <c r="G485" s="32">
        <f>TRUNC(SUM(G484:G484),2)</f>
        <v>231.59</v>
      </c>
      <c r="H485" s="32"/>
      <c r="I485" s="33"/>
      <c r="J485" s="33"/>
      <c r="K485" s="44"/>
    </row>
    <row r="486" spans="1:11" s="107" customFormat="1" ht="45">
      <c r="A486" s="99" t="s">
        <v>929</v>
      </c>
      <c r="B486" s="100" t="s">
        <v>1940</v>
      </c>
      <c r="C486" s="101" t="s">
        <v>848</v>
      </c>
      <c r="D486" s="102" t="s">
        <v>10</v>
      </c>
      <c r="E486" s="103">
        <v>11</v>
      </c>
      <c r="F486" s="104">
        <f>TRUNC(G490,2)</f>
        <v>117.1</v>
      </c>
      <c r="G486" s="105">
        <f>TRUNC(F486*1.2247,2)</f>
        <v>143.41</v>
      </c>
      <c r="H486" s="105">
        <f>TRUNC(F486*E486,2)</f>
        <v>1288.1</v>
      </c>
      <c r="I486" s="106">
        <f>TRUNC(E486*G486,2)</f>
        <v>1577.51</v>
      </c>
      <c r="J486" s="106"/>
      <c r="K486" s="103"/>
    </row>
    <row r="487" spans="1:11" s="34" customFormat="1" ht="60">
      <c r="A487" s="30"/>
      <c r="B487" s="43" t="s">
        <v>1941</v>
      </c>
      <c r="C487" s="45" t="s">
        <v>850</v>
      </c>
      <c r="D487" s="46" t="s">
        <v>851</v>
      </c>
      <c r="E487" s="44">
        <v>1</v>
      </c>
      <c r="F487" s="31">
        <f>TRUNC(83.97,2)</f>
        <v>83.97</v>
      </c>
      <c r="G487" s="32">
        <f>TRUNC(E487*F487,2)</f>
        <v>83.97</v>
      </c>
      <c r="H487" s="32"/>
      <c r="I487" s="33"/>
      <c r="J487" s="33"/>
      <c r="K487" s="44"/>
    </row>
    <row r="488" spans="1:11" s="34" customFormat="1" ht="15">
      <c r="A488" s="30"/>
      <c r="B488" s="43" t="s">
        <v>43</v>
      </c>
      <c r="C488" s="45" t="s">
        <v>32</v>
      </c>
      <c r="D488" s="46" t="s">
        <v>4</v>
      </c>
      <c r="E488" s="44">
        <v>0.384</v>
      </c>
      <c r="F488" s="31">
        <f>TRUNC(23.42,2)</f>
        <v>23.42</v>
      </c>
      <c r="G488" s="32">
        <f>TRUNC(E488*F488,2)</f>
        <v>8.99</v>
      </c>
      <c r="H488" s="32"/>
      <c r="I488" s="33"/>
      <c r="J488" s="33"/>
      <c r="K488" s="44"/>
    </row>
    <row r="489" spans="1:11" s="34" customFormat="1" ht="15">
      <c r="A489" s="30"/>
      <c r="B489" s="43" t="s">
        <v>1927</v>
      </c>
      <c r="C489" s="45" t="s">
        <v>549</v>
      </c>
      <c r="D489" s="46" t="s">
        <v>4</v>
      </c>
      <c r="E489" s="44">
        <v>0.767</v>
      </c>
      <c r="F489" s="31">
        <f>TRUNC(31.48,2)</f>
        <v>31.48</v>
      </c>
      <c r="G489" s="32">
        <f>TRUNC(E489*F489,2)</f>
        <v>24.14</v>
      </c>
      <c r="H489" s="32"/>
      <c r="I489" s="33"/>
      <c r="J489" s="33"/>
      <c r="K489" s="44"/>
    </row>
    <row r="490" spans="1:11" s="34" customFormat="1" ht="15">
      <c r="A490" s="30"/>
      <c r="B490" s="43"/>
      <c r="C490" s="45"/>
      <c r="D490" s="46"/>
      <c r="E490" s="44" t="s">
        <v>5</v>
      </c>
      <c r="F490" s="31"/>
      <c r="G490" s="32">
        <f>TRUNC(SUM(G487:G489),2)</f>
        <v>117.1</v>
      </c>
      <c r="H490" s="32"/>
      <c r="I490" s="33"/>
      <c r="J490" s="33"/>
      <c r="K490" s="44"/>
    </row>
    <row r="491" spans="1:11" s="107" customFormat="1" ht="30">
      <c r="A491" s="99" t="s">
        <v>930</v>
      </c>
      <c r="B491" s="100" t="s">
        <v>1942</v>
      </c>
      <c r="C491" s="101" t="s">
        <v>557</v>
      </c>
      <c r="D491" s="102" t="s">
        <v>0</v>
      </c>
      <c r="E491" s="103">
        <v>8.38</v>
      </c>
      <c r="F491" s="104">
        <f>TRUNC(G498,2)</f>
        <v>614.87</v>
      </c>
      <c r="G491" s="105">
        <f>TRUNC(F491*1.2247,2)</f>
        <v>753.03</v>
      </c>
      <c r="H491" s="105">
        <f>TRUNC(F491*E491,2)</f>
        <v>5152.61</v>
      </c>
      <c r="I491" s="106">
        <f>TRUNC(E491*G491,2)</f>
        <v>6310.39</v>
      </c>
      <c r="J491" s="106"/>
      <c r="K491" s="103"/>
    </row>
    <row r="492" spans="1:11" s="34" customFormat="1" ht="30">
      <c r="A492" s="30"/>
      <c r="B492" s="43" t="s">
        <v>1943</v>
      </c>
      <c r="C492" s="45" t="s">
        <v>559</v>
      </c>
      <c r="D492" s="46" t="s">
        <v>10</v>
      </c>
      <c r="E492" s="44">
        <v>0.5473</v>
      </c>
      <c r="F492" s="31">
        <f>TRUNC(921.01,2)</f>
        <v>921.01</v>
      </c>
      <c r="G492" s="32">
        <f aca="true" t="shared" si="27" ref="G492:G497">TRUNC(E492*F492,2)</f>
        <v>504.06</v>
      </c>
      <c r="H492" s="32"/>
      <c r="I492" s="33"/>
      <c r="J492" s="33"/>
      <c r="K492" s="44"/>
    </row>
    <row r="493" spans="1:11" s="34" customFormat="1" ht="30">
      <c r="A493" s="30"/>
      <c r="B493" s="43" t="s">
        <v>1944</v>
      </c>
      <c r="C493" s="45" t="s">
        <v>561</v>
      </c>
      <c r="D493" s="46" t="s">
        <v>2</v>
      </c>
      <c r="E493" s="44">
        <v>6.8504</v>
      </c>
      <c r="F493" s="31">
        <f>TRUNC(9.65,2)</f>
        <v>9.65</v>
      </c>
      <c r="G493" s="32">
        <f t="shared" si="27"/>
        <v>66.1</v>
      </c>
      <c r="H493" s="32"/>
      <c r="I493" s="33"/>
      <c r="J493" s="33"/>
      <c r="K493" s="44"/>
    </row>
    <row r="494" spans="1:11" s="34" customFormat="1" ht="30">
      <c r="A494" s="30"/>
      <c r="B494" s="43" t="s">
        <v>1945</v>
      </c>
      <c r="C494" s="45" t="s">
        <v>563</v>
      </c>
      <c r="D494" s="46" t="s">
        <v>10</v>
      </c>
      <c r="E494" s="44">
        <v>4.8166</v>
      </c>
      <c r="F494" s="31">
        <f>TRUNC(0.67,2)</f>
        <v>0.67</v>
      </c>
      <c r="G494" s="32">
        <f t="shared" si="27"/>
        <v>3.22</v>
      </c>
      <c r="H494" s="32"/>
      <c r="I494" s="33"/>
      <c r="J494" s="33"/>
      <c r="K494" s="44"/>
    </row>
    <row r="495" spans="1:11" s="34" customFormat="1" ht="30">
      <c r="A495" s="30"/>
      <c r="B495" s="43" t="s">
        <v>1946</v>
      </c>
      <c r="C495" s="45" t="s">
        <v>565</v>
      </c>
      <c r="D495" s="46" t="s">
        <v>566</v>
      </c>
      <c r="E495" s="44">
        <v>0.8829</v>
      </c>
      <c r="F495" s="31">
        <f>TRUNC(28.96,2)</f>
        <v>28.96</v>
      </c>
      <c r="G495" s="32">
        <f t="shared" si="27"/>
        <v>25.56</v>
      </c>
      <c r="H495" s="32"/>
      <c r="I495" s="33"/>
      <c r="J495" s="33"/>
      <c r="K495" s="44"/>
    </row>
    <row r="496" spans="1:11" s="34" customFormat="1" ht="15">
      <c r="A496" s="30"/>
      <c r="B496" s="43" t="s">
        <v>43</v>
      </c>
      <c r="C496" s="45" t="s">
        <v>32</v>
      </c>
      <c r="D496" s="46" t="s">
        <v>4</v>
      </c>
      <c r="E496" s="44">
        <v>0.191</v>
      </c>
      <c r="F496" s="31">
        <f>TRUNC(23.42,2)</f>
        <v>23.42</v>
      </c>
      <c r="G496" s="32">
        <f t="shared" si="27"/>
        <v>4.47</v>
      </c>
      <c r="H496" s="32"/>
      <c r="I496" s="33"/>
      <c r="J496" s="33"/>
      <c r="K496" s="44"/>
    </row>
    <row r="497" spans="1:11" s="34" customFormat="1" ht="15">
      <c r="A497" s="30"/>
      <c r="B497" s="43" t="s">
        <v>1842</v>
      </c>
      <c r="C497" s="45" t="s">
        <v>307</v>
      </c>
      <c r="D497" s="46" t="s">
        <v>4</v>
      </c>
      <c r="E497" s="44">
        <v>0.3826</v>
      </c>
      <c r="F497" s="31">
        <f>TRUNC(29.96,2)</f>
        <v>29.96</v>
      </c>
      <c r="G497" s="32">
        <f t="shared" si="27"/>
        <v>11.46</v>
      </c>
      <c r="H497" s="32"/>
      <c r="I497" s="33"/>
      <c r="J497" s="33"/>
      <c r="K497" s="44"/>
    </row>
    <row r="498" spans="1:11" s="34" customFormat="1" ht="15">
      <c r="A498" s="30"/>
      <c r="B498" s="43"/>
      <c r="C498" s="45"/>
      <c r="D498" s="46"/>
      <c r="E498" s="44" t="s">
        <v>5</v>
      </c>
      <c r="F498" s="31"/>
      <c r="G498" s="32">
        <f>TRUNC(SUM(G492:G497),2)</f>
        <v>614.87</v>
      </c>
      <c r="H498" s="32"/>
      <c r="I498" s="33"/>
      <c r="J498" s="33"/>
      <c r="K498" s="44"/>
    </row>
    <row r="499" spans="1:11" s="107" customFormat="1" ht="45">
      <c r="A499" s="99" t="s">
        <v>931</v>
      </c>
      <c r="B499" s="100" t="s">
        <v>1947</v>
      </c>
      <c r="C499" s="101" t="s">
        <v>853</v>
      </c>
      <c r="D499" s="102" t="s">
        <v>0</v>
      </c>
      <c r="E499" s="103">
        <v>13.32</v>
      </c>
      <c r="F499" s="104">
        <f>TRUNC(G503,2)</f>
        <v>516.83</v>
      </c>
      <c r="G499" s="105">
        <f>TRUNC(F499*1.2247,2)</f>
        <v>632.96</v>
      </c>
      <c r="H499" s="105">
        <f>TRUNC(F499*E499,2)</f>
        <v>6884.17</v>
      </c>
      <c r="I499" s="106">
        <f>TRUNC(E499*G499,2)</f>
        <v>8431.02</v>
      </c>
      <c r="J499" s="106"/>
      <c r="K499" s="103"/>
    </row>
    <row r="500" spans="1:11" s="34" customFormat="1" ht="15">
      <c r="A500" s="30"/>
      <c r="B500" s="43" t="s">
        <v>854</v>
      </c>
      <c r="C500" s="45" t="s">
        <v>855</v>
      </c>
      <c r="D500" s="46" t="s">
        <v>3</v>
      </c>
      <c r="E500" s="44">
        <v>12.177</v>
      </c>
      <c r="F500" s="31">
        <f>TRUNC(32,2)</f>
        <v>32</v>
      </c>
      <c r="G500" s="32">
        <f>TRUNC(E500*F500,2)</f>
        <v>389.66</v>
      </c>
      <c r="H500" s="32"/>
      <c r="I500" s="33"/>
      <c r="J500" s="33"/>
      <c r="K500" s="44"/>
    </row>
    <row r="501" spans="1:11" s="34" customFormat="1" ht="30">
      <c r="A501" s="30"/>
      <c r="B501" s="43" t="s">
        <v>1750</v>
      </c>
      <c r="C501" s="45" t="s">
        <v>1751</v>
      </c>
      <c r="D501" s="46" t="s">
        <v>4</v>
      </c>
      <c r="E501" s="44">
        <v>3.09</v>
      </c>
      <c r="F501" s="31">
        <f>TRUNC(24.61,2)</f>
        <v>24.61</v>
      </c>
      <c r="G501" s="32">
        <f>TRUNC(E501*F501,2)</f>
        <v>76.04</v>
      </c>
      <c r="H501" s="32"/>
      <c r="I501" s="33"/>
      <c r="J501" s="33"/>
      <c r="K501" s="44"/>
    </row>
    <row r="502" spans="1:11" s="34" customFormat="1" ht="30">
      <c r="A502" s="30"/>
      <c r="B502" s="43" t="s">
        <v>33</v>
      </c>
      <c r="C502" s="45" t="s">
        <v>34</v>
      </c>
      <c r="D502" s="46" t="s">
        <v>4</v>
      </c>
      <c r="E502" s="44">
        <v>3.09</v>
      </c>
      <c r="F502" s="31">
        <f>TRUNC(16.55,2)</f>
        <v>16.55</v>
      </c>
      <c r="G502" s="32">
        <f>TRUNC(E502*F502,2)</f>
        <v>51.13</v>
      </c>
      <c r="H502" s="32"/>
      <c r="I502" s="33"/>
      <c r="J502" s="33"/>
      <c r="K502" s="44"/>
    </row>
    <row r="503" spans="1:11" s="34" customFormat="1" ht="15">
      <c r="A503" s="30"/>
      <c r="B503" s="43"/>
      <c r="C503" s="45"/>
      <c r="D503" s="46"/>
      <c r="E503" s="44" t="s">
        <v>5</v>
      </c>
      <c r="F503" s="31"/>
      <c r="G503" s="32">
        <f>TRUNC(SUM(G500:G502),2)</f>
        <v>516.83</v>
      </c>
      <c r="H503" s="32"/>
      <c r="I503" s="33"/>
      <c r="J503" s="33"/>
      <c r="K503" s="44"/>
    </row>
    <row r="504" spans="1:11" s="107" customFormat="1" ht="45">
      <c r="A504" s="99" t="s">
        <v>932</v>
      </c>
      <c r="B504" s="100" t="s">
        <v>1948</v>
      </c>
      <c r="C504" s="101" t="s">
        <v>857</v>
      </c>
      <c r="D504" s="102" t="s">
        <v>0</v>
      </c>
      <c r="E504" s="103">
        <v>2.16</v>
      </c>
      <c r="F504" s="104">
        <f>TRUNC(G508,2)</f>
        <v>639.97</v>
      </c>
      <c r="G504" s="105">
        <f>TRUNC(F504*1.2247,2)</f>
        <v>783.77</v>
      </c>
      <c r="H504" s="105">
        <f>TRUNC(F504*E504,2)</f>
        <v>1382.33</v>
      </c>
      <c r="I504" s="106">
        <f>TRUNC(E504*G504,2)</f>
        <v>1692.94</v>
      </c>
      <c r="J504" s="106"/>
      <c r="K504" s="103"/>
    </row>
    <row r="505" spans="1:11" s="34" customFormat="1" ht="15">
      <c r="A505" s="30"/>
      <c r="B505" s="43" t="s">
        <v>854</v>
      </c>
      <c r="C505" s="45" t="s">
        <v>855</v>
      </c>
      <c r="D505" s="46" t="s">
        <v>3</v>
      </c>
      <c r="E505" s="44">
        <v>14.7</v>
      </c>
      <c r="F505" s="31">
        <f>TRUNC(32,2)</f>
        <v>32</v>
      </c>
      <c r="G505" s="32">
        <f>TRUNC(E505*F505,2)</f>
        <v>470.4</v>
      </c>
      <c r="H505" s="32"/>
      <c r="I505" s="33"/>
      <c r="J505" s="33"/>
      <c r="K505" s="44"/>
    </row>
    <row r="506" spans="1:11" s="34" customFormat="1" ht="30">
      <c r="A506" s="30"/>
      <c r="B506" s="43" t="s">
        <v>1750</v>
      </c>
      <c r="C506" s="45" t="s">
        <v>1751</v>
      </c>
      <c r="D506" s="46" t="s">
        <v>4</v>
      </c>
      <c r="E506" s="44">
        <v>4.12</v>
      </c>
      <c r="F506" s="31">
        <f>TRUNC(24.61,2)</f>
        <v>24.61</v>
      </c>
      <c r="G506" s="32">
        <f>TRUNC(E506*F506,2)</f>
        <v>101.39</v>
      </c>
      <c r="H506" s="32"/>
      <c r="I506" s="33"/>
      <c r="J506" s="33"/>
      <c r="K506" s="44"/>
    </row>
    <row r="507" spans="1:11" s="34" customFormat="1" ht="30">
      <c r="A507" s="30"/>
      <c r="B507" s="43" t="s">
        <v>33</v>
      </c>
      <c r="C507" s="45" t="s">
        <v>34</v>
      </c>
      <c r="D507" s="46" t="s">
        <v>4</v>
      </c>
      <c r="E507" s="44">
        <v>4.12</v>
      </c>
      <c r="F507" s="31">
        <f>TRUNC(16.55,2)</f>
        <v>16.55</v>
      </c>
      <c r="G507" s="32">
        <f>TRUNC(E507*F507,2)</f>
        <v>68.18</v>
      </c>
      <c r="H507" s="32"/>
      <c r="I507" s="33"/>
      <c r="J507" s="33"/>
      <c r="K507" s="44"/>
    </row>
    <row r="508" spans="1:11" s="34" customFormat="1" ht="15">
      <c r="A508" s="30"/>
      <c r="B508" s="43"/>
      <c r="C508" s="45"/>
      <c r="D508" s="46"/>
      <c r="E508" s="44" t="s">
        <v>5</v>
      </c>
      <c r="F508" s="31"/>
      <c r="G508" s="32">
        <f>TRUNC(SUM(G505:G507),2)</f>
        <v>639.97</v>
      </c>
      <c r="H508" s="32"/>
      <c r="I508" s="33"/>
      <c r="J508" s="33"/>
      <c r="K508" s="44"/>
    </row>
    <row r="509" spans="1:11" s="107" customFormat="1" ht="45">
      <c r="A509" s="99" t="s">
        <v>933</v>
      </c>
      <c r="B509" s="100" t="s">
        <v>1949</v>
      </c>
      <c r="C509" s="101" t="s">
        <v>1460</v>
      </c>
      <c r="D509" s="102" t="s">
        <v>0</v>
      </c>
      <c r="E509" s="103">
        <v>15.84</v>
      </c>
      <c r="F509" s="104">
        <f>TRUNC(G513,2)</f>
        <v>467.49</v>
      </c>
      <c r="G509" s="105">
        <f>TRUNC(F509*1.2247,2)</f>
        <v>572.53</v>
      </c>
      <c r="H509" s="105">
        <f>TRUNC(F509*E509,2)</f>
        <v>7405.04</v>
      </c>
      <c r="I509" s="106">
        <f>TRUNC(E509*G509,2)</f>
        <v>9068.87</v>
      </c>
      <c r="J509" s="106"/>
      <c r="K509" s="103"/>
    </row>
    <row r="510" spans="1:11" s="34" customFormat="1" ht="15">
      <c r="A510" s="30"/>
      <c r="B510" s="43" t="s">
        <v>854</v>
      </c>
      <c r="C510" s="45" t="s">
        <v>855</v>
      </c>
      <c r="D510" s="46" t="s">
        <v>3</v>
      </c>
      <c r="E510" s="44">
        <v>9.31</v>
      </c>
      <c r="F510" s="31">
        <f>TRUNC(32,2)</f>
        <v>32</v>
      </c>
      <c r="G510" s="32">
        <f>TRUNC(E510*F510,2)</f>
        <v>297.92</v>
      </c>
      <c r="H510" s="32"/>
      <c r="I510" s="33"/>
      <c r="J510" s="33"/>
      <c r="K510" s="44"/>
    </row>
    <row r="511" spans="1:11" s="34" customFormat="1" ht="30">
      <c r="A511" s="30"/>
      <c r="B511" s="43" t="s">
        <v>1750</v>
      </c>
      <c r="C511" s="45" t="s">
        <v>1751</v>
      </c>
      <c r="D511" s="46" t="s">
        <v>4</v>
      </c>
      <c r="E511" s="44">
        <v>4.12</v>
      </c>
      <c r="F511" s="31">
        <f>TRUNC(24.61,2)</f>
        <v>24.61</v>
      </c>
      <c r="G511" s="32">
        <f>TRUNC(E511*F511,2)</f>
        <v>101.39</v>
      </c>
      <c r="H511" s="32"/>
      <c r="I511" s="33"/>
      <c r="J511" s="33"/>
      <c r="K511" s="44"/>
    </row>
    <row r="512" spans="1:11" s="34" customFormat="1" ht="30">
      <c r="A512" s="30"/>
      <c r="B512" s="43" t="s">
        <v>33</v>
      </c>
      <c r="C512" s="45" t="s">
        <v>34</v>
      </c>
      <c r="D512" s="46" t="s">
        <v>4</v>
      </c>
      <c r="E512" s="44">
        <v>4.12</v>
      </c>
      <c r="F512" s="31">
        <f>TRUNC(16.55,2)</f>
        <v>16.55</v>
      </c>
      <c r="G512" s="32">
        <f>TRUNC(E512*F512,2)</f>
        <v>68.18</v>
      </c>
      <c r="H512" s="32"/>
      <c r="I512" s="33"/>
      <c r="J512" s="33"/>
      <c r="K512" s="44"/>
    </row>
    <row r="513" spans="1:11" s="34" customFormat="1" ht="15">
      <c r="A513" s="30"/>
      <c r="B513" s="43"/>
      <c r="C513" s="45"/>
      <c r="D513" s="46"/>
      <c r="E513" s="44" t="s">
        <v>5</v>
      </c>
      <c r="F513" s="31"/>
      <c r="G513" s="32">
        <f>TRUNC(SUM(G510:G512),2)</f>
        <v>467.49</v>
      </c>
      <c r="H513" s="32"/>
      <c r="I513" s="33"/>
      <c r="J513" s="33"/>
      <c r="K513" s="44"/>
    </row>
    <row r="514" spans="1:11" s="107" customFormat="1" ht="60">
      <c r="A514" s="99" t="s">
        <v>934</v>
      </c>
      <c r="B514" s="100" t="s">
        <v>1950</v>
      </c>
      <c r="C514" s="101" t="s">
        <v>859</v>
      </c>
      <c r="D514" s="102" t="s">
        <v>0</v>
      </c>
      <c r="E514" s="103">
        <v>2.16</v>
      </c>
      <c r="F514" s="104">
        <f>TRUNC(G518,2)</f>
        <v>520.45</v>
      </c>
      <c r="G514" s="105">
        <f>TRUNC(F514*1.2247,2)</f>
        <v>637.39</v>
      </c>
      <c r="H514" s="105">
        <f>TRUNC(F514*E514,2)</f>
        <v>1124.17</v>
      </c>
      <c r="I514" s="106">
        <f>TRUNC(E514*G514,2)</f>
        <v>1376.76</v>
      </c>
      <c r="J514" s="106"/>
      <c r="K514" s="103"/>
    </row>
    <row r="515" spans="1:11" s="34" customFormat="1" ht="15">
      <c r="A515" s="30"/>
      <c r="B515" s="43" t="s">
        <v>854</v>
      </c>
      <c r="C515" s="45" t="s">
        <v>855</v>
      </c>
      <c r="D515" s="46" t="s">
        <v>3</v>
      </c>
      <c r="E515" s="44">
        <v>10.965</v>
      </c>
      <c r="F515" s="31">
        <f>TRUNC(32,2)</f>
        <v>32</v>
      </c>
      <c r="G515" s="32">
        <f>TRUNC(E515*F515,2)</f>
        <v>350.88</v>
      </c>
      <c r="H515" s="32"/>
      <c r="I515" s="33"/>
      <c r="J515" s="33"/>
      <c r="K515" s="44"/>
    </row>
    <row r="516" spans="1:11" s="34" customFormat="1" ht="30">
      <c r="A516" s="30"/>
      <c r="B516" s="43" t="s">
        <v>1750</v>
      </c>
      <c r="C516" s="45" t="s">
        <v>1751</v>
      </c>
      <c r="D516" s="46" t="s">
        <v>4</v>
      </c>
      <c r="E516" s="44">
        <v>4.12</v>
      </c>
      <c r="F516" s="31">
        <f>TRUNC(24.61,2)</f>
        <v>24.61</v>
      </c>
      <c r="G516" s="32">
        <f>TRUNC(E516*F516,2)</f>
        <v>101.39</v>
      </c>
      <c r="H516" s="32"/>
      <c r="I516" s="33"/>
      <c r="J516" s="33"/>
      <c r="K516" s="44"/>
    </row>
    <row r="517" spans="1:11" s="34" customFormat="1" ht="30">
      <c r="A517" s="30"/>
      <c r="B517" s="43" t="s">
        <v>33</v>
      </c>
      <c r="C517" s="45" t="s">
        <v>34</v>
      </c>
      <c r="D517" s="46" t="s">
        <v>4</v>
      </c>
      <c r="E517" s="44">
        <v>4.12</v>
      </c>
      <c r="F517" s="31">
        <f>TRUNC(16.55,2)</f>
        <v>16.55</v>
      </c>
      <c r="G517" s="32">
        <f>TRUNC(E517*F517,2)</f>
        <v>68.18</v>
      </c>
      <c r="H517" s="32"/>
      <c r="I517" s="33"/>
      <c r="J517" s="33"/>
      <c r="K517" s="44"/>
    </row>
    <row r="518" spans="1:11" s="34" customFormat="1" ht="15">
      <c r="A518" s="30"/>
      <c r="B518" s="43"/>
      <c r="C518" s="45"/>
      <c r="D518" s="46"/>
      <c r="E518" s="44" t="s">
        <v>5</v>
      </c>
      <c r="F518" s="31"/>
      <c r="G518" s="32">
        <f>TRUNC(SUM(G515:G517),2)</f>
        <v>520.45</v>
      </c>
      <c r="H518" s="32"/>
      <c r="I518" s="33"/>
      <c r="J518" s="33"/>
      <c r="K518" s="44"/>
    </row>
    <row r="519" spans="1:11" s="107" customFormat="1" ht="60">
      <c r="A519" s="99" t="s">
        <v>1597</v>
      </c>
      <c r="B519" s="100" t="s">
        <v>1951</v>
      </c>
      <c r="C519" s="101" t="s">
        <v>1462</v>
      </c>
      <c r="D519" s="102" t="s">
        <v>0</v>
      </c>
      <c r="E519" s="103">
        <v>34.56</v>
      </c>
      <c r="F519" s="104">
        <f>TRUNC(G523,2)</f>
        <v>525.89</v>
      </c>
      <c r="G519" s="105">
        <f>TRUNC(F519*1.2247,2)</f>
        <v>644.05</v>
      </c>
      <c r="H519" s="105">
        <f>TRUNC(F519*E519,2)</f>
        <v>18174.75</v>
      </c>
      <c r="I519" s="106">
        <f>TRUNC(E519*G519,2)</f>
        <v>22258.36</v>
      </c>
      <c r="J519" s="106"/>
      <c r="K519" s="103"/>
    </row>
    <row r="520" spans="1:11" s="34" customFormat="1" ht="15">
      <c r="A520" s="30"/>
      <c r="B520" s="43" t="s">
        <v>854</v>
      </c>
      <c r="C520" s="45" t="s">
        <v>855</v>
      </c>
      <c r="D520" s="46" t="s">
        <v>3</v>
      </c>
      <c r="E520" s="44">
        <v>11.135</v>
      </c>
      <c r="F520" s="31">
        <f>TRUNC(32,2)</f>
        <v>32</v>
      </c>
      <c r="G520" s="32">
        <f>TRUNC(E520*F520,2)</f>
        <v>356.32</v>
      </c>
      <c r="H520" s="32"/>
      <c r="I520" s="33"/>
      <c r="J520" s="33"/>
      <c r="K520" s="44"/>
    </row>
    <row r="521" spans="1:11" s="34" customFormat="1" ht="30">
      <c r="A521" s="30"/>
      <c r="B521" s="43" t="s">
        <v>1750</v>
      </c>
      <c r="C521" s="45" t="s">
        <v>1751</v>
      </c>
      <c r="D521" s="46" t="s">
        <v>4</v>
      </c>
      <c r="E521" s="44">
        <v>4.12</v>
      </c>
      <c r="F521" s="31">
        <f>TRUNC(24.61,2)</f>
        <v>24.61</v>
      </c>
      <c r="G521" s="32">
        <f>TRUNC(E521*F521,2)</f>
        <v>101.39</v>
      </c>
      <c r="H521" s="32"/>
      <c r="I521" s="33"/>
      <c r="J521" s="33"/>
      <c r="K521" s="44"/>
    </row>
    <row r="522" spans="1:11" s="34" customFormat="1" ht="30">
      <c r="A522" s="30"/>
      <c r="B522" s="43" t="s">
        <v>33</v>
      </c>
      <c r="C522" s="45" t="s">
        <v>34</v>
      </c>
      <c r="D522" s="46" t="s">
        <v>4</v>
      </c>
      <c r="E522" s="44">
        <v>4.12</v>
      </c>
      <c r="F522" s="31">
        <f>TRUNC(16.55,2)</f>
        <v>16.55</v>
      </c>
      <c r="G522" s="32">
        <f>TRUNC(E522*F522,2)</f>
        <v>68.18</v>
      </c>
      <c r="H522" s="32"/>
      <c r="I522" s="33"/>
      <c r="J522" s="33"/>
      <c r="K522" s="44"/>
    </row>
    <row r="523" spans="1:11" s="34" customFormat="1" ht="15">
      <c r="A523" s="30"/>
      <c r="B523" s="43"/>
      <c r="C523" s="45"/>
      <c r="D523" s="46"/>
      <c r="E523" s="44" t="s">
        <v>5</v>
      </c>
      <c r="F523" s="31"/>
      <c r="G523" s="32">
        <f>TRUNC(SUM(G520:G522),2)</f>
        <v>525.89</v>
      </c>
      <c r="H523" s="32"/>
      <c r="I523" s="33"/>
      <c r="J523" s="33"/>
      <c r="K523" s="44"/>
    </row>
    <row r="524" spans="1:11" s="107" customFormat="1" ht="45">
      <c r="A524" s="99" t="s">
        <v>935</v>
      </c>
      <c r="B524" s="100" t="s">
        <v>1952</v>
      </c>
      <c r="C524" s="101" t="s">
        <v>863</v>
      </c>
      <c r="D524" s="102" t="s">
        <v>0</v>
      </c>
      <c r="E524" s="103">
        <v>4.5</v>
      </c>
      <c r="F524" s="104">
        <f>TRUNC(G528,2)</f>
        <v>15.87</v>
      </c>
      <c r="G524" s="105">
        <f>TRUNC(F524*1.2247,2)</f>
        <v>19.43</v>
      </c>
      <c r="H524" s="105">
        <f>TRUNC(F524*E524,2)</f>
        <v>71.41</v>
      </c>
      <c r="I524" s="106">
        <f>TRUNC(E524*G524,2)</f>
        <v>87.43</v>
      </c>
      <c r="J524" s="106"/>
      <c r="K524" s="103"/>
    </row>
    <row r="525" spans="1:11" s="34" customFormat="1" ht="30">
      <c r="A525" s="30"/>
      <c r="B525" s="43" t="s">
        <v>864</v>
      </c>
      <c r="C525" s="45" t="s">
        <v>865</v>
      </c>
      <c r="D525" s="46" t="s">
        <v>0</v>
      </c>
      <c r="E525" s="44">
        <v>1.05</v>
      </c>
      <c r="F525" s="31">
        <f>TRUNC(11.9,2)</f>
        <v>11.9</v>
      </c>
      <c r="G525" s="32">
        <f>TRUNC(E525*F525,2)</f>
        <v>12.49</v>
      </c>
      <c r="H525" s="32"/>
      <c r="I525" s="33"/>
      <c r="J525" s="33"/>
      <c r="K525" s="44"/>
    </row>
    <row r="526" spans="1:11" s="34" customFormat="1" ht="30">
      <c r="A526" s="30"/>
      <c r="B526" s="43" t="s">
        <v>33</v>
      </c>
      <c r="C526" s="45" t="s">
        <v>34</v>
      </c>
      <c r="D526" s="46" t="s">
        <v>4</v>
      </c>
      <c r="E526" s="44">
        <v>0.0824</v>
      </c>
      <c r="F526" s="31">
        <f>TRUNC(16.55,2)</f>
        <v>16.55</v>
      </c>
      <c r="G526" s="32">
        <f>TRUNC(E526*F526,2)</f>
        <v>1.36</v>
      </c>
      <c r="H526" s="32"/>
      <c r="I526" s="33"/>
      <c r="J526" s="33"/>
      <c r="K526" s="44"/>
    </row>
    <row r="527" spans="1:11" s="34" customFormat="1" ht="30">
      <c r="A527" s="30"/>
      <c r="B527" s="43" t="s">
        <v>1745</v>
      </c>
      <c r="C527" s="45" t="s">
        <v>1746</v>
      </c>
      <c r="D527" s="46" t="s">
        <v>4</v>
      </c>
      <c r="E527" s="44">
        <v>0.0824</v>
      </c>
      <c r="F527" s="31">
        <f>TRUNC(24.61,2)</f>
        <v>24.61</v>
      </c>
      <c r="G527" s="32">
        <f>TRUNC(E527*F527,2)</f>
        <v>2.02</v>
      </c>
      <c r="H527" s="32"/>
      <c r="I527" s="33"/>
      <c r="J527" s="33"/>
      <c r="K527" s="44"/>
    </row>
    <row r="528" spans="1:11" s="34" customFormat="1" ht="15">
      <c r="A528" s="30"/>
      <c r="B528" s="43"/>
      <c r="C528" s="45"/>
      <c r="D528" s="46"/>
      <c r="E528" s="44" t="s">
        <v>5</v>
      </c>
      <c r="F528" s="31"/>
      <c r="G528" s="32">
        <f>TRUNC(SUM(G525:G527),2)</f>
        <v>15.87</v>
      </c>
      <c r="H528" s="32"/>
      <c r="I528" s="33"/>
      <c r="J528" s="33"/>
      <c r="K528" s="44"/>
    </row>
    <row r="529" spans="1:11" s="107" customFormat="1" ht="30">
      <c r="A529" s="99" t="s">
        <v>936</v>
      </c>
      <c r="B529" s="100" t="s">
        <v>1953</v>
      </c>
      <c r="C529" s="101" t="s">
        <v>867</v>
      </c>
      <c r="D529" s="102" t="s">
        <v>0</v>
      </c>
      <c r="E529" s="103">
        <v>69.7</v>
      </c>
      <c r="F529" s="104">
        <f>TRUNC(G537,2)</f>
        <v>323.67</v>
      </c>
      <c r="G529" s="105">
        <f>TRUNC(F529*1.2247,2)</f>
        <v>396.39</v>
      </c>
      <c r="H529" s="105">
        <f>TRUNC(F529*E529,2)</f>
        <v>22559.79</v>
      </c>
      <c r="I529" s="106">
        <f>TRUNC(E529*G529,2)</f>
        <v>27628.38</v>
      </c>
      <c r="J529" s="106"/>
      <c r="K529" s="103"/>
    </row>
    <row r="530" spans="1:11" s="34" customFormat="1" ht="15">
      <c r="A530" s="30"/>
      <c r="B530" s="43" t="s">
        <v>1954</v>
      </c>
      <c r="C530" s="45" t="s">
        <v>861</v>
      </c>
      <c r="D530" s="46" t="s">
        <v>10</v>
      </c>
      <c r="E530" s="44">
        <v>0.397</v>
      </c>
      <c r="F530" s="31">
        <f>TRUNC(19.14,2)</f>
        <v>19.14</v>
      </c>
      <c r="G530" s="32">
        <f aca="true" t="shared" si="28" ref="G530:G536">TRUNC(E530*F530,2)</f>
        <v>7.59</v>
      </c>
      <c r="H530" s="32"/>
      <c r="I530" s="33"/>
      <c r="J530" s="33"/>
      <c r="K530" s="44"/>
    </row>
    <row r="531" spans="1:11" s="34" customFormat="1" ht="30">
      <c r="A531" s="30"/>
      <c r="B531" s="43" t="s">
        <v>1955</v>
      </c>
      <c r="C531" s="45" t="s">
        <v>869</v>
      </c>
      <c r="D531" s="46" t="s">
        <v>2</v>
      </c>
      <c r="E531" s="44">
        <v>2.992</v>
      </c>
      <c r="F531" s="31">
        <f>TRUNC(2.02,2)</f>
        <v>2.02</v>
      </c>
      <c r="G531" s="32">
        <f t="shared" si="28"/>
        <v>6.04</v>
      </c>
      <c r="H531" s="32"/>
      <c r="I531" s="33"/>
      <c r="J531" s="33"/>
      <c r="K531" s="44"/>
    </row>
    <row r="532" spans="1:11" s="34" customFormat="1" ht="15">
      <c r="A532" s="30"/>
      <c r="B532" s="43" t="s">
        <v>1956</v>
      </c>
      <c r="C532" s="45" t="s">
        <v>871</v>
      </c>
      <c r="D532" s="46" t="s">
        <v>3</v>
      </c>
      <c r="E532" s="44">
        <v>0.964</v>
      </c>
      <c r="F532" s="31">
        <f>TRUNC(38.4,2)</f>
        <v>38.4</v>
      </c>
      <c r="G532" s="32">
        <f t="shared" si="28"/>
        <v>37.01</v>
      </c>
      <c r="H532" s="32"/>
      <c r="I532" s="33"/>
      <c r="J532" s="33"/>
      <c r="K532" s="44"/>
    </row>
    <row r="533" spans="1:11" s="34" customFormat="1" ht="30">
      <c r="A533" s="30"/>
      <c r="B533" s="43" t="s">
        <v>1957</v>
      </c>
      <c r="C533" s="45" t="s">
        <v>873</v>
      </c>
      <c r="D533" s="46" t="s">
        <v>10</v>
      </c>
      <c r="E533" s="44">
        <v>2.196</v>
      </c>
      <c r="F533" s="31">
        <f>TRUNC(0.22,2)</f>
        <v>0.22</v>
      </c>
      <c r="G533" s="32">
        <f t="shared" si="28"/>
        <v>0.48</v>
      </c>
      <c r="H533" s="32"/>
      <c r="I533" s="33"/>
      <c r="J533" s="33"/>
      <c r="K533" s="44"/>
    </row>
    <row r="534" spans="1:11" s="34" customFormat="1" ht="15">
      <c r="A534" s="30"/>
      <c r="B534" s="43" t="s">
        <v>1958</v>
      </c>
      <c r="C534" s="45" t="s">
        <v>875</v>
      </c>
      <c r="D534" s="46" t="s">
        <v>0</v>
      </c>
      <c r="E534" s="44">
        <v>1</v>
      </c>
      <c r="F534" s="31">
        <f>TRUNC(190.94,2)</f>
        <v>190.94</v>
      </c>
      <c r="G534" s="32">
        <f t="shared" si="28"/>
        <v>190.94</v>
      </c>
      <c r="H534" s="32"/>
      <c r="I534" s="33"/>
      <c r="J534" s="33"/>
      <c r="K534" s="44"/>
    </row>
    <row r="535" spans="1:11" s="34" customFormat="1" ht="15">
      <c r="A535" s="30"/>
      <c r="B535" s="43" t="s">
        <v>1959</v>
      </c>
      <c r="C535" s="45" t="s">
        <v>877</v>
      </c>
      <c r="D535" s="46" t="s">
        <v>4</v>
      </c>
      <c r="E535" s="44">
        <v>1.586</v>
      </c>
      <c r="F535" s="31">
        <f>TRUNC(28.69,2)</f>
        <v>28.69</v>
      </c>
      <c r="G535" s="32">
        <f t="shared" si="28"/>
        <v>45.5</v>
      </c>
      <c r="H535" s="32"/>
      <c r="I535" s="33"/>
      <c r="J535" s="33"/>
      <c r="K535" s="44"/>
    </row>
    <row r="536" spans="1:11" s="34" customFormat="1" ht="15">
      <c r="A536" s="30"/>
      <c r="B536" s="43" t="s">
        <v>43</v>
      </c>
      <c r="C536" s="45" t="s">
        <v>32</v>
      </c>
      <c r="D536" s="46" t="s">
        <v>4</v>
      </c>
      <c r="E536" s="44">
        <v>1.542</v>
      </c>
      <c r="F536" s="31">
        <f>TRUNC(23.42,2)</f>
        <v>23.42</v>
      </c>
      <c r="G536" s="32">
        <f t="shared" si="28"/>
        <v>36.11</v>
      </c>
      <c r="H536" s="32"/>
      <c r="I536" s="33"/>
      <c r="J536" s="33"/>
      <c r="K536" s="44"/>
    </row>
    <row r="537" spans="1:11" s="34" customFormat="1" ht="15">
      <c r="A537" s="30"/>
      <c r="B537" s="43"/>
      <c r="C537" s="45"/>
      <c r="D537" s="46"/>
      <c r="E537" s="44" t="s">
        <v>5</v>
      </c>
      <c r="F537" s="31"/>
      <c r="G537" s="32">
        <f>TRUNC(SUM(G530:G536),2)</f>
        <v>323.67</v>
      </c>
      <c r="H537" s="32"/>
      <c r="I537" s="33"/>
      <c r="J537" s="33"/>
      <c r="K537" s="44"/>
    </row>
    <row r="538" spans="1:11" s="107" customFormat="1" ht="45">
      <c r="A538" s="99" t="s">
        <v>937</v>
      </c>
      <c r="B538" s="100" t="s">
        <v>1960</v>
      </c>
      <c r="C538" s="101" t="s">
        <v>879</v>
      </c>
      <c r="D538" s="102" t="s">
        <v>0</v>
      </c>
      <c r="E538" s="103">
        <v>6.04</v>
      </c>
      <c r="F538" s="104">
        <f>TRUNC(G545,2)</f>
        <v>295.71</v>
      </c>
      <c r="G538" s="105">
        <f>TRUNC(F538*1.2247,2)</f>
        <v>362.15</v>
      </c>
      <c r="H538" s="105">
        <f>TRUNC(F538*E538,2)</f>
        <v>1786.08</v>
      </c>
      <c r="I538" s="106">
        <f>TRUNC(E538*G538,2)</f>
        <v>2187.38</v>
      </c>
      <c r="J538" s="106"/>
      <c r="K538" s="103"/>
    </row>
    <row r="539" spans="1:11" s="34" customFormat="1" ht="15">
      <c r="A539" s="30"/>
      <c r="B539" s="43" t="s">
        <v>880</v>
      </c>
      <c r="C539" s="45" t="s">
        <v>881</v>
      </c>
      <c r="D539" s="46" t="s">
        <v>10</v>
      </c>
      <c r="E539" s="44">
        <v>8</v>
      </c>
      <c r="F539" s="31">
        <f>TRUNC(0.27,2)</f>
        <v>0.27</v>
      </c>
      <c r="G539" s="32">
        <f aca="true" t="shared" si="29" ref="G539:G544">TRUNC(E539*F539,2)</f>
        <v>2.16</v>
      </c>
      <c r="H539" s="32"/>
      <c r="I539" s="33"/>
      <c r="J539" s="33"/>
      <c r="K539" s="44"/>
    </row>
    <row r="540" spans="1:11" s="34" customFormat="1" ht="15">
      <c r="A540" s="30"/>
      <c r="B540" s="43" t="s">
        <v>882</v>
      </c>
      <c r="C540" s="45" t="s">
        <v>883</v>
      </c>
      <c r="D540" s="46" t="s">
        <v>10</v>
      </c>
      <c r="E540" s="44">
        <v>8</v>
      </c>
      <c r="F540" s="31">
        <f>TRUNC(0.03,2)</f>
        <v>0.03</v>
      </c>
      <c r="G540" s="32">
        <f t="shared" si="29"/>
        <v>0.24</v>
      </c>
      <c r="H540" s="32"/>
      <c r="I540" s="33"/>
      <c r="J540" s="33"/>
      <c r="K540" s="44"/>
    </row>
    <row r="541" spans="1:11" s="34" customFormat="1" ht="15">
      <c r="A541" s="30"/>
      <c r="B541" s="43" t="s">
        <v>884</v>
      </c>
      <c r="C541" s="45" t="s">
        <v>885</v>
      </c>
      <c r="D541" s="46" t="s">
        <v>2</v>
      </c>
      <c r="E541" s="44">
        <v>4.2</v>
      </c>
      <c r="F541" s="31">
        <f>TRUNC(6.08,2)</f>
        <v>6.08</v>
      </c>
      <c r="G541" s="32">
        <f t="shared" si="29"/>
        <v>25.53</v>
      </c>
      <c r="H541" s="32"/>
      <c r="I541" s="33"/>
      <c r="J541" s="33"/>
      <c r="K541" s="44"/>
    </row>
    <row r="542" spans="1:11" s="34" customFormat="1" ht="15">
      <c r="A542" s="30"/>
      <c r="B542" s="43" t="s">
        <v>886</v>
      </c>
      <c r="C542" s="45" t="s">
        <v>887</v>
      </c>
      <c r="D542" s="46" t="s">
        <v>0</v>
      </c>
      <c r="E542" s="44">
        <v>1</v>
      </c>
      <c r="F542" s="31">
        <f>TRUNC(183,2)</f>
        <v>183</v>
      </c>
      <c r="G542" s="32">
        <f t="shared" si="29"/>
        <v>183</v>
      </c>
      <c r="H542" s="32"/>
      <c r="I542" s="33"/>
      <c r="J542" s="33"/>
      <c r="K542" s="44"/>
    </row>
    <row r="543" spans="1:11" s="34" customFormat="1" ht="30">
      <c r="A543" s="30"/>
      <c r="B543" s="43" t="s">
        <v>33</v>
      </c>
      <c r="C543" s="45" t="s">
        <v>34</v>
      </c>
      <c r="D543" s="46" t="s">
        <v>4</v>
      </c>
      <c r="E543" s="44">
        <v>2.06</v>
      </c>
      <c r="F543" s="31">
        <f>TRUNC(16.55,2)</f>
        <v>16.55</v>
      </c>
      <c r="G543" s="32">
        <f t="shared" si="29"/>
        <v>34.09</v>
      </c>
      <c r="H543" s="32"/>
      <c r="I543" s="33"/>
      <c r="J543" s="33"/>
      <c r="K543" s="44"/>
    </row>
    <row r="544" spans="1:11" s="34" customFormat="1" ht="30">
      <c r="A544" s="30"/>
      <c r="B544" s="43" t="s">
        <v>1745</v>
      </c>
      <c r="C544" s="45" t="s">
        <v>1746</v>
      </c>
      <c r="D544" s="46" t="s">
        <v>4</v>
      </c>
      <c r="E544" s="44">
        <v>2.06</v>
      </c>
      <c r="F544" s="31">
        <f>TRUNC(24.61,2)</f>
        <v>24.61</v>
      </c>
      <c r="G544" s="32">
        <f t="shared" si="29"/>
        <v>50.69</v>
      </c>
      <c r="H544" s="32"/>
      <c r="I544" s="33"/>
      <c r="J544" s="33"/>
      <c r="K544" s="44"/>
    </row>
    <row r="545" spans="1:11" s="34" customFormat="1" ht="15">
      <c r="A545" s="30"/>
      <c r="B545" s="43"/>
      <c r="C545" s="45"/>
      <c r="D545" s="46"/>
      <c r="E545" s="44" t="s">
        <v>5</v>
      </c>
      <c r="F545" s="31"/>
      <c r="G545" s="32">
        <f>TRUNC(SUM(G539:G544),2)</f>
        <v>295.71</v>
      </c>
      <c r="H545" s="32"/>
      <c r="I545" s="33"/>
      <c r="J545" s="33"/>
      <c r="K545" s="44"/>
    </row>
    <row r="546" spans="1:11" s="72" customFormat="1" ht="15">
      <c r="A546" s="65" t="s">
        <v>1363</v>
      </c>
      <c r="B546" s="66"/>
      <c r="C546" s="67"/>
      <c r="D546" s="68"/>
      <c r="E546" s="69"/>
      <c r="F546" s="70"/>
      <c r="G546" s="73" t="s">
        <v>1457</v>
      </c>
      <c r="H546" s="75">
        <f>H538+H529+H524+H519+H514+H509+H504+H499+H491+H486+H483+H476+H462+H455+H448</f>
        <v>92105.87</v>
      </c>
      <c r="I546" s="75">
        <f>I538+I529+I524+I519+I514+I509+I504+I499+I491+I486+I483+I476+I462+I455+I448</f>
        <v>112800.56000000001</v>
      </c>
      <c r="J546" s="71"/>
      <c r="K546" s="69"/>
    </row>
    <row r="547" spans="1:11" s="21" customFormat="1" ht="15.75">
      <c r="A547" s="21" t="s">
        <v>938</v>
      </c>
      <c r="B547" s="28"/>
      <c r="C547" s="29" t="s">
        <v>385</v>
      </c>
      <c r="D547" s="29"/>
      <c r="E547" s="29"/>
      <c r="F547" s="29"/>
      <c r="G547" s="29"/>
      <c r="H547" s="29"/>
      <c r="I547" s="27"/>
      <c r="J547" s="29"/>
      <c r="K547" s="29"/>
    </row>
    <row r="548" spans="1:11" s="107" customFormat="1" ht="60">
      <c r="A548" s="99" t="s">
        <v>939</v>
      </c>
      <c r="B548" s="100" t="s">
        <v>1961</v>
      </c>
      <c r="C548" s="101" t="s">
        <v>399</v>
      </c>
      <c r="D548" s="102" t="s">
        <v>0</v>
      </c>
      <c r="E548" s="103">
        <f>815.01+422.22</f>
        <v>1237.23</v>
      </c>
      <c r="F548" s="104">
        <f>TRUNC(G554,2)</f>
        <v>33.51</v>
      </c>
      <c r="G548" s="105">
        <f>TRUNC(F548*1.2247,2)</f>
        <v>41.03</v>
      </c>
      <c r="H548" s="105">
        <f>TRUNC(F548*E548,2)</f>
        <v>41459.57</v>
      </c>
      <c r="I548" s="106">
        <f>TRUNC(E548*G548,2)</f>
        <v>50763.54</v>
      </c>
      <c r="J548" s="106">
        <f>815.01+422.22</f>
        <v>1237.23</v>
      </c>
      <c r="K548" s="103"/>
    </row>
    <row r="549" spans="1:11" s="34" customFormat="1" ht="15">
      <c r="A549" s="30"/>
      <c r="B549" s="43" t="s">
        <v>400</v>
      </c>
      <c r="C549" s="45" t="s">
        <v>401</v>
      </c>
      <c r="D549" s="46" t="s">
        <v>10</v>
      </c>
      <c r="E549" s="44">
        <v>2</v>
      </c>
      <c r="F549" s="31">
        <f>TRUNC(1.02,2)</f>
        <v>1.02</v>
      </c>
      <c r="G549" s="32">
        <f>TRUNC(E549*F549,2)</f>
        <v>2.04</v>
      </c>
      <c r="H549" s="32"/>
      <c r="I549" s="33"/>
      <c r="J549" s="44"/>
      <c r="K549" s="44"/>
    </row>
    <row r="550" spans="1:11" s="34" customFormat="1" ht="30">
      <c r="A550" s="30"/>
      <c r="B550" s="43" t="s">
        <v>402</v>
      </c>
      <c r="C550" s="45" t="s">
        <v>403</v>
      </c>
      <c r="D550" s="46" t="s">
        <v>404</v>
      </c>
      <c r="E550" s="44">
        <v>0.04</v>
      </c>
      <c r="F550" s="31">
        <f>TRUNC(16.45,2)</f>
        <v>16.45</v>
      </c>
      <c r="G550" s="32">
        <f>TRUNC(E550*F550,2)</f>
        <v>0.65</v>
      </c>
      <c r="H550" s="32"/>
      <c r="I550" s="33"/>
      <c r="J550" s="44"/>
      <c r="K550" s="44"/>
    </row>
    <row r="551" spans="1:11" s="34" customFormat="1" ht="15">
      <c r="A551" s="30"/>
      <c r="B551" s="43" t="s">
        <v>405</v>
      </c>
      <c r="C551" s="45" t="s">
        <v>406</v>
      </c>
      <c r="D551" s="46" t="s">
        <v>10</v>
      </c>
      <c r="E551" s="44">
        <v>0.046</v>
      </c>
      <c r="F551" s="31">
        <f>TRUNC(93.55,2)</f>
        <v>93.55</v>
      </c>
      <c r="G551" s="32">
        <f>TRUNC(E551*F551,2)</f>
        <v>4.3</v>
      </c>
      <c r="H551" s="32"/>
      <c r="I551" s="33"/>
      <c r="J551" s="44"/>
      <c r="K551" s="44"/>
    </row>
    <row r="552" spans="1:11" s="34" customFormat="1" ht="30">
      <c r="A552" s="30"/>
      <c r="B552" s="43" t="s">
        <v>33</v>
      </c>
      <c r="C552" s="45" t="s">
        <v>34</v>
      </c>
      <c r="D552" s="46" t="s">
        <v>4</v>
      </c>
      <c r="E552" s="44">
        <v>0.4223</v>
      </c>
      <c r="F552" s="31">
        <f>TRUNC(16.55,2)</f>
        <v>16.55</v>
      </c>
      <c r="G552" s="32">
        <f>TRUNC(E552*F552,2)</f>
        <v>6.98</v>
      </c>
      <c r="H552" s="32"/>
      <c r="I552" s="33"/>
      <c r="J552" s="44"/>
      <c r="K552" s="44"/>
    </row>
    <row r="553" spans="1:11" s="34" customFormat="1" ht="15">
      <c r="A553" s="30"/>
      <c r="B553" s="43" t="s">
        <v>1962</v>
      </c>
      <c r="C553" s="45" t="s">
        <v>1963</v>
      </c>
      <c r="D553" s="46" t="s">
        <v>4</v>
      </c>
      <c r="E553" s="44">
        <v>0.8549</v>
      </c>
      <c r="F553" s="31">
        <f>TRUNC(22.86,2)</f>
        <v>22.86</v>
      </c>
      <c r="G553" s="32">
        <f>TRUNC(E553*F553,2)</f>
        <v>19.54</v>
      </c>
      <c r="H553" s="32"/>
      <c r="I553" s="33"/>
      <c r="J553" s="44"/>
      <c r="K553" s="44"/>
    </row>
    <row r="554" spans="1:11" s="34" customFormat="1" ht="15">
      <c r="A554" s="30"/>
      <c r="B554" s="43"/>
      <c r="C554" s="45"/>
      <c r="D554" s="46"/>
      <c r="E554" s="44" t="s">
        <v>5</v>
      </c>
      <c r="F554" s="31"/>
      <c r="G554" s="32">
        <f>TRUNC(SUM(G549:G553),2)</f>
        <v>33.51</v>
      </c>
      <c r="H554" s="32"/>
      <c r="I554" s="33"/>
      <c r="J554" s="44"/>
      <c r="K554" s="44"/>
    </row>
    <row r="555" spans="1:11" s="107" customFormat="1" ht="30">
      <c r="A555" s="99" t="s">
        <v>940</v>
      </c>
      <c r="B555" s="100" t="s">
        <v>1964</v>
      </c>
      <c r="C555" s="101" t="s">
        <v>387</v>
      </c>
      <c r="D555" s="102" t="s">
        <v>0</v>
      </c>
      <c r="E555" s="103">
        <v>1321.01</v>
      </c>
      <c r="F555" s="104">
        <f>TRUNC(G559,2)</f>
        <v>14.78</v>
      </c>
      <c r="G555" s="105">
        <f>TRUNC(F555*1.2247,2)</f>
        <v>18.1</v>
      </c>
      <c r="H555" s="105">
        <f>TRUNC(F555*E555,2)</f>
        <v>19524.52</v>
      </c>
      <c r="I555" s="106">
        <f>TRUNC(E555*G555,2)</f>
        <v>23910.28</v>
      </c>
      <c r="J555" s="106"/>
      <c r="K555" s="103"/>
    </row>
    <row r="556" spans="1:11" s="34" customFormat="1" ht="15">
      <c r="A556" s="30"/>
      <c r="B556" s="43" t="s">
        <v>1776</v>
      </c>
      <c r="C556" s="45" t="s">
        <v>252</v>
      </c>
      <c r="D556" s="46" t="s">
        <v>253</v>
      </c>
      <c r="E556" s="44">
        <v>0.33</v>
      </c>
      <c r="F556" s="31">
        <f>TRUNC(22.49,2)</f>
        <v>22.49</v>
      </c>
      <c r="G556" s="32">
        <f>TRUNC(E556*F556,2)</f>
        <v>7.42</v>
      </c>
      <c r="H556" s="32"/>
      <c r="I556" s="33"/>
      <c r="J556" s="33"/>
      <c r="K556" s="44"/>
    </row>
    <row r="557" spans="1:11" s="34" customFormat="1" ht="15">
      <c r="A557" s="30"/>
      <c r="B557" s="43" t="s">
        <v>43</v>
      </c>
      <c r="C557" s="45" t="s">
        <v>32</v>
      </c>
      <c r="D557" s="46" t="s">
        <v>4</v>
      </c>
      <c r="E557" s="44">
        <v>0.069</v>
      </c>
      <c r="F557" s="31">
        <f>TRUNC(23.42,2)</f>
        <v>23.42</v>
      </c>
      <c r="G557" s="32">
        <f>TRUNC(E557*F557,2)</f>
        <v>1.61</v>
      </c>
      <c r="H557" s="32"/>
      <c r="I557" s="33"/>
      <c r="J557" s="33"/>
      <c r="K557" s="44"/>
    </row>
    <row r="558" spans="1:11" s="34" customFormat="1" ht="15">
      <c r="A558" s="30"/>
      <c r="B558" s="43" t="s">
        <v>1965</v>
      </c>
      <c r="C558" s="45" t="s">
        <v>389</v>
      </c>
      <c r="D558" s="46" t="s">
        <v>4</v>
      </c>
      <c r="E558" s="44">
        <v>0.187</v>
      </c>
      <c r="F558" s="31">
        <f>TRUNC(30.79,2)</f>
        <v>30.79</v>
      </c>
      <c r="G558" s="32">
        <f>TRUNC(E558*F558,2)</f>
        <v>5.75</v>
      </c>
      <c r="H558" s="32"/>
      <c r="I558" s="33"/>
      <c r="J558" s="33"/>
      <c r="K558" s="44"/>
    </row>
    <row r="559" spans="1:11" s="34" customFormat="1" ht="15">
      <c r="A559" s="30"/>
      <c r="B559" s="43"/>
      <c r="C559" s="45"/>
      <c r="D559" s="46"/>
      <c r="E559" s="44" t="s">
        <v>5</v>
      </c>
      <c r="F559" s="31"/>
      <c r="G559" s="32">
        <f>TRUNC(SUM(G556:G558),2)</f>
        <v>14.78</v>
      </c>
      <c r="H559" s="32"/>
      <c r="I559" s="33"/>
      <c r="J559" s="33"/>
      <c r="K559" s="44"/>
    </row>
    <row r="560" spans="1:11" s="107" customFormat="1" ht="30">
      <c r="A560" s="99" t="s">
        <v>1970</v>
      </c>
      <c r="B560" s="100" t="s">
        <v>1966</v>
      </c>
      <c r="C560" s="101" t="s">
        <v>397</v>
      </c>
      <c r="D560" s="102" t="s">
        <v>0</v>
      </c>
      <c r="E560" s="103">
        <v>422.22</v>
      </c>
      <c r="F560" s="104">
        <f>TRUNC(G564,2)</f>
        <v>17.01</v>
      </c>
      <c r="G560" s="105">
        <f>TRUNC(F560*1.2247,2)</f>
        <v>20.83</v>
      </c>
      <c r="H560" s="105">
        <f>TRUNC(F560*E560,2)</f>
        <v>7181.96</v>
      </c>
      <c r="I560" s="106">
        <f>TRUNC(E560*G560,2)</f>
        <v>8794.84</v>
      </c>
      <c r="J560" s="106"/>
      <c r="K560" s="103"/>
    </row>
    <row r="561" spans="1:11" s="34" customFormat="1" ht="15">
      <c r="A561" s="30"/>
      <c r="B561" s="43" t="s">
        <v>1776</v>
      </c>
      <c r="C561" s="45" t="s">
        <v>252</v>
      </c>
      <c r="D561" s="46" t="s">
        <v>253</v>
      </c>
      <c r="E561" s="44">
        <v>0.33</v>
      </c>
      <c r="F561" s="31">
        <f>TRUNC(22.49,2)</f>
        <v>22.49</v>
      </c>
      <c r="G561" s="32">
        <f>TRUNC(E561*F561,2)</f>
        <v>7.42</v>
      </c>
      <c r="H561" s="32"/>
      <c r="I561" s="33"/>
      <c r="J561" s="33"/>
      <c r="K561" s="44"/>
    </row>
    <row r="562" spans="1:11" s="34" customFormat="1" ht="15">
      <c r="A562" s="30"/>
      <c r="B562" s="43" t="s">
        <v>43</v>
      </c>
      <c r="C562" s="45" t="s">
        <v>32</v>
      </c>
      <c r="D562" s="46" t="s">
        <v>4</v>
      </c>
      <c r="E562" s="44">
        <v>0.089</v>
      </c>
      <c r="F562" s="31">
        <f>TRUNC(23.42,2)</f>
        <v>23.42</v>
      </c>
      <c r="G562" s="32">
        <f>TRUNC(E562*F562,2)</f>
        <v>2.08</v>
      </c>
      <c r="H562" s="32"/>
      <c r="I562" s="33"/>
      <c r="J562" s="33"/>
      <c r="K562" s="44"/>
    </row>
    <row r="563" spans="1:11" s="34" customFormat="1" ht="15">
      <c r="A563" s="30"/>
      <c r="B563" s="43" t="s">
        <v>1965</v>
      </c>
      <c r="C563" s="45" t="s">
        <v>389</v>
      </c>
      <c r="D563" s="46" t="s">
        <v>4</v>
      </c>
      <c r="E563" s="44">
        <v>0.244</v>
      </c>
      <c r="F563" s="31">
        <f>TRUNC(30.79,2)</f>
        <v>30.79</v>
      </c>
      <c r="G563" s="32">
        <f>TRUNC(E563*F563,2)</f>
        <v>7.51</v>
      </c>
      <c r="H563" s="32"/>
      <c r="I563" s="33"/>
      <c r="J563" s="33"/>
      <c r="K563" s="44"/>
    </row>
    <row r="564" spans="1:11" s="34" customFormat="1" ht="15">
      <c r="A564" s="30"/>
      <c r="B564" s="43"/>
      <c r="C564" s="45"/>
      <c r="D564" s="46"/>
      <c r="E564" s="44" t="s">
        <v>5</v>
      </c>
      <c r="F564" s="31"/>
      <c r="G564" s="32">
        <f>TRUNC(SUM(G561:G563),2)</f>
        <v>17.01</v>
      </c>
      <c r="H564" s="32"/>
      <c r="I564" s="33"/>
      <c r="J564" s="33"/>
      <c r="K564" s="44"/>
    </row>
    <row r="565" spans="1:11" s="107" customFormat="1" ht="30">
      <c r="A565" s="99" t="s">
        <v>941</v>
      </c>
      <c r="B565" s="100" t="s">
        <v>1967</v>
      </c>
      <c r="C565" s="101" t="s">
        <v>391</v>
      </c>
      <c r="D565" s="102" t="s">
        <v>0</v>
      </c>
      <c r="E565" s="103">
        <v>97.09</v>
      </c>
      <c r="F565" s="104">
        <f>TRUNC(G569,2)</f>
        <v>8.11</v>
      </c>
      <c r="G565" s="105">
        <f>TRUNC(F565*1.2247,2)</f>
        <v>9.93</v>
      </c>
      <c r="H565" s="105">
        <f>TRUNC(F565*E565,2)</f>
        <v>787.39</v>
      </c>
      <c r="I565" s="106">
        <f>TRUNC(E565*G565,2)</f>
        <v>964.1</v>
      </c>
      <c r="J565" s="106"/>
      <c r="K565" s="103"/>
    </row>
    <row r="566" spans="1:11" s="34" customFormat="1" ht="15">
      <c r="A566" s="30"/>
      <c r="B566" s="43" t="s">
        <v>1968</v>
      </c>
      <c r="C566" s="45" t="s">
        <v>393</v>
      </c>
      <c r="D566" s="46" t="s">
        <v>253</v>
      </c>
      <c r="E566" s="44">
        <v>0.0651</v>
      </c>
      <c r="F566" s="31">
        <f>TRUNC(33.77,2)</f>
        <v>33.77</v>
      </c>
      <c r="G566" s="32">
        <f>TRUNC(E566*F566,2)</f>
        <v>2.19</v>
      </c>
      <c r="H566" s="32"/>
      <c r="I566" s="33"/>
      <c r="J566" s="33"/>
      <c r="K566" s="44"/>
    </row>
    <row r="567" spans="1:11" s="34" customFormat="1" ht="15">
      <c r="A567" s="30"/>
      <c r="B567" s="43" t="s">
        <v>1969</v>
      </c>
      <c r="C567" s="45" t="s">
        <v>395</v>
      </c>
      <c r="D567" s="46" t="s">
        <v>253</v>
      </c>
      <c r="E567" s="44">
        <v>0.0065</v>
      </c>
      <c r="F567" s="31">
        <f>TRUNC(11.2,2)</f>
        <v>11.2</v>
      </c>
      <c r="G567" s="32">
        <f>TRUNC(E567*F567,2)</f>
        <v>0.07</v>
      </c>
      <c r="H567" s="32"/>
      <c r="I567" s="33"/>
      <c r="J567" s="33"/>
      <c r="K567" s="44"/>
    </row>
    <row r="568" spans="1:11" s="34" customFormat="1" ht="15">
      <c r="A568" s="30"/>
      <c r="B568" s="43" t="s">
        <v>1965</v>
      </c>
      <c r="C568" s="45" t="s">
        <v>389</v>
      </c>
      <c r="D568" s="46" t="s">
        <v>4</v>
      </c>
      <c r="E568" s="44">
        <v>0.1903</v>
      </c>
      <c r="F568" s="31">
        <f>TRUNC(30.79,2)</f>
        <v>30.79</v>
      </c>
      <c r="G568" s="32">
        <f>TRUNC(E568*F568,2)</f>
        <v>5.85</v>
      </c>
      <c r="H568" s="32"/>
      <c r="I568" s="33"/>
      <c r="J568" s="33"/>
      <c r="K568" s="44"/>
    </row>
    <row r="569" spans="1:11" s="34" customFormat="1" ht="15">
      <c r="A569" s="30"/>
      <c r="B569" s="43"/>
      <c r="C569" s="45"/>
      <c r="D569" s="46"/>
      <c r="E569" s="44" t="s">
        <v>5</v>
      </c>
      <c r="F569" s="31"/>
      <c r="G569" s="32">
        <f>TRUNC(SUM(G566:G568),2)</f>
        <v>8.11</v>
      </c>
      <c r="H569" s="32"/>
      <c r="I569" s="33"/>
      <c r="J569" s="33"/>
      <c r="K569" s="44"/>
    </row>
    <row r="570" spans="1:11" s="72" customFormat="1" ht="15">
      <c r="A570" s="65" t="s">
        <v>1363</v>
      </c>
      <c r="B570" s="66"/>
      <c r="C570" s="67"/>
      <c r="D570" s="68"/>
      <c r="E570" s="69"/>
      <c r="F570" s="70"/>
      <c r="G570" s="73" t="s">
        <v>1456</v>
      </c>
      <c r="H570" s="75">
        <f>H565+H560+H555+H548</f>
        <v>68953.44</v>
      </c>
      <c r="I570" s="75">
        <f>I565+I560+I555+I548</f>
        <v>84432.76000000001</v>
      </c>
      <c r="J570" s="71"/>
      <c r="K570" s="69"/>
    </row>
    <row r="571" spans="1:11" s="21" customFormat="1" ht="15.75">
      <c r="A571" s="21" t="s">
        <v>942</v>
      </c>
      <c r="B571" s="28"/>
      <c r="C571" s="29" t="s">
        <v>409</v>
      </c>
      <c r="D571" s="29"/>
      <c r="E571" s="29"/>
      <c r="F571" s="29"/>
      <c r="G571" s="29"/>
      <c r="H571" s="29"/>
      <c r="I571" s="27"/>
      <c r="J571" s="29"/>
      <c r="K571" s="29"/>
    </row>
    <row r="572" spans="1:11" s="107" customFormat="1" ht="45">
      <c r="A572" s="99" t="s">
        <v>942</v>
      </c>
      <c r="B572" s="100" t="s">
        <v>1971</v>
      </c>
      <c r="C572" s="101" t="s">
        <v>411</v>
      </c>
      <c r="D572" s="102" t="s">
        <v>10</v>
      </c>
      <c r="E572" s="103">
        <v>1</v>
      </c>
      <c r="F572" s="104">
        <f>TRUNC(G577,2)</f>
        <v>60.63</v>
      </c>
      <c r="G572" s="105">
        <f>TRUNC(F572*1.2247,2)</f>
        <v>74.25</v>
      </c>
      <c r="H572" s="105">
        <f>TRUNC(F572*E572,2)</f>
        <v>60.63</v>
      </c>
      <c r="I572" s="106">
        <f>TRUNC(E572*G572,2)</f>
        <v>74.25</v>
      </c>
      <c r="J572" s="106"/>
      <c r="K572" s="103"/>
    </row>
    <row r="573" spans="1:11" s="34" customFormat="1" ht="15">
      <c r="A573" s="30"/>
      <c r="B573" s="43" t="s">
        <v>1972</v>
      </c>
      <c r="C573" s="45" t="s">
        <v>413</v>
      </c>
      <c r="D573" s="46" t="s">
        <v>10</v>
      </c>
      <c r="E573" s="44">
        <v>1</v>
      </c>
      <c r="F573" s="31">
        <f>TRUNC(20.23,2)</f>
        <v>20.23</v>
      </c>
      <c r="G573" s="32">
        <f>TRUNC(E573*F573,2)</f>
        <v>20.23</v>
      </c>
      <c r="H573" s="32"/>
      <c r="I573" s="33"/>
      <c r="J573" s="33"/>
      <c r="K573" s="44"/>
    </row>
    <row r="574" spans="1:11" s="34" customFormat="1" ht="15">
      <c r="A574" s="30"/>
      <c r="B574" s="43" t="s">
        <v>1973</v>
      </c>
      <c r="C574" s="45" t="s">
        <v>415</v>
      </c>
      <c r="D574" s="46" t="s">
        <v>10</v>
      </c>
      <c r="E574" s="44">
        <v>0.0095</v>
      </c>
      <c r="F574" s="31">
        <f>TRUNC(14.38,2)</f>
        <v>14.38</v>
      </c>
      <c r="G574" s="32">
        <f>TRUNC(E574*F574,2)</f>
        <v>0.13</v>
      </c>
      <c r="H574" s="32"/>
      <c r="I574" s="33"/>
      <c r="J574" s="33"/>
      <c r="K574" s="44"/>
    </row>
    <row r="575" spans="1:11" s="34" customFormat="1" ht="15">
      <c r="A575" s="30"/>
      <c r="B575" s="43" t="s">
        <v>1933</v>
      </c>
      <c r="C575" s="45" t="s">
        <v>417</v>
      </c>
      <c r="D575" s="46" t="s">
        <v>4</v>
      </c>
      <c r="E575" s="44">
        <v>0.7745</v>
      </c>
      <c r="F575" s="31">
        <f>TRUNC(29.32,2)</f>
        <v>29.32</v>
      </c>
      <c r="G575" s="32">
        <f>TRUNC(E575*F575,2)</f>
        <v>22.7</v>
      </c>
      <c r="H575" s="32"/>
      <c r="I575" s="33"/>
      <c r="J575" s="33"/>
      <c r="K575" s="44"/>
    </row>
    <row r="576" spans="1:11" s="34" customFormat="1" ht="30">
      <c r="A576" s="30"/>
      <c r="B576" s="43" t="s">
        <v>1974</v>
      </c>
      <c r="C576" s="45" t="s">
        <v>419</v>
      </c>
      <c r="D576" s="46" t="s">
        <v>4</v>
      </c>
      <c r="E576" s="44">
        <v>0.7745</v>
      </c>
      <c r="F576" s="31">
        <f>TRUNC(22.69,2)</f>
        <v>22.69</v>
      </c>
      <c r="G576" s="32">
        <f>TRUNC(E576*F576,2)</f>
        <v>17.57</v>
      </c>
      <c r="H576" s="32"/>
      <c r="I576" s="33"/>
      <c r="J576" s="33"/>
      <c r="K576" s="44"/>
    </row>
    <row r="577" spans="1:11" s="34" customFormat="1" ht="15">
      <c r="A577" s="30"/>
      <c r="B577" s="43"/>
      <c r="C577" s="45"/>
      <c r="D577" s="46"/>
      <c r="E577" s="44" t="s">
        <v>5</v>
      </c>
      <c r="F577" s="31"/>
      <c r="G577" s="32">
        <f>TRUNC(SUM(G573:G576),2)</f>
        <v>60.63</v>
      </c>
      <c r="H577" s="32"/>
      <c r="I577" s="33"/>
      <c r="J577" s="33"/>
      <c r="K577" s="44"/>
    </row>
    <row r="578" spans="1:11" s="107" customFormat="1" ht="45">
      <c r="A578" s="99" t="s">
        <v>943</v>
      </c>
      <c r="B578" s="100" t="s">
        <v>1975</v>
      </c>
      <c r="C578" s="101" t="s">
        <v>421</v>
      </c>
      <c r="D578" s="102" t="s">
        <v>10</v>
      </c>
      <c r="E578" s="103">
        <v>5</v>
      </c>
      <c r="F578" s="104">
        <f>TRUNC(G583,2)</f>
        <v>72.33</v>
      </c>
      <c r="G578" s="105">
        <f>TRUNC(F578*1.2247,2)</f>
        <v>88.58</v>
      </c>
      <c r="H578" s="105">
        <f>TRUNC(F578*E578,2)</f>
        <v>361.65</v>
      </c>
      <c r="I578" s="106">
        <f>TRUNC(E578*G578,2)</f>
        <v>442.9</v>
      </c>
      <c r="J578" s="106"/>
      <c r="K578" s="103"/>
    </row>
    <row r="579" spans="1:11" s="34" customFormat="1" ht="15">
      <c r="A579" s="30"/>
      <c r="B579" s="43" t="s">
        <v>1976</v>
      </c>
      <c r="C579" s="45" t="s">
        <v>423</v>
      </c>
      <c r="D579" s="46" t="s">
        <v>10</v>
      </c>
      <c r="E579" s="44">
        <v>1</v>
      </c>
      <c r="F579" s="31">
        <f>TRUNC(31.93,2)</f>
        <v>31.93</v>
      </c>
      <c r="G579" s="32">
        <f>TRUNC(E579*F579,2)</f>
        <v>31.93</v>
      </c>
      <c r="H579" s="32"/>
      <c r="I579" s="33"/>
      <c r="J579" s="33"/>
      <c r="K579" s="44"/>
    </row>
    <row r="580" spans="1:11" s="34" customFormat="1" ht="15">
      <c r="A580" s="30"/>
      <c r="B580" s="43" t="s">
        <v>1973</v>
      </c>
      <c r="C580" s="45" t="s">
        <v>415</v>
      </c>
      <c r="D580" s="46" t="s">
        <v>10</v>
      </c>
      <c r="E580" s="44">
        <v>0.0095</v>
      </c>
      <c r="F580" s="31">
        <f>TRUNC(14.38,2)</f>
        <v>14.38</v>
      </c>
      <c r="G580" s="32">
        <f>TRUNC(E580*F580,2)</f>
        <v>0.13</v>
      </c>
      <c r="H580" s="32"/>
      <c r="I580" s="33"/>
      <c r="J580" s="33"/>
      <c r="K580" s="44"/>
    </row>
    <row r="581" spans="1:11" s="34" customFormat="1" ht="15">
      <c r="A581" s="30"/>
      <c r="B581" s="43" t="s">
        <v>1933</v>
      </c>
      <c r="C581" s="45" t="s">
        <v>417</v>
      </c>
      <c r="D581" s="46" t="s">
        <v>4</v>
      </c>
      <c r="E581" s="44">
        <v>0.7745</v>
      </c>
      <c r="F581" s="31">
        <f>TRUNC(29.32,2)</f>
        <v>29.32</v>
      </c>
      <c r="G581" s="32">
        <f>TRUNC(E581*F581,2)</f>
        <v>22.7</v>
      </c>
      <c r="H581" s="32"/>
      <c r="I581" s="33"/>
      <c r="J581" s="33"/>
      <c r="K581" s="44"/>
    </row>
    <row r="582" spans="1:11" s="34" customFormat="1" ht="30">
      <c r="A582" s="30"/>
      <c r="B582" s="43" t="s">
        <v>1974</v>
      </c>
      <c r="C582" s="45" t="s">
        <v>419</v>
      </c>
      <c r="D582" s="46" t="s">
        <v>4</v>
      </c>
      <c r="E582" s="44">
        <v>0.7745</v>
      </c>
      <c r="F582" s="31">
        <f>TRUNC(22.69,2)</f>
        <v>22.69</v>
      </c>
      <c r="G582" s="32">
        <f>TRUNC(E582*F582,2)</f>
        <v>17.57</v>
      </c>
      <c r="H582" s="32"/>
      <c r="I582" s="33"/>
      <c r="J582" s="33"/>
      <c r="K582" s="44"/>
    </row>
    <row r="583" spans="1:11" s="34" customFormat="1" ht="15">
      <c r="A583" s="30"/>
      <c r="B583" s="43"/>
      <c r="C583" s="45"/>
      <c r="D583" s="46"/>
      <c r="E583" s="44" t="s">
        <v>5</v>
      </c>
      <c r="F583" s="31"/>
      <c r="G583" s="32">
        <f>TRUNC(SUM(G579:G582),2)</f>
        <v>72.33</v>
      </c>
      <c r="H583" s="32"/>
      <c r="I583" s="33"/>
      <c r="J583" s="33"/>
      <c r="K583" s="44"/>
    </row>
    <row r="584" spans="1:11" s="107" customFormat="1" ht="45">
      <c r="A584" s="99" t="s">
        <v>944</v>
      </c>
      <c r="B584" s="100" t="s">
        <v>1977</v>
      </c>
      <c r="C584" s="101" t="s">
        <v>425</v>
      </c>
      <c r="D584" s="102" t="s">
        <v>10</v>
      </c>
      <c r="E584" s="103">
        <v>1</v>
      </c>
      <c r="F584" s="104">
        <f>TRUNC(G589,2)</f>
        <v>119.6</v>
      </c>
      <c r="G584" s="105">
        <f>TRUNC(F584*1.2247,2)</f>
        <v>146.47</v>
      </c>
      <c r="H584" s="105">
        <f>TRUNC(F584*E584,2)</f>
        <v>119.6</v>
      </c>
      <c r="I584" s="106">
        <f>TRUNC(E584*G584,2)</f>
        <v>146.47</v>
      </c>
      <c r="J584" s="106"/>
      <c r="K584" s="103"/>
    </row>
    <row r="585" spans="1:11" s="34" customFormat="1" ht="15">
      <c r="A585" s="30"/>
      <c r="B585" s="43" t="s">
        <v>1978</v>
      </c>
      <c r="C585" s="45" t="s">
        <v>427</v>
      </c>
      <c r="D585" s="46" t="s">
        <v>10</v>
      </c>
      <c r="E585" s="44">
        <v>1</v>
      </c>
      <c r="F585" s="31">
        <f>TRUNC(76.52,2)</f>
        <v>76.52</v>
      </c>
      <c r="G585" s="32">
        <f>TRUNC(E585*F585,2)</f>
        <v>76.52</v>
      </c>
      <c r="H585" s="32"/>
      <c r="I585" s="33"/>
      <c r="J585" s="33"/>
      <c r="K585" s="44"/>
    </row>
    <row r="586" spans="1:11" s="34" customFormat="1" ht="15">
      <c r="A586" s="30"/>
      <c r="B586" s="43" t="s">
        <v>1973</v>
      </c>
      <c r="C586" s="45" t="s">
        <v>415</v>
      </c>
      <c r="D586" s="46" t="s">
        <v>10</v>
      </c>
      <c r="E586" s="44">
        <v>0.038</v>
      </c>
      <c r="F586" s="31">
        <f>TRUNC(14.38,2)</f>
        <v>14.38</v>
      </c>
      <c r="G586" s="32">
        <f>TRUNC(E586*F586,2)</f>
        <v>0.54</v>
      </c>
      <c r="H586" s="32"/>
      <c r="I586" s="33"/>
      <c r="J586" s="33"/>
      <c r="K586" s="44"/>
    </row>
    <row r="587" spans="1:11" s="34" customFormat="1" ht="15">
      <c r="A587" s="30"/>
      <c r="B587" s="43" t="s">
        <v>1933</v>
      </c>
      <c r="C587" s="45" t="s">
        <v>417</v>
      </c>
      <c r="D587" s="46" t="s">
        <v>4</v>
      </c>
      <c r="E587" s="44">
        <v>0.818</v>
      </c>
      <c r="F587" s="31">
        <f>TRUNC(29.32,2)</f>
        <v>29.32</v>
      </c>
      <c r="G587" s="32">
        <f>TRUNC(E587*F587,2)</f>
        <v>23.98</v>
      </c>
      <c r="H587" s="32"/>
      <c r="I587" s="33"/>
      <c r="J587" s="33"/>
      <c r="K587" s="44"/>
    </row>
    <row r="588" spans="1:11" s="34" customFormat="1" ht="30">
      <c r="A588" s="30"/>
      <c r="B588" s="43" t="s">
        <v>1974</v>
      </c>
      <c r="C588" s="45" t="s">
        <v>419</v>
      </c>
      <c r="D588" s="46" t="s">
        <v>4</v>
      </c>
      <c r="E588" s="44">
        <v>0.818</v>
      </c>
      <c r="F588" s="31">
        <f>TRUNC(22.69,2)</f>
        <v>22.69</v>
      </c>
      <c r="G588" s="32">
        <f>TRUNC(E588*F588,2)</f>
        <v>18.56</v>
      </c>
      <c r="H588" s="32"/>
      <c r="I588" s="33"/>
      <c r="J588" s="33"/>
      <c r="K588" s="44"/>
    </row>
    <row r="589" spans="1:11" s="34" customFormat="1" ht="15">
      <c r="A589" s="30"/>
      <c r="B589" s="43"/>
      <c r="C589" s="45"/>
      <c r="D589" s="46"/>
      <c r="E589" s="44" t="s">
        <v>5</v>
      </c>
      <c r="F589" s="31"/>
      <c r="G589" s="32">
        <f>TRUNC(SUM(G585:G588),2)</f>
        <v>119.6</v>
      </c>
      <c r="H589" s="32"/>
      <c r="I589" s="33"/>
      <c r="J589" s="33"/>
      <c r="K589" s="44"/>
    </row>
    <row r="590" spans="1:11" s="107" customFormat="1" ht="45">
      <c r="A590" s="99" t="s">
        <v>945</v>
      </c>
      <c r="B590" s="100" t="s">
        <v>1979</v>
      </c>
      <c r="C590" s="101" t="s">
        <v>429</v>
      </c>
      <c r="D590" s="102" t="s">
        <v>10</v>
      </c>
      <c r="E590" s="103">
        <v>1</v>
      </c>
      <c r="F590" s="104">
        <f>TRUNC(G595,2)</f>
        <v>201.78</v>
      </c>
      <c r="G590" s="105">
        <f>TRUNC(F590*1.2247,2)</f>
        <v>247.11</v>
      </c>
      <c r="H590" s="105">
        <f>TRUNC(F590*E590,2)</f>
        <v>201.78</v>
      </c>
      <c r="I590" s="106">
        <f>TRUNC(E590*G590,2)</f>
        <v>247.11</v>
      </c>
      <c r="J590" s="106"/>
      <c r="K590" s="103"/>
    </row>
    <row r="591" spans="1:11" s="34" customFormat="1" ht="15">
      <c r="A591" s="30"/>
      <c r="B591" s="43" t="s">
        <v>1980</v>
      </c>
      <c r="C591" s="45" t="s">
        <v>431</v>
      </c>
      <c r="D591" s="46" t="s">
        <v>10</v>
      </c>
      <c r="E591" s="44">
        <v>1</v>
      </c>
      <c r="F591" s="31">
        <f>TRUNC(158.7,2)</f>
        <v>158.7</v>
      </c>
      <c r="G591" s="32">
        <f>TRUNC(E591*F591,2)</f>
        <v>158.7</v>
      </c>
      <c r="H591" s="32"/>
      <c r="I591" s="33"/>
      <c r="J591" s="33"/>
      <c r="K591" s="44"/>
    </row>
    <row r="592" spans="1:11" s="34" customFormat="1" ht="15">
      <c r="A592" s="30"/>
      <c r="B592" s="43" t="s">
        <v>1973</v>
      </c>
      <c r="C592" s="45" t="s">
        <v>415</v>
      </c>
      <c r="D592" s="46" t="s">
        <v>10</v>
      </c>
      <c r="E592" s="44">
        <v>0.038</v>
      </c>
      <c r="F592" s="31">
        <f>TRUNC(14.38,2)</f>
        <v>14.38</v>
      </c>
      <c r="G592" s="32">
        <f>TRUNC(E592*F592,2)</f>
        <v>0.54</v>
      </c>
      <c r="H592" s="32"/>
      <c r="I592" s="33"/>
      <c r="J592" s="33"/>
      <c r="K592" s="44"/>
    </row>
    <row r="593" spans="1:11" s="34" customFormat="1" ht="15">
      <c r="A593" s="30"/>
      <c r="B593" s="43" t="s">
        <v>1933</v>
      </c>
      <c r="C593" s="45" t="s">
        <v>417</v>
      </c>
      <c r="D593" s="46" t="s">
        <v>4</v>
      </c>
      <c r="E593" s="44">
        <v>0.818</v>
      </c>
      <c r="F593" s="31">
        <f>TRUNC(29.32,2)</f>
        <v>29.32</v>
      </c>
      <c r="G593" s="32">
        <f>TRUNC(E593*F593,2)</f>
        <v>23.98</v>
      </c>
      <c r="H593" s="32"/>
      <c r="I593" s="33"/>
      <c r="J593" s="33"/>
      <c r="K593" s="44"/>
    </row>
    <row r="594" spans="1:11" s="34" customFormat="1" ht="30">
      <c r="A594" s="30"/>
      <c r="B594" s="43" t="s">
        <v>1974</v>
      </c>
      <c r="C594" s="45" t="s">
        <v>419</v>
      </c>
      <c r="D594" s="46" t="s">
        <v>4</v>
      </c>
      <c r="E594" s="44">
        <v>0.818</v>
      </c>
      <c r="F594" s="31">
        <f>TRUNC(22.69,2)</f>
        <v>22.69</v>
      </c>
      <c r="G594" s="32">
        <f>TRUNC(E594*F594,2)</f>
        <v>18.56</v>
      </c>
      <c r="H594" s="32"/>
      <c r="I594" s="33"/>
      <c r="J594" s="33"/>
      <c r="K594" s="44"/>
    </row>
    <row r="595" spans="1:11" s="34" customFormat="1" ht="15">
      <c r="A595" s="30"/>
      <c r="B595" s="43"/>
      <c r="C595" s="45"/>
      <c r="D595" s="46"/>
      <c r="E595" s="44" t="s">
        <v>5</v>
      </c>
      <c r="F595" s="31"/>
      <c r="G595" s="32">
        <f>TRUNC(SUM(G591:G594),2)</f>
        <v>201.78</v>
      </c>
      <c r="H595" s="32"/>
      <c r="I595" s="33"/>
      <c r="J595" s="33"/>
      <c r="K595" s="44"/>
    </row>
    <row r="596" spans="1:11" s="107" customFormat="1" ht="30">
      <c r="A596" s="99" t="s">
        <v>946</v>
      </c>
      <c r="B596" s="100" t="s">
        <v>1981</v>
      </c>
      <c r="C596" s="101" t="s">
        <v>433</v>
      </c>
      <c r="D596" s="102" t="s">
        <v>10</v>
      </c>
      <c r="E596" s="103">
        <v>13</v>
      </c>
      <c r="F596" s="104">
        <f>TRUNC(G601,2)</f>
        <v>63.53</v>
      </c>
      <c r="G596" s="105">
        <f>TRUNC(F596*1.2247,2)</f>
        <v>77.8</v>
      </c>
      <c r="H596" s="105">
        <f>TRUNC(F596*E596,2)</f>
        <v>825.89</v>
      </c>
      <c r="I596" s="106">
        <f>TRUNC(E596*G596,2)</f>
        <v>1011.4</v>
      </c>
      <c r="J596" s="106"/>
      <c r="K596" s="103"/>
    </row>
    <row r="597" spans="1:11" s="34" customFormat="1" ht="30">
      <c r="A597" s="30"/>
      <c r="B597" s="43" t="s">
        <v>1982</v>
      </c>
      <c r="C597" s="45" t="s">
        <v>435</v>
      </c>
      <c r="D597" s="46" t="s">
        <v>10</v>
      </c>
      <c r="E597" s="44">
        <v>1</v>
      </c>
      <c r="F597" s="31">
        <f>TRUNC(49.35,2)</f>
        <v>49.35</v>
      </c>
      <c r="G597" s="32">
        <f>TRUNC(E597*F597,2)</f>
        <v>49.35</v>
      </c>
      <c r="H597" s="32"/>
      <c r="I597" s="33"/>
      <c r="J597" s="33"/>
      <c r="K597" s="44"/>
    </row>
    <row r="598" spans="1:11" s="34" customFormat="1" ht="15">
      <c r="A598" s="30"/>
      <c r="B598" s="43" t="s">
        <v>1973</v>
      </c>
      <c r="C598" s="45" t="s">
        <v>415</v>
      </c>
      <c r="D598" s="46" t="s">
        <v>10</v>
      </c>
      <c r="E598" s="44">
        <v>0.013</v>
      </c>
      <c r="F598" s="31">
        <f>TRUNC(14.38,2)</f>
        <v>14.38</v>
      </c>
      <c r="G598" s="32">
        <f>TRUNC(E598*F598,2)</f>
        <v>0.18</v>
      </c>
      <c r="H598" s="32"/>
      <c r="I598" s="33"/>
      <c r="J598" s="33"/>
      <c r="K598" s="44"/>
    </row>
    <row r="599" spans="1:11" s="34" customFormat="1" ht="15">
      <c r="A599" s="30"/>
      <c r="B599" s="43" t="s">
        <v>1933</v>
      </c>
      <c r="C599" s="45" t="s">
        <v>417</v>
      </c>
      <c r="D599" s="46" t="s">
        <v>4</v>
      </c>
      <c r="E599" s="44">
        <v>0.3</v>
      </c>
      <c r="F599" s="31">
        <f>TRUNC(29.32,2)</f>
        <v>29.32</v>
      </c>
      <c r="G599" s="32">
        <f>TRUNC(E599*F599,2)</f>
        <v>8.79</v>
      </c>
      <c r="H599" s="32"/>
      <c r="I599" s="33"/>
      <c r="J599" s="33"/>
      <c r="K599" s="44"/>
    </row>
    <row r="600" spans="1:11" s="34" customFormat="1" ht="30">
      <c r="A600" s="30"/>
      <c r="B600" s="43" t="s">
        <v>1974</v>
      </c>
      <c r="C600" s="45" t="s">
        <v>419</v>
      </c>
      <c r="D600" s="46" t="s">
        <v>4</v>
      </c>
      <c r="E600" s="44">
        <v>0.23</v>
      </c>
      <c r="F600" s="31">
        <f>TRUNC(22.69,2)</f>
        <v>22.69</v>
      </c>
      <c r="G600" s="32">
        <f>TRUNC(E600*F600,2)</f>
        <v>5.21</v>
      </c>
      <c r="H600" s="32"/>
      <c r="I600" s="33"/>
      <c r="J600" s="33"/>
      <c r="K600" s="44"/>
    </row>
    <row r="601" spans="1:11" s="34" customFormat="1" ht="15">
      <c r="A601" s="30"/>
      <c r="B601" s="43"/>
      <c r="C601" s="45"/>
      <c r="D601" s="46"/>
      <c r="E601" s="44" t="s">
        <v>5</v>
      </c>
      <c r="F601" s="31"/>
      <c r="G601" s="32">
        <f>TRUNC(SUM(G597:G600),2)</f>
        <v>63.53</v>
      </c>
      <c r="H601" s="32"/>
      <c r="I601" s="33"/>
      <c r="J601" s="33"/>
      <c r="K601" s="44"/>
    </row>
    <row r="602" spans="1:11" s="107" customFormat="1" ht="30">
      <c r="A602" s="99" t="s">
        <v>947</v>
      </c>
      <c r="B602" s="100" t="s">
        <v>1983</v>
      </c>
      <c r="C602" s="101" t="s">
        <v>620</v>
      </c>
      <c r="D602" s="102" t="s">
        <v>10</v>
      </c>
      <c r="E602" s="103">
        <v>9</v>
      </c>
      <c r="F602" s="104">
        <f>TRUNC(G604,2)</f>
        <v>34.21</v>
      </c>
      <c r="G602" s="105">
        <f>TRUNC(F602*1.2247,2)</f>
        <v>41.89</v>
      </c>
      <c r="H602" s="105">
        <f>TRUNC(F602*E602,2)</f>
        <v>307.89</v>
      </c>
      <c r="I602" s="106">
        <f>TRUNC(E602*G602,2)</f>
        <v>377.01</v>
      </c>
      <c r="J602" s="106"/>
      <c r="K602" s="103"/>
    </row>
    <row r="603" spans="1:11" s="34" customFormat="1" ht="15">
      <c r="A603" s="30"/>
      <c r="B603" s="43" t="s">
        <v>621</v>
      </c>
      <c r="C603" s="45" t="s">
        <v>622</v>
      </c>
      <c r="D603" s="46" t="s">
        <v>10</v>
      </c>
      <c r="E603" s="44">
        <v>1</v>
      </c>
      <c r="F603" s="31">
        <f>TRUNC(34.21,2)</f>
        <v>34.21</v>
      </c>
      <c r="G603" s="32">
        <f>TRUNC(E603*F603,2)</f>
        <v>34.21</v>
      </c>
      <c r="H603" s="32"/>
      <c r="I603" s="33"/>
      <c r="J603" s="33"/>
      <c r="K603" s="44"/>
    </row>
    <row r="604" spans="1:11" s="34" customFormat="1" ht="15">
      <c r="A604" s="30"/>
      <c r="B604" s="43"/>
      <c r="C604" s="45"/>
      <c r="D604" s="46"/>
      <c r="E604" s="44" t="s">
        <v>5</v>
      </c>
      <c r="F604" s="31"/>
      <c r="G604" s="32">
        <f>TRUNC(SUM(G603:G603),2)</f>
        <v>34.21</v>
      </c>
      <c r="H604" s="32"/>
      <c r="I604" s="33"/>
      <c r="J604" s="33"/>
      <c r="K604" s="44"/>
    </row>
    <row r="605" spans="1:11" s="107" customFormat="1" ht="30">
      <c r="A605" s="99" t="s">
        <v>945</v>
      </c>
      <c r="B605" s="100" t="s">
        <v>1984</v>
      </c>
      <c r="C605" s="101" t="s">
        <v>437</v>
      </c>
      <c r="D605" s="102" t="s">
        <v>10</v>
      </c>
      <c r="E605" s="103">
        <v>1</v>
      </c>
      <c r="F605" s="104">
        <f>TRUNC(G609,2)</f>
        <v>76.61</v>
      </c>
      <c r="G605" s="105">
        <f>TRUNC(F605*1.2247,2)</f>
        <v>93.82</v>
      </c>
      <c r="H605" s="105">
        <f>TRUNC(F605*E605,2)</f>
        <v>76.61</v>
      </c>
      <c r="I605" s="106">
        <f>TRUNC(E605*G605,2)</f>
        <v>93.82</v>
      </c>
      <c r="J605" s="106"/>
      <c r="K605" s="103"/>
    </row>
    <row r="606" spans="1:11" s="34" customFormat="1" ht="15">
      <c r="A606" s="30"/>
      <c r="B606" s="43" t="s">
        <v>438</v>
      </c>
      <c r="C606" s="45" t="s">
        <v>439</v>
      </c>
      <c r="D606" s="46" t="s">
        <v>10</v>
      </c>
      <c r="E606" s="44">
        <v>1</v>
      </c>
      <c r="F606" s="31">
        <f>TRUNC(48.2,2)</f>
        <v>48.2</v>
      </c>
      <c r="G606" s="32">
        <f>TRUNC(E606*F606,2)</f>
        <v>48.2</v>
      </c>
      <c r="H606" s="32"/>
      <c r="I606" s="33"/>
      <c r="J606" s="33"/>
      <c r="K606" s="44"/>
    </row>
    <row r="607" spans="1:11" s="34" customFormat="1" ht="30">
      <c r="A607" s="30"/>
      <c r="B607" s="43" t="s">
        <v>33</v>
      </c>
      <c r="C607" s="45" t="s">
        <v>34</v>
      </c>
      <c r="D607" s="46" t="s">
        <v>4</v>
      </c>
      <c r="E607" s="44">
        <v>0.721</v>
      </c>
      <c r="F607" s="31">
        <f>TRUNC(16.55,2)</f>
        <v>16.55</v>
      </c>
      <c r="G607" s="32">
        <f>TRUNC(E607*F607,2)</f>
        <v>11.93</v>
      </c>
      <c r="H607" s="32"/>
      <c r="I607" s="33"/>
      <c r="J607" s="33"/>
      <c r="K607" s="44"/>
    </row>
    <row r="608" spans="1:11" s="34" customFormat="1" ht="30">
      <c r="A608" s="30"/>
      <c r="B608" s="43" t="s">
        <v>1754</v>
      </c>
      <c r="C608" s="45" t="s">
        <v>1755</v>
      </c>
      <c r="D608" s="46" t="s">
        <v>4</v>
      </c>
      <c r="E608" s="44">
        <v>0.721</v>
      </c>
      <c r="F608" s="31">
        <f>TRUNC(22.86,2)</f>
        <v>22.86</v>
      </c>
      <c r="G608" s="32">
        <f>TRUNC(E608*F608,2)</f>
        <v>16.48</v>
      </c>
      <c r="H608" s="32"/>
      <c r="I608" s="33"/>
      <c r="J608" s="33"/>
      <c r="K608" s="44"/>
    </row>
    <row r="609" spans="1:11" s="34" customFormat="1" ht="15">
      <c r="A609" s="30"/>
      <c r="B609" s="43"/>
      <c r="C609" s="45"/>
      <c r="D609" s="46"/>
      <c r="E609" s="44" t="s">
        <v>5</v>
      </c>
      <c r="F609" s="31"/>
      <c r="G609" s="32">
        <f>TRUNC(SUM(G606:G608),2)</f>
        <v>76.61</v>
      </c>
      <c r="H609" s="32"/>
      <c r="I609" s="33"/>
      <c r="J609" s="33"/>
      <c r="K609" s="44"/>
    </row>
    <row r="610" spans="1:11" s="107" customFormat="1" ht="60">
      <c r="A610" s="99" t="s">
        <v>946</v>
      </c>
      <c r="B610" s="100" t="s">
        <v>1985</v>
      </c>
      <c r="C610" s="101" t="s">
        <v>441</v>
      </c>
      <c r="D610" s="102" t="s">
        <v>2</v>
      </c>
      <c r="E610" s="103">
        <v>300</v>
      </c>
      <c r="F610" s="104">
        <f>TRUNC(G615,2)</f>
        <v>10.26</v>
      </c>
      <c r="G610" s="105">
        <f>TRUNC(F610*1.2247,2)</f>
        <v>12.56</v>
      </c>
      <c r="H610" s="105">
        <f>TRUNC(F610*E610,2)</f>
        <v>3078</v>
      </c>
      <c r="I610" s="106">
        <f>TRUNC(E610*G610,2)</f>
        <v>3768</v>
      </c>
      <c r="J610" s="106"/>
      <c r="K610" s="103"/>
    </row>
    <row r="611" spans="1:11" s="34" customFormat="1" ht="30">
      <c r="A611" s="30"/>
      <c r="B611" s="43" t="s">
        <v>442</v>
      </c>
      <c r="C611" s="45" t="s">
        <v>443</v>
      </c>
      <c r="D611" s="46" t="s">
        <v>10</v>
      </c>
      <c r="E611" s="44">
        <v>0.1925</v>
      </c>
      <c r="F611" s="31">
        <f>TRUNC(17.95,2)</f>
        <v>17.95</v>
      </c>
      <c r="G611" s="32">
        <f>TRUNC(E611*F611,2)</f>
        <v>3.45</v>
      </c>
      <c r="H611" s="32"/>
      <c r="I611" s="33"/>
      <c r="J611" s="33"/>
      <c r="K611" s="44"/>
    </row>
    <row r="612" spans="1:11" s="34" customFormat="1" ht="15">
      <c r="A612" s="30"/>
      <c r="B612" s="43" t="s">
        <v>141</v>
      </c>
      <c r="C612" s="45" t="s">
        <v>142</v>
      </c>
      <c r="D612" s="46" t="s">
        <v>10</v>
      </c>
      <c r="E612" s="44">
        <v>0.1375</v>
      </c>
      <c r="F612" s="31">
        <f>TRUNC(5.35,2)</f>
        <v>5.35</v>
      </c>
      <c r="G612" s="32">
        <f>TRUNC(E612*F612,2)</f>
        <v>0.73</v>
      </c>
      <c r="H612" s="32"/>
      <c r="I612" s="33"/>
      <c r="J612" s="33"/>
      <c r="K612" s="44"/>
    </row>
    <row r="613" spans="1:11" s="34" customFormat="1" ht="30">
      <c r="A613" s="30"/>
      <c r="B613" s="43" t="s">
        <v>33</v>
      </c>
      <c r="C613" s="45" t="s">
        <v>34</v>
      </c>
      <c r="D613" s="46" t="s">
        <v>4</v>
      </c>
      <c r="E613" s="44">
        <v>0.1545</v>
      </c>
      <c r="F613" s="31">
        <f>TRUNC(16.55,2)</f>
        <v>16.55</v>
      </c>
      <c r="G613" s="32">
        <f>TRUNC(E613*F613,2)</f>
        <v>2.55</v>
      </c>
      <c r="H613" s="32"/>
      <c r="I613" s="33"/>
      <c r="J613" s="33"/>
      <c r="K613" s="44"/>
    </row>
    <row r="614" spans="1:11" s="34" customFormat="1" ht="30">
      <c r="A614" s="30"/>
      <c r="B614" s="43" t="s">
        <v>1754</v>
      </c>
      <c r="C614" s="45" t="s">
        <v>1755</v>
      </c>
      <c r="D614" s="46" t="s">
        <v>4</v>
      </c>
      <c r="E614" s="44">
        <v>0.1545</v>
      </c>
      <c r="F614" s="31">
        <f>TRUNC(22.86,2)</f>
        <v>22.86</v>
      </c>
      <c r="G614" s="32">
        <f>TRUNC(E614*F614,2)</f>
        <v>3.53</v>
      </c>
      <c r="H614" s="32"/>
      <c r="I614" s="33"/>
      <c r="J614" s="33"/>
      <c r="K614" s="44"/>
    </row>
    <row r="615" spans="1:11" s="34" customFormat="1" ht="15">
      <c r="A615" s="30"/>
      <c r="B615" s="43"/>
      <c r="C615" s="45"/>
      <c r="D615" s="46"/>
      <c r="E615" s="44" t="s">
        <v>5</v>
      </c>
      <c r="F615" s="31"/>
      <c r="G615" s="32">
        <f>TRUNC(SUM(G611:G614),2)</f>
        <v>10.26</v>
      </c>
      <c r="H615" s="32"/>
      <c r="I615" s="33"/>
      <c r="J615" s="33"/>
      <c r="K615" s="44"/>
    </row>
    <row r="616" spans="1:11" s="107" customFormat="1" ht="60">
      <c r="A616" s="99" t="s">
        <v>947</v>
      </c>
      <c r="B616" s="100" t="s">
        <v>1986</v>
      </c>
      <c r="C616" s="101" t="s">
        <v>445</v>
      </c>
      <c r="D616" s="102" t="s">
        <v>2</v>
      </c>
      <c r="E616" s="103">
        <v>48</v>
      </c>
      <c r="F616" s="104">
        <f>TRUNC(G621,2)</f>
        <v>15.64</v>
      </c>
      <c r="G616" s="105">
        <f>TRUNC(F616*1.2247,2)</f>
        <v>19.15</v>
      </c>
      <c r="H616" s="105">
        <f>TRUNC(F616*E616,2)</f>
        <v>750.72</v>
      </c>
      <c r="I616" s="106">
        <f>TRUNC(E616*G616,2)</f>
        <v>919.2</v>
      </c>
      <c r="J616" s="106"/>
      <c r="K616" s="103"/>
    </row>
    <row r="617" spans="1:11" s="34" customFormat="1" ht="15">
      <c r="A617" s="30"/>
      <c r="B617" s="43" t="s">
        <v>446</v>
      </c>
      <c r="C617" s="45" t="s">
        <v>447</v>
      </c>
      <c r="D617" s="46" t="s">
        <v>10</v>
      </c>
      <c r="E617" s="44">
        <v>0.1925</v>
      </c>
      <c r="F617" s="31">
        <f>TRUNC(43.68,2)</f>
        <v>43.68</v>
      </c>
      <c r="G617" s="32">
        <f>TRUNC(E617*F617,2)</f>
        <v>8.4</v>
      </c>
      <c r="H617" s="32"/>
      <c r="I617" s="33"/>
      <c r="J617" s="33"/>
      <c r="K617" s="44"/>
    </row>
    <row r="618" spans="1:11" s="34" customFormat="1" ht="15">
      <c r="A618" s="30"/>
      <c r="B618" s="43" t="s">
        <v>141</v>
      </c>
      <c r="C618" s="45" t="s">
        <v>142</v>
      </c>
      <c r="D618" s="46" t="s">
        <v>10</v>
      </c>
      <c r="E618" s="44">
        <v>0.14300000000000002</v>
      </c>
      <c r="F618" s="31">
        <f>TRUNC(5.35,2)</f>
        <v>5.35</v>
      </c>
      <c r="G618" s="32">
        <f>TRUNC(E618*F618,2)</f>
        <v>0.76</v>
      </c>
      <c r="H618" s="32"/>
      <c r="I618" s="33"/>
      <c r="J618" s="33"/>
      <c r="K618" s="44"/>
    </row>
    <row r="619" spans="1:11" s="34" customFormat="1" ht="30">
      <c r="A619" s="30"/>
      <c r="B619" s="43" t="s">
        <v>33</v>
      </c>
      <c r="C619" s="45" t="s">
        <v>34</v>
      </c>
      <c r="D619" s="46" t="s">
        <v>4</v>
      </c>
      <c r="E619" s="44">
        <v>0.1648</v>
      </c>
      <c r="F619" s="31">
        <f>TRUNC(16.55,2)</f>
        <v>16.55</v>
      </c>
      <c r="G619" s="32">
        <f>TRUNC(E619*F619,2)</f>
        <v>2.72</v>
      </c>
      <c r="H619" s="32"/>
      <c r="I619" s="33"/>
      <c r="J619" s="33"/>
      <c r="K619" s="44"/>
    </row>
    <row r="620" spans="1:11" s="34" customFormat="1" ht="30">
      <c r="A620" s="30"/>
      <c r="B620" s="43" t="s">
        <v>1754</v>
      </c>
      <c r="C620" s="45" t="s">
        <v>1755</v>
      </c>
      <c r="D620" s="46" t="s">
        <v>4</v>
      </c>
      <c r="E620" s="44">
        <v>0.1648</v>
      </c>
      <c r="F620" s="31">
        <f>TRUNC(22.86,2)</f>
        <v>22.86</v>
      </c>
      <c r="G620" s="32">
        <f>TRUNC(E620*F620,2)</f>
        <v>3.76</v>
      </c>
      <c r="H620" s="32"/>
      <c r="I620" s="33"/>
      <c r="J620" s="33"/>
      <c r="K620" s="44"/>
    </row>
    <row r="621" spans="1:11" s="34" customFormat="1" ht="15">
      <c r="A621" s="30"/>
      <c r="B621" s="43"/>
      <c r="C621" s="45"/>
      <c r="D621" s="46"/>
      <c r="E621" s="44" t="s">
        <v>5</v>
      </c>
      <c r="F621" s="31"/>
      <c r="G621" s="32">
        <f>TRUNC(SUM(G617:G620),2)</f>
        <v>15.64</v>
      </c>
      <c r="H621" s="32"/>
      <c r="I621" s="33"/>
      <c r="J621" s="33"/>
      <c r="K621" s="44"/>
    </row>
    <row r="622" spans="1:11" s="107" customFormat="1" ht="60">
      <c r="A622" s="99" t="s">
        <v>948</v>
      </c>
      <c r="B622" s="100" t="s">
        <v>1987</v>
      </c>
      <c r="C622" s="101" t="s">
        <v>449</v>
      </c>
      <c r="D622" s="102" t="s">
        <v>2</v>
      </c>
      <c r="E622" s="103">
        <v>30</v>
      </c>
      <c r="F622" s="104">
        <f>TRUNC(G627,2)</f>
        <v>21.12</v>
      </c>
      <c r="G622" s="105">
        <f>TRUNC(F622*1.2247,2)</f>
        <v>25.86</v>
      </c>
      <c r="H622" s="105">
        <f>TRUNC(F622*E622,2)</f>
        <v>633.6</v>
      </c>
      <c r="I622" s="106">
        <f>TRUNC(E622*G622,2)</f>
        <v>775.8</v>
      </c>
      <c r="J622" s="106"/>
      <c r="K622" s="103"/>
    </row>
    <row r="623" spans="1:11" s="34" customFormat="1" ht="15">
      <c r="A623" s="30"/>
      <c r="B623" s="43" t="s">
        <v>450</v>
      </c>
      <c r="C623" s="45" t="s">
        <v>451</v>
      </c>
      <c r="D623" s="46" t="s">
        <v>10</v>
      </c>
      <c r="E623" s="44">
        <v>0.1925</v>
      </c>
      <c r="F623" s="31">
        <f>TRUNC(67.6,2)</f>
        <v>67.6</v>
      </c>
      <c r="G623" s="32">
        <f>TRUNC(E623*F623,2)</f>
        <v>13.01</v>
      </c>
      <c r="H623" s="32"/>
      <c r="I623" s="33"/>
      <c r="J623" s="33"/>
      <c r="K623" s="44"/>
    </row>
    <row r="624" spans="1:11" s="34" customFormat="1" ht="15">
      <c r="A624" s="30"/>
      <c r="B624" s="43" t="s">
        <v>141</v>
      </c>
      <c r="C624" s="45" t="s">
        <v>142</v>
      </c>
      <c r="D624" s="46" t="s">
        <v>10</v>
      </c>
      <c r="E624" s="44">
        <v>0.15400000000000003</v>
      </c>
      <c r="F624" s="31">
        <f>TRUNC(5.35,2)</f>
        <v>5.35</v>
      </c>
      <c r="G624" s="32">
        <f>TRUNC(E624*F624,2)</f>
        <v>0.82</v>
      </c>
      <c r="H624" s="32"/>
      <c r="I624" s="33"/>
      <c r="J624" s="33"/>
      <c r="K624" s="44"/>
    </row>
    <row r="625" spans="1:11" s="34" customFormat="1" ht="30">
      <c r="A625" s="30"/>
      <c r="B625" s="43" t="s">
        <v>33</v>
      </c>
      <c r="C625" s="45" t="s">
        <v>34</v>
      </c>
      <c r="D625" s="46" t="s">
        <v>4</v>
      </c>
      <c r="E625" s="44">
        <v>0.1854</v>
      </c>
      <c r="F625" s="31">
        <f>TRUNC(16.55,2)</f>
        <v>16.55</v>
      </c>
      <c r="G625" s="32">
        <f>TRUNC(E625*F625,2)</f>
        <v>3.06</v>
      </c>
      <c r="H625" s="32"/>
      <c r="I625" s="33"/>
      <c r="J625" s="33"/>
      <c r="K625" s="44"/>
    </row>
    <row r="626" spans="1:11" s="34" customFormat="1" ht="30">
      <c r="A626" s="30"/>
      <c r="B626" s="43" t="s">
        <v>1754</v>
      </c>
      <c r="C626" s="45" t="s">
        <v>1755</v>
      </c>
      <c r="D626" s="46" t="s">
        <v>4</v>
      </c>
      <c r="E626" s="44">
        <v>0.1854</v>
      </c>
      <c r="F626" s="31">
        <f>TRUNC(22.86,2)</f>
        <v>22.86</v>
      </c>
      <c r="G626" s="32">
        <f>TRUNC(E626*F626,2)</f>
        <v>4.23</v>
      </c>
      <c r="H626" s="32"/>
      <c r="I626" s="33"/>
      <c r="J626" s="33"/>
      <c r="K626" s="44"/>
    </row>
    <row r="627" spans="1:11" s="34" customFormat="1" ht="15">
      <c r="A627" s="30"/>
      <c r="B627" s="43"/>
      <c r="C627" s="45"/>
      <c r="D627" s="46"/>
      <c r="E627" s="44" t="s">
        <v>5</v>
      </c>
      <c r="F627" s="31"/>
      <c r="G627" s="32">
        <f>TRUNC(SUM(G623:G626),2)</f>
        <v>21.12</v>
      </c>
      <c r="H627" s="32"/>
      <c r="I627" s="33"/>
      <c r="J627" s="33"/>
      <c r="K627" s="44"/>
    </row>
    <row r="628" spans="1:11" s="107" customFormat="1" ht="30">
      <c r="A628" s="99" t="s">
        <v>1598</v>
      </c>
      <c r="B628" s="100" t="s">
        <v>1988</v>
      </c>
      <c r="C628" s="101" t="s">
        <v>453</v>
      </c>
      <c r="D628" s="102" t="s">
        <v>2</v>
      </c>
      <c r="E628" s="103">
        <v>54</v>
      </c>
      <c r="F628" s="104">
        <f>TRUNC(G631,2)</f>
        <v>17.38</v>
      </c>
      <c r="G628" s="105">
        <f>TRUNC(F628*1.2247,2)</f>
        <v>21.28</v>
      </c>
      <c r="H628" s="105">
        <f>TRUNC(F628*E628,2)</f>
        <v>938.52</v>
      </c>
      <c r="I628" s="106">
        <f>TRUNC(E628*G628,2)</f>
        <v>1149.12</v>
      </c>
      <c r="J628" s="106"/>
      <c r="K628" s="103"/>
    </row>
    <row r="629" spans="1:11" s="34" customFormat="1" ht="15">
      <c r="A629" s="30"/>
      <c r="B629" s="43" t="s">
        <v>454</v>
      </c>
      <c r="C629" s="45" t="s">
        <v>455</v>
      </c>
      <c r="D629" s="46" t="s">
        <v>10</v>
      </c>
      <c r="E629" s="44">
        <v>0.17</v>
      </c>
      <c r="F629" s="31">
        <f>TRUNC(1.91,2)</f>
        <v>1.91</v>
      </c>
      <c r="G629" s="32">
        <f>TRUNC(E629*F629,2)</f>
        <v>0.32</v>
      </c>
      <c r="H629" s="32"/>
      <c r="I629" s="33"/>
      <c r="J629" s="33"/>
      <c r="K629" s="44"/>
    </row>
    <row r="630" spans="1:11" s="34" customFormat="1" ht="30">
      <c r="A630" s="30"/>
      <c r="B630" s="43" t="s">
        <v>456</v>
      </c>
      <c r="C630" s="45" t="s">
        <v>457</v>
      </c>
      <c r="D630" s="46" t="s">
        <v>2</v>
      </c>
      <c r="E630" s="44">
        <v>1</v>
      </c>
      <c r="F630" s="31">
        <f>TRUNC(17.06,2)</f>
        <v>17.06</v>
      </c>
      <c r="G630" s="32">
        <f>TRUNC(E630*F630,2)</f>
        <v>17.06</v>
      </c>
      <c r="H630" s="32"/>
      <c r="I630" s="33"/>
      <c r="J630" s="33"/>
      <c r="K630" s="44"/>
    </row>
    <row r="631" spans="1:11" s="34" customFormat="1" ht="15">
      <c r="A631" s="30"/>
      <c r="B631" s="43"/>
      <c r="C631" s="45"/>
      <c r="D631" s="46"/>
      <c r="E631" s="44" t="s">
        <v>5</v>
      </c>
      <c r="F631" s="31"/>
      <c r="G631" s="32">
        <f>TRUNC(SUM(G629:G630),2)</f>
        <v>17.38</v>
      </c>
      <c r="H631" s="32"/>
      <c r="I631" s="33"/>
      <c r="J631" s="33"/>
      <c r="K631" s="44"/>
    </row>
    <row r="632" spans="1:11" s="107" customFormat="1" ht="30">
      <c r="A632" s="99" t="s">
        <v>1599</v>
      </c>
      <c r="B632" s="100" t="s">
        <v>1991</v>
      </c>
      <c r="C632" s="101" t="s">
        <v>949</v>
      </c>
      <c r="D632" s="102" t="s">
        <v>2</v>
      </c>
      <c r="E632" s="103">
        <v>12</v>
      </c>
      <c r="F632" s="104">
        <f>TRUNC(G635,2)</f>
        <v>31.05</v>
      </c>
      <c r="G632" s="105">
        <f>TRUNC(F632*1.2247,2)</f>
        <v>38.02</v>
      </c>
      <c r="H632" s="105">
        <f>TRUNC(F632*E632,2)</f>
        <v>372.6</v>
      </c>
      <c r="I632" s="106">
        <f>TRUNC(E632*G632,2)</f>
        <v>456.24</v>
      </c>
      <c r="J632" s="106"/>
      <c r="K632" s="103"/>
    </row>
    <row r="633" spans="1:11" s="34" customFormat="1" ht="15">
      <c r="A633" s="30"/>
      <c r="B633" s="43" t="s">
        <v>454</v>
      </c>
      <c r="C633" s="45" t="s">
        <v>455</v>
      </c>
      <c r="D633" s="46" t="s">
        <v>10</v>
      </c>
      <c r="E633" s="44">
        <v>0.17</v>
      </c>
      <c r="F633" s="31">
        <f>TRUNC(1.91,2)</f>
        <v>1.91</v>
      </c>
      <c r="G633" s="32">
        <f>TRUNC(E633*F633,2)</f>
        <v>0.32</v>
      </c>
      <c r="H633" s="32"/>
      <c r="I633" s="33"/>
      <c r="J633" s="33"/>
      <c r="K633" s="44"/>
    </row>
    <row r="634" spans="1:11" s="58" customFormat="1" ht="15">
      <c r="A634" s="54"/>
      <c r="B634" s="52" t="s">
        <v>950</v>
      </c>
      <c r="C634" s="55" t="s">
        <v>951</v>
      </c>
      <c r="D634" s="56" t="s">
        <v>2</v>
      </c>
      <c r="E634" s="57">
        <v>1</v>
      </c>
      <c r="F634" s="53">
        <v>30.73</v>
      </c>
      <c r="G634" s="50">
        <f>TRUNC(E634*F634,2)</f>
        <v>30.73</v>
      </c>
      <c r="H634" s="50"/>
      <c r="I634" s="51"/>
      <c r="J634" s="51"/>
      <c r="K634" s="57"/>
    </row>
    <row r="635" spans="1:11" s="34" customFormat="1" ht="15">
      <c r="A635" s="30"/>
      <c r="B635" s="43"/>
      <c r="C635" s="45"/>
      <c r="D635" s="46"/>
      <c r="E635" s="44" t="s">
        <v>5</v>
      </c>
      <c r="F635" s="31"/>
      <c r="G635" s="32">
        <f>TRUNC(SUM(G633:G634),2)</f>
        <v>31.05</v>
      </c>
      <c r="H635" s="32"/>
      <c r="I635" s="33"/>
      <c r="J635" s="33"/>
      <c r="K635" s="44"/>
    </row>
    <row r="636" spans="1:11" s="107" customFormat="1" ht="30">
      <c r="A636" s="99" t="s">
        <v>1600</v>
      </c>
      <c r="B636" s="100" t="s">
        <v>1992</v>
      </c>
      <c r="C636" s="101" t="s">
        <v>459</v>
      </c>
      <c r="D636" s="102" t="s">
        <v>2</v>
      </c>
      <c r="E636" s="103">
        <v>78</v>
      </c>
      <c r="F636" s="104">
        <f>TRUNC(G639,2)</f>
        <v>34.48</v>
      </c>
      <c r="G636" s="105">
        <f>TRUNC(F636*1.2247,2)</f>
        <v>42.22</v>
      </c>
      <c r="H636" s="105">
        <f>TRUNC(F636*E636,2)</f>
        <v>2689.44</v>
      </c>
      <c r="I636" s="106">
        <f>TRUNC(E636*G636,2)</f>
        <v>3293.16</v>
      </c>
      <c r="J636" s="106"/>
      <c r="K636" s="103"/>
    </row>
    <row r="637" spans="1:11" s="34" customFormat="1" ht="30">
      <c r="A637" s="30"/>
      <c r="B637" s="43" t="s">
        <v>460</v>
      </c>
      <c r="C637" s="45" t="s">
        <v>461</v>
      </c>
      <c r="D637" s="46" t="s">
        <v>2</v>
      </c>
      <c r="E637" s="44">
        <v>1</v>
      </c>
      <c r="F637" s="31">
        <f>TRUNC(33.54,2)</f>
        <v>33.54</v>
      </c>
      <c r="G637" s="32">
        <f>TRUNC(E637*F637,2)</f>
        <v>33.54</v>
      </c>
      <c r="H637" s="32"/>
      <c r="I637" s="33"/>
      <c r="J637" s="33"/>
      <c r="K637" s="44"/>
    </row>
    <row r="638" spans="1:11" s="34" customFormat="1" ht="15">
      <c r="A638" s="30"/>
      <c r="B638" s="43" t="s">
        <v>462</v>
      </c>
      <c r="C638" s="45" t="s">
        <v>463</v>
      </c>
      <c r="D638" s="46" t="s">
        <v>10</v>
      </c>
      <c r="E638" s="44">
        <v>0.17</v>
      </c>
      <c r="F638" s="31">
        <f>TRUNC(5.57,2)</f>
        <v>5.57</v>
      </c>
      <c r="G638" s="32">
        <f>TRUNC(E638*F638,2)</f>
        <v>0.94</v>
      </c>
      <c r="H638" s="32"/>
      <c r="I638" s="33"/>
      <c r="J638" s="33"/>
      <c r="K638" s="44"/>
    </row>
    <row r="639" spans="1:11" s="34" customFormat="1" ht="15">
      <c r="A639" s="30"/>
      <c r="B639" s="43"/>
      <c r="C639" s="45"/>
      <c r="D639" s="46"/>
      <c r="E639" s="44" t="s">
        <v>5</v>
      </c>
      <c r="F639" s="31"/>
      <c r="G639" s="32">
        <f>TRUNC(SUM(G637:G638),2)</f>
        <v>34.48</v>
      </c>
      <c r="H639" s="32"/>
      <c r="I639" s="33"/>
      <c r="J639" s="33"/>
      <c r="K639" s="44"/>
    </row>
    <row r="640" spans="1:11" s="107" customFormat="1" ht="15">
      <c r="A640" s="99" t="s">
        <v>1601</v>
      </c>
      <c r="B640" s="100" t="s">
        <v>827</v>
      </c>
      <c r="C640" s="101" t="s">
        <v>953</v>
      </c>
      <c r="D640" s="102" t="s">
        <v>10</v>
      </c>
      <c r="E640" s="103">
        <v>1</v>
      </c>
      <c r="F640" s="104">
        <v>59075</v>
      </c>
      <c r="G640" s="105">
        <f>TRUNC(F640*1.2247,2)</f>
        <v>72349.15</v>
      </c>
      <c r="H640" s="105">
        <f>TRUNC(F640*E640,2)</f>
        <v>59075</v>
      </c>
      <c r="I640" s="106">
        <f>TRUNC(E640*G640,2)</f>
        <v>72349.15</v>
      </c>
      <c r="J640" s="106"/>
      <c r="K640" s="103"/>
    </row>
    <row r="641" spans="1:11" s="34" customFormat="1" ht="30">
      <c r="A641" s="30"/>
      <c r="B641" s="52" t="s">
        <v>827</v>
      </c>
      <c r="C641" s="45" t="s">
        <v>954</v>
      </c>
      <c r="D641" s="46" t="s">
        <v>10</v>
      </c>
      <c r="E641" s="44">
        <v>1</v>
      </c>
      <c r="F641" s="31">
        <v>36300</v>
      </c>
      <c r="G641" s="32">
        <f>E641*F641</f>
        <v>36300</v>
      </c>
      <c r="H641" s="32"/>
      <c r="I641" s="33"/>
      <c r="J641" s="33"/>
      <c r="K641" s="44"/>
    </row>
    <row r="642" spans="1:11" s="34" customFormat="1" ht="30">
      <c r="A642" s="30"/>
      <c r="B642" s="52" t="s">
        <v>827</v>
      </c>
      <c r="C642" s="45" t="s">
        <v>955</v>
      </c>
      <c r="D642" s="46" t="s">
        <v>10</v>
      </c>
      <c r="E642" s="44">
        <v>1</v>
      </c>
      <c r="F642" s="31">
        <v>59075</v>
      </c>
      <c r="G642" s="32">
        <f>E642*F642</f>
        <v>59075</v>
      </c>
      <c r="H642" s="32"/>
      <c r="I642" s="33"/>
      <c r="J642" s="33"/>
      <c r="K642" s="44"/>
    </row>
    <row r="643" spans="1:11" s="34" customFormat="1" ht="30">
      <c r="A643" s="30"/>
      <c r="B643" s="52" t="s">
        <v>827</v>
      </c>
      <c r="C643" s="45" t="s">
        <v>956</v>
      </c>
      <c r="D643" s="46" t="s">
        <v>10</v>
      </c>
      <c r="E643" s="44">
        <v>1</v>
      </c>
      <c r="F643" s="31">
        <v>79800</v>
      </c>
      <c r="G643" s="32">
        <f>E643*F643</f>
        <v>79800</v>
      </c>
      <c r="H643" s="32"/>
      <c r="I643" s="33"/>
      <c r="J643" s="33"/>
      <c r="K643" s="44"/>
    </row>
    <row r="644" spans="1:11" s="34" customFormat="1" ht="15">
      <c r="A644" s="30"/>
      <c r="B644" s="43"/>
      <c r="C644" s="45"/>
      <c r="D644" s="46"/>
      <c r="E644" s="44" t="s">
        <v>5</v>
      </c>
      <c r="F644" s="59" t="s">
        <v>957</v>
      </c>
      <c r="G644" s="32">
        <f>F642</f>
        <v>59075</v>
      </c>
      <c r="H644" s="32"/>
      <c r="I644" s="33"/>
      <c r="J644" s="33"/>
      <c r="K644" s="44"/>
    </row>
    <row r="645" spans="1:11" s="107" customFormat="1" ht="30">
      <c r="A645" s="99" t="s">
        <v>1602</v>
      </c>
      <c r="B645" s="100" t="s">
        <v>1993</v>
      </c>
      <c r="C645" s="101" t="s">
        <v>465</v>
      </c>
      <c r="D645" s="102" t="s">
        <v>10</v>
      </c>
      <c r="E645" s="103">
        <v>11</v>
      </c>
      <c r="F645" s="104">
        <f>TRUNC(G650,2)</f>
        <v>279.1</v>
      </c>
      <c r="G645" s="105">
        <f>TRUNC(F645*1.2247,2)</f>
        <v>341.81</v>
      </c>
      <c r="H645" s="105">
        <f>TRUNC(F645*E645,2)</f>
        <v>3070.1</v>
      </c>
      <c r="I645" s="106">
        <f>TRUNC(E645*G645,2)</f>
        <v>3759.91</v>
      </c>
      <c r="J645" s="106"/>
      <c r="K645" s="103"/>
    </row>
    <row r="646" spans="1:11" s="34" customFormat="1" ht="30">
      <c r="A646" s="30"/>
      <c r="B646" s="43" t="s">
        <v>1994</v>
      </c>
      <c r="C646" s="45" t="s">
        <v>467</v>
      </c>
      <c r="D646" s="46" t="s">
        <v>10</v>
      </c>
      <c r="E646" s="44">
        <v>1</v>
      </c>
      <c r="F646" s="31">
        <f>TRUNC(237.8,2)</f>
        <v>237.8</v>
      </c>
      <c r="G646" s="32">
        <f>TRUNC(E646*F646,2)</f>
        <v>237.8</v>
      </c>
      <c r="H646" s="32"/>
      <c r="I646" s="33"/>
      <c r="J646" s="33"/>
      <c r="K646" s="44"/>
    </row>
    <row r="647" spans="1:11" s="34" customFormat="1" ht="15">
      <c r="A647" s="30"/>
      <c r="B647" s="43" t="s">
        <v>1973</v>
      </c>
      <c r="C647" s="45" t="s">
        <v>415</v>
      </c>
      <c r="D647" s="46" t="s">
        <v>10</v>
      </c>
      <c r="E647" s="44">
        <v>0.019</v>
      </c>
      <c r="F647" s="31">
        <f>TRUNC(14.38,2)</f>
        <v>14.38</v>
      </c>
      <c r="G647" s="32">
        <f>TRUNC(E647*F647,2)</f>
        <v>0.27</v>
      </c>
      <c r="H647" s="32"/>
      <c r="I647" s="33"/>
      <c r="J647" s="33"/>
      <c r="K647" s="44"/>
    </row>
    <row r="648" spans="1:11" s="34" customFormat="1" ht="15">
      <c r="A648" s="30"/>
      <c r="B648" s="43" t="s">
        <v>1933</v>
      </c>
      <c r="C648" s="45" t="s">
        <v>417</v>
      </c>
      <c r="D648" s="46" t="s">
        <v>4</v>
      </c>
      <c r="E648" s="44">
        <v>0.789</v>
      </c>
      <c r="F648" s="31">
        <f>TRUNC(29.32,2)</f>
        <v>29.32</v>
      </c>
      <c r="G648" s="32">
        <f>TRUNC(E648*F648,2)</f>
        <v>23.13</v>
      </c>
      <c r="H648" s="32"/>
      <c r="I648" s="33"/>
      <c r="J648" s="33"/>
      <c r="K648" s="44"/>
    </row>
    <row r="649" spans="1:11" s="34" customFormat="1" ht="30">
      <c r="A649" s="30"/>
      <c r="B649" s="43" t="s">
        <v>1974</v>
      </c>
      <c r="C649" s="45" t="s">
        <v>419</v>
      </c>
      <c r="D649" s="46" t="s">
        <v>4</v>
      </c>
      <c r="E649" s="44">
        <v>0.789</v>
      </c>
      <c r="F649" s="31">
        <f>TRUNC(22.69,2)</f>
        <v>22.69</v>
      </c>
      <c r="G649" s="32">
        <f>TRUNC(E649*F649,2)</f>
        <v>17.9</v>
      </c>
      <c r="H649" s="32"/>
      <c r="I649" s="33"/>
      <c r="J649" s="33"/>
      <c r="K649" s="44"/>
    </row>
    <row r="650" spans="1:11" s="34" customFormat="1" ht="15">
      <c r="A650" s="30"/>
      <c r="B650" s="43"/>
      <c r="C650" s="45"/>
      <c r="D650" s="46"/>
      <c r="E650" s="44" t="s">
        <v>5</v>
      </c>
      <c r="F650" s="31"/>
      <c r="G650" s="32">
        <f>TRUNC(SUM(G646:G649),2)</f>
        <v>279.1</v>
      </c>
      <c r="H650" s="32"/>
      <c r="I650" s="33"/>
      <c r="J650" s="33"/>
      <c r="K650" s="44"/>
    </row>
    <row r="651" spans="1:11" s="107" customFormat="1" ht="30">
      <c r="A651" s="99" t="s">
        <v>1603</v>
      </c>
      <c r="B651" s="100" t="s">
        <v>1995</v>
      </c>
      <c r="C651" s="101" t="s">
        <v>469</v>
      </c>
      <c r="D651" s="102" t="s">
        <v>10</v>
      </c>
      <c r="E651" s="103">
        <v>1</v>
      </c>
      <c r="F651" s="104">
        <f>TRUNC(G656,2)</f>
        <v>42.75</v>
      </c>
      <c r="G651" s="105">
        <f>TRUNC(F651*1.2247,2)</f>
        <v>52.35</v>
      </c>
      <c r="H651" s="105">
        <f>TRUNC(F651*E651,2)</f>
        <v>42.75</v>
      </c>
      <c r="I651" s="106">
        <f>TRUNC(E651*G651,2)</f>
        <v>52.35</v>
      </c>
      <c r="J651" s="106"/>
      <c r="K651" s="103"/>
    </row>
    <row r="652" spans="1:11" s="34" customFormat="1" ht="30">
      <c r="A652" s="30"/>
      <c r="B652" s="43" t="s">
        <v>1996</v>
      </c>
      <c r="C652" s="45" t="s">
        <v>471</v>
      </c>
      <c r="D652" s="46" t="s">
        <v>10</v>
      </c>
      <c r="E652" s="44">
        <v>1</v>
      </c>
      <c r="F652" s="31">
        <f>TRUNC(32.15,2)</f>
        <v>32.15</v>
      </c>
      <c r="G652" s="32">
        <f>TRUNC(E652*F652,2)</f>
        <v>32.15</v>
      </c>
      <c r="H652" s="32"/>
      <c r="I652" s="33"/>
      <c r="J652" s="33"/>
      <c r="K652" s="44"/>
    </row>
    <row r="653" spans="1:11" s="34" customFormat="1" ht="15">
      <c r="A653" s="30"/>
      <c r="B653" s="43" t="s">
        <v>1973</v>
      </c>
      <c r="C653" s="45" t="s">
        <v>415</v>
      </c>
      <c r="D653" s="46" t="s">
        <v>10</v>
      </c>
      <c r="E653" s="44">
        <v>0.007</v>
      </c>
      <c r="F653" s="31">
        <f>TRUNC(14.38,2)</f>
        <v>14.38</v>
      </c>
      <c r="G653" s="32">
        <f>TRUNC(E653*F653,2)</f>
        <v>0.1</v>
      </c>
      <c r="H653" s="32"/>
      <c r="I653" s="33"/>
      <c r="J653" s="33"/>
      <c r="K653" s="44"/>
    </row>
    <row r="654" spans="1:11" s="34" customFormat="1" ht="15">
      <c r="A654" s="30"/>
      <c r="B654" s="43" t="s">
        <v>1933</v>
      </c>
      <c r="C654" s="45" t="s">
        <v>417</v>
      </c>
      <c r="D654" s="46" t="s">
        <v>4</v>
      </c>
      <c r="E654" s="44">
        <v>0.202</v>
      </c>
      <c r="F654" s="31">
        <f>TRUNC(29.32,2)</f>
        <v>29.32</v>
      </c>
      <c r="G654" s="32">
        <f>TRUNC(E654*F654,2)</f>
        <v>5.92</v>
      </c>
      <c r="H654" s="32"/>
      <c r="I654" s="33"/>
      <c r="J654" s="33"/>
      <c r="K654" s="44"/>
    </row>
    <row r="655" spans="1:11" s="34" customFormat="1" ht="30">
      <c r="A655" s="30"/>
      <c r="B655" s="43" t="s">
        <v>1974</v>
      </c>
      <c r="C655" s="45" t="s">
        <v>419</v>
      </c>
      <c r="D655" s="46" t="s">
        <v>4</v>
      </c>
      <c r="E655" s="44">
        <v>0.202</v>
      </c>
      <c r="F655" s="31">
        <f>TRUNC(22.69,2)</f>
        <v>22.69</v>
      </c>
      <c r="G655" s="32">
        <f>TRUNC(E655*F655,2)</f>
        <v>4.58</v>
      </c>
      <c r="H655" s="32"/>
      <c r="I655" s="33"/>
      <c r="J655" s="33"/>
      <c r="K655" s="44"/>
    </row>
    <row r="656" spans="1:11" s="34" customFormat="1" ht="15">
      <c r="A656" s="30"/>
      <c r="B656" s="43"/>
      <c r="C656" s="45"/>
      <c r="D656" s="46"/>
      <c r="E656" s="44" t="s">
        <v>5</v>
      </c>
      <c r="F656" s="31"/>
      <c r="G656" s="32">
        <f>TRUNC(SUM(G652:G655),2)</f>
        <v>42.75</v>
      </c>
      <c r="H656" s="32"/>
      <c r="I656" s="33"/>
      <c r="J656" s="33"/>
      <c r="K656" s="44"/>
    </row>
    <row r="657" spans="1:11" s="107" customFormat="1" ht="30">
      <c r="A657" s="99" t="s">
        <v>1604</v>
      </c>
      <c r="B657" s="100" t="s">
        <v>1997</v>
      </c>
      <c r="C657" s="101" t="s">
        <v>473</v>
      </c>
      <c r="D657" s="102" t="s">
        <v>10</v>
      </c>
      <c r="E657" s="103">
        <v>11</v>
      </c>
      <c r="F657" s="104">
        <f>TRUNC(G659,2)</f>
        <v>10.4</v>
      </c>
      <c r="G657" s="105">
        <f>TRUNC(F657*1.2247,2)</f>
        <v>12.73</v>
      </c>
      <c r="H657" s="105">
        <f>TRUNC(F657*E657,2)</f>
        <v>114.4</v>
      </c>
      <c r="I657" s="106">
        <f>TRUNC(E657*G657,2)</f>
        <v>140.03</v>
      </c>
      <c r="J657" s="106"/>
      <c r="K657" s="103"/>
    </row>
    <row r="658" spans="1:11" s="34" customFormat="1" ht="15">
      <c r="A658" s="30"/>
      <c r="B658" s="43" t="s">
        <v>474</v>
      </c>
      <c r="C658" s="45" t="s">
        <v>475</v>
      </c>
      <c r="D658" s="46" t="s">
        <v>10</v>
      </c>
      <c r="E658" s="44">
        <v>1</v>
      </c>
      <c r="F658" s="31">
        <f>TRUNC(10.4,2)</f>
        <v>10.4</v>
      </c>
      <c r="G658" s="32">
        <f>TRUNC(E658*F658,2)</f>
        <v>10.4</v>
      </c>
      <c r="H658" s="32"/>
      <c r="I658" s="33"/>
      <c r="J658" s="33"/>
      <c r="K658" s="44"/>
    </row>
    <row r="659" spans="1:11" s="34" customFormat="1" ht="15">
      <c r="A659" s="30"/>
      <c r="B659" s="43"/>
      <c r="C659" s="45"/>
      <c r="D659" s="46"/>
      <c r="E659" s="44" t="s">
        <v>5</v>
      </c>
      <c r="F659" s="31"/>
      <c r="G659" s="32">
        <f>TRUNC(SUM(G658:G658),2)</f>
        <v>10.4</v>
      </c>
      <c r="H659" s="32"/>
      <c r="I659" s="33"/>
      <c r="J659" s="33"/>
      <c r="K659" s="44"/>
    </row>
    <row r="660" spans="1:11" s="107" customFormat="1" ht="45">
      <c r="A660" s="99" t="s">
        <v>1605</v>
      </c>
      <c r="B660" s="100" t="s">
        <v>1998</v>
      </c>
      <c r="C660" s="101" t="s">
        <v>1523</v>
      </c>
      <c r="D660" s="102" t="s">
        <v>2</v>
      </c>
      <c r="E660" s="103">
        <v>12</v>
      </c>
      <c r="F660" s="104">
        <f>TRUNC(G664,2)</f>
        <v>92.26</v>
      </c>
      <c r="G660" s="105">
        <f>TRUNC(F660*1.2247,2)</f>
        <v>112.99</v>
      </c>
      <c r="H660" s="105">
        <f>TRUNC(F660*E660,2)</f>
        <v>1107.12</v>
      </c>
      <c r="I660" s="106">
        <f>TRUNC(E660*G660,2)</f>
        <v>1355.88</v>
      </c>
      <c r="J660" s="106"/>
      <c r="K660" s="103"/>
    </row>
    <row r="661" spans="1:11" s="58" customFormat="1" ht="28.5">
      <c r="A661" s="54"/>
      <c r="B661" s="52" t="s">
        <v>1999</v>
      </c>
      <c r="C661" s="55" t="s">
        <v>624</v>
      </c>
      <c r="D661" s="56" t="s">
        <v>2</v>
      </c>
      <c r="E661" s="57">
        <v>1.0391</v>
      </c>
      <c r="F661" s="53">
        <v>75.53</v>
      </c>
      <c r="G661" s="50">
        <f>TRUNC(E661*F661,2)</f>
        <v>78.48</v>
      </c>
      <c r="H661" s="50"/>
      <c r="I661" s="51"/>
      <c r="J661" s="51"/>
      <c r="K661" s="57"/>
    </row>
    <row r="662" spans="1:11" s="34" customFormat="1" ht="15">
      <c r="A662" s="30"/>
      <c r="B662" s="43" t="s">
        <v>1933</v>
      </c>
      <c r="C662" s="45" t="s">
        <v>417</v>
      </c>
      <c r="D662" s="46" t="s">
        <v>4</v>
      </c>
      <c r="E662" s="44">
        <v>0.2653</v>
      </c>
      <c r="F662" s="31">
        <f>TRUNC(29.32,2)</f>
        <v>29.32</v>
      </c>
      <c r="G662" s="32">
        <f>TRUNC(E662*F662,2)</f>
        <v>7.77</v>
      </c>
      <c r="H662" s="32"/>
      <c r="I662" s="33"/>
      <c r="J662" s="33"/>
      <c r="K662" s="44"/>
    </row>
    <row r="663" spans="1:11" s="34" customFormat="1" ht="30">
      <c r="A663" s="30"/>
      <c r="B663" s="43" t="s">
        <v>1974</v>
      </c>
      <c r="C663" s="45" t="s">
        <v>419</v>
      </c>
      <c r="D663" s="46" t="s">
        <v>4</v>
      </c>
      <c r="E663" s="44">
        <v>0.2653</v>
      </c>
      <c r="F663" s="31">
        <f>TRUNC(22.69,2)</f>
        <v>22.69</v>
      </c>
      <c r="G663" s="32">
        <f>TRUNC(E663*F663,2)</f>
        <v>6.01</v>
      </c>
      <c r="H663" s="32"/>
      <c r="I663" s="33"/>
      <c r="J663" s="33"/>
      <c r="K663" s="44"/>
    </row>
    <row r="664" spans="1:11" s="34" customFormat="1" ht="15">
      <c r="A664" s="30"/>
      <c r="B664" s="43"/>
      <c r="C664" s="45"/>
      <c r="D664" s="46"/>
      <c r="E664" s="44" t="s">
        <v>5</v>
      </c>
      <c r="F664" s="31"/>
      <c r="G664" s="32">
        <f>TRUNC(SUM(G661:G663),2)</f>
        <v>92.26</v>
      </c>
      <c r="H664" s="32"/>
      <c r="I664" s="33"/>
      <c r="J664" s="33"/>
      <c r="K664" s="44"/>
    </row>
    <row r="665" spans="1:11" s="107" customFormat="1" ht="45">
      <c r="A665" s="99" t="s">
        <v>1606</v>
      </c>
      <c r="B665" s="100" t="s">
        <v>1998</v>
      </c>
      <c r="C665" s="101" t="s">
        <v>1524</v>
      </c>
      <c r="D665" s="102" t="s">
        <v>2</v>
      </c>
      <c r="E665" s="103">
        <v>18</v>
      </c>
      <c r="F665" s="104">
        <f>TRUNC(G669,2)</f>
        <v>81.34</v>
      </c>
      <c r="G665" s="105">
        <f>TRUNC(F665*1.2247,2)</f>
        <v>99.61</v>
      </c>
      <c r="H665" s="105">
        <f>TRUNC(F665*E665,2)</f>
        <v>1464.12</v>
      </c>
      <c r="I665" s="106">
        <f>TRUNC(E665*G665,2)</f>
        <v>1792.98</v>
      </c>
      <c r="J665" s="106"/>
      <c r="K665" s="103"/>
    </row>
    <row r="666" spans="1:11" s="58" customFormat="1" ht="28.5">
      <c r="A666" s="54"/>
      <c r="B666" s="52" t="s">
        <v>2000</v>
      </c>
      <c r="C666" s="55" t="s">
        <v>1522</v>
      </c>
      <c r="D666" s="56" t="s">
        <v>2</v>
      </c>
      <c r="E666" s="57">
        <v>1.0391</v>
      </c>
      <c r="F666" s="53">
        <v>65.02</v>
      </c>
      <c r="G666" s="50">
        <f>TRUNC(E666*F666,2)</f>
        <v>67.56</v>
      </c>
      <c r="H666" s="50"/>
      <c r="I666" s="51"/>
      <c r="J666" s="51"/>
      <c r="K666" s="57"/>
    </row>
    <row r="667" spans="1:11" s="34" customFormat="1" ht="15">
      <c r="A667" s="30"/>
      <c r="B667" s="43" t="s">
        <v>1933</v>
      </c>
      <c r="C667" s="45" t="s">
        <v>417</v>
      </c>
      <c r="D667" s="46" t="s">
        <v>4</v>
      </c>
      <c r="E667" s="44">
        <v>0.2653</v>
      </c>
      <c r="F667" s="31">
        <f>TRUNC(29.32,2)</f>
        <v>29.32</v>
      </c>
      <c r="G667" s="32">
        <f>TRUNC(E667*F667,2)</f>
        <v>7.77</v>
      </c>
      <c r="H667" s="32"/>
      <c r="I667" s="33"/>
      <c r="J667" s="33"/>
      <c r="K667" s="44"/>
    </row>
    <row r="668" spans="1:11" s="34" customFormat="1" ht="30">
      <c r="A668" s="30"/>
      <c r="B668" s="43" t="s">
        <v>1974</v>
      </c>
      <c r="C668" s="45" t="s">
        <v>419</v>
      </c>
      <c r="D668" s="46" t="s">
        <v>4</v>
      </c>
      <c r="E668" s="44">
        <v>0.2653</v>
      </c>
      <c r="F668" s="31">
        <f>TRUNC(22.69,2)</f>
        <v>22.69</v>
      </c>
      <c r="G668" s="32">
        <f>TRUNC(E668*F668,2)</f>
        <v>6.01</v>
      </c>
      <c r="H668" s="32"/>
      <c r="I668" s="33"/>
      <c r="J668" s="33"/>
      <c r="K668" s="44"/>
    </row>
    <row r="669" spans="1:11" s="34" customFormat="1" ht="15">
      <c r="A669" s="30"/>
      <c r="B669" s="43"/>
      <c r="C669" s="45"/>
      <c r="D669" s="46"/>
      <c r="E669" s="44" t="s">
        <v>5</v>
      </c>
      <c r="F669" s="31"/>
      <c r="G669" s="32">
        <f>TRUNC(SUM(G666:G668),2)</f>
        <v>81.34</v>
      </c>
      <c r="H669" s="32"/>
      <c r="I669" s="33"/>
      <c r="J669" s="33"/>
      <c r="K669" s="44"/>
    </row>
    <row r="670" spans="1:11" s="107" customFormat="1" ht="45">
      <c r="A670" s="99" t="s">
        <v>1607</v>
      </c>
      <c r="B670" s="100" t="s">
        <v>2001</v>
      </c>
      <c r="C670" s="101" t="s">
        <v>958</v>
      </c>
      <c r="D670" s="102" t="s">
        <v>10</v>
      </c>
      <c r="E670" s="103">
        <v>2</v>
      </c>
      <c r="F670" s="104">
        <f>TRUNC(G680,2)</f>
        <v>1129.74</v>
      </c>
      <c r="G670" s="105">
        <f>TRUNC(F670*1.2247,2)</f>
        <v>1383.59</v>
      </c>
      <c r="H670" s="105">
        <f>TRUNC(F670*E670,2)</f>
        <v>2259.48</v>
      </c>
      <c r="I670" s="106">
        <f>TRUNC(E670*G670,2)</f>
        <v>2767.18</v>
      </c>
      <c r="J670" s="106"/>
      <c r="K670" s="103"/>
    </row>
    <row r="671" spans="1:11" s="34" customFormat="1" ht="30">
      <c r="A671" s="30"/>
      <c r="B671" s="43" t="s">
        <v>959</v>
      </c>
      <c r="C671" s="45" t="s">
        <v>960</v>
      </c>
      <c r="D671" s="46" t="s">
        <v>10</v>
      </c>
      <c r="E671" s="44">
        <v>4</v>
      </c>
      <c r="F671" s="31">
        <f>TRUNC(4.03,2)</f>
        <v>4.03</v>
      </c>
      <c r="G671" s="32">
        <f aca="true" t="shared" si="30" ref="G671:G679">TRUNC(E671*F671,2)</f>
        <v>16.12</v>
      </c>
      <c r="H671" s="32"/>
      <c r="I671" s="33"/>
      <c r="J671" s="33"/>
      <c r="K671" s="44"/>
    </row>
    <row r="672" spans="1:11" s="34" customFormat="1" ht="15">
      <c r="A672" s="30"/>
      <c r="B672" s="43" t="s">
        <v>718</v>
      </c>
      <c r="C672" s="45" t="s">
        <v>719</v>
      </c>
      <c r="D672" s="46" t="s">
        <v>2</v>
      </c>
      <c r="E672" s="44">
        <v>0.24</v>
      </c>
      <c r="F672" s="31">
        <f>TRUNC(9.23,2)</f>
        <v>9.23</v>
      </c>
      <c r="G672" s="32">
        <f t="shared" si="30"/>
        <v>2.21</v>
      </c>
      <c r="H672" s="32"/>
      <c r="I672" s="33"/>
      <c r="J672" s="33"/>
      <c r="K672" s="44"/>
    </row>
    <row r="673" spans="1:11" s="34" customFormat="1" ht="15">
      <c r="A673" s="30"/>
      <c r="B673" s="43" t="s">
        <v>961</v>
      </c>
      <c r="C673" s="45" t="s">
        <v>962</v>
      </c>
      <c r="D673" s="46" t="s">
        <v>2</v>
      </c>
      <c r="E673" s="44">
        <v>10</v>
      </c>
      <c r="F673" s="31">
        <f>TRUNC(1.32,2)</f>
        <v>1.32</v>
      </c>
      <c r="G673" s="32">
        <f t="shared" si="30"/>
        <v>13.2</v>
      </c>
      <c r="H673" s="32"/>
      <c r="I673" s="33"/>
      <c r="J673" s="33"/>
      <c r="K673" s="44"/>
    </row>
    <row r="674" spans="1:11" s="34" customFormat="1" ht="30">
      <c r="A674" s="30"/>
      <c r="B674" s="43" t="s">
        <v>33</v>
      </c>
      <c r="C674" s="45" t="s">
        <v>34</v>
      </c>
      <c r="D674" s="46" t="s">
        <v>4</v>
      </c>
      <c r="E674" s="44">
        <v>5.15</v>
      </c>
      <c r="F674" s="31">
        <f>TRUNC(16.55,2)</f>
        <v>16.55</v>
      </c>
      <c r="G674" s="32">
        <f t="shared" si="30"/>
        <v>85.23</v>
      </c>
      <c r="H674" s="32"/>
      <c r="I674" s="33"/>
      <c r="J674" s="33"/>
      <c r="K674" s="44"/>
    </row>
    <row r="675" spans="1:11" s="34" customFormat="1" ht="30">
      <c r="A675" s="30"/>
      <c r="B675" s="43" t="s">
        <v>1754</v>
      </c>
      <c r="C675" s="45" t="s">
        <v>1755</v>
      </c>
      <c r="D675" s="46" t="s">
        <v>4</v>
      </c>
      <c r="E675" s="44">
        <v>2.575</v>
      </c>
      <c r="F675" s="31">
        <f>TRUNC(22.86,2)</f>
        <v>22.86</v>
      </c>
      <c r="G675" s="32">
        <f t="shared" si="30"/>
        <v>58.86</v>
      </c>
      <c r="H675" s="32"/>
      <c r="I675" s="33"/>
      <c r="J675" s="33"/>
      <c r="K675" s="44"/>
    </row>
    <row r="676" spans="1:11" s="34" customFormat="1" ht="30">
      <c r="A676" s="30"/>
      <c r="B676" s="43" t="s">
        <v>1752</v>
      </c>
      <c r="C676" s="45" t="s">
        <v>1753</v>
      </c>
      <c r="D676" s="46" t="s">
        <v>4</v>
      </c>
      <c r="E676" s="44">
        <v>2.06</v>
      </c>
      <c r="F676" s="31">
        <f>TRUNC(22.86,2)</f>
        <v>22.86</v>
      </c>
      <c r="G676" s="32">
        <f t="shared" si="30"/>
        <v>47.09</v>
      </c>
      <c r="H676" s="32"/>
      <c r="I676" s="33"/>
      <c r="J676" s="33"/>
      <c r="K676" s="44"/>
    </row>
    <row r="677" spans="1:11" s="34" customFormat="1" ht="15">
      <c r="A677" s="30"/>
      <c r="B677" s="43" t="s">
        <v>35</v>
      </c>
      <c r="C677" s="45" t="s">
        <v>36</v>
      </c>
      <c r="D677" s="46" t="s">
        <v>4</v>
      </c>
      <c r="E677" s="44">
        <v>5.15</v>
      </c>
      <c r="F677" s="31">
        <f>TRUNC(22.86,2)</f>
        <v>22.86</v>
      </c>
      <c r="G677" s="32">
        <f t="shared" si="30"/>
        <v>117.72</v>
      </c>
      <c r="H677" s="32"/>
      <c r="I677" s="33"/>
      <c r="J677" s="33"/>
      <c r="K677" s="44"/>
    </row>
    <row r="678" spans="1:11" s="34" customFormat="1" ht="15">
      <c r="A678" s="30"/>
      <c r="B678" s="43" t="s">
        <v>963</v>
      </c>
      <c r="C678" s="45" t="s">
        <v>964</v>
      </c>
      <c r="D678" s="46" t="s">
        <v>10</v>
      </c>
      <c r="E678" s="44">
        <v>1</v>
      </c>
      <c r="F678" s="31">
        <f>TRUNC(780.99,2)</f>
        <v>780.99</v>
      </c>
      <c r="G678" s="32">
        <f t="shared" si="30"/>
        <v>780.99</v>
      </c>
      <c r="H678" s="32"/>
      <c r="I678" s="33"/>
      <c r="J678" s="33"/>
      <c r="K678" s="44"/>
    </row>
    <row r="679" spans="1:11" s="34" customFormat="1" ht="15">
      <c r="A679" s="30"/>
      <c r="B679" s="43" t="s">
        <v>1762</v>
      </c>
      <c r="C679" s="45" t="s">
        <v>1763</v>
      </c>
      <c r="D679" s="46" t="s">
        <v>1</v>
      </c>
      <c r="E679" s="44">
        <v>0.03</v>
      </c>
      <c r="F679" s="31">
        <f>TRUNC(277.3833,2)</f>
        <v>277.38</v>
      </c>
      <c r="G679" s="32">
        <f t="shared" si="30"/>
        <v>8.32</v>
      </c>
      <c r="H679" s="32"/>
      <c r="I679" s="33"/>
      <c r="J679" s="33"/>
      <c r="K679" s="44"/>
    </row>
    <row r="680" spans="1:11" s="34" customFormat="1" ht="15">
      <c r="A680" s="30"/>
      <c r="B680" s="43"/>
      <c r="C680" s="45"/>
      <c r="D680" s="46"/>
      <c r="E680" s="44" t="s">
        <v>5</v>
      </c>
      <c r="F680" s="31"/>
      <c r="G680" s="32">
        <f>TRUNC(SUM(G671:G679),2)</f>
        <v>1129.74</v>
      </c>
      <c r="H680" s="32"/>
      <c r="I680" s="33"/>
      <c r="J680" s="33"/>
      <c r="K680" s="44"/>
    </row>
    <row r="681" spans="1:11" s="107" customFormat="1" ht="45">
      <c r="A681" s="99" t="s">
        <v>1608</v>
      </c>
      <c r="B681" s="100" t="s">
        <v>2004</v>
      </c>
      <c r="C681" s="101" t="s">
        <v>1526</v>
      </c>
      <c r="D681" s="102" t="s">
        <v>2</v>
      </c>
      <c r="E681" s="103">
        <v>84</v>
      </c>
      <c r="F681" s="104">
        <f>TRUNC(G685,2)</f>
        <v>11.26</v>
      </c>
      <c r="G681" s="105">
        <f>TRUNC(F681*1.2247,2)</f>
        <v>13.79</v>
      </c>
      <c r="H681" s="105">
        <f>TRUNC(F681*E681,2)</f>
        <v>945.84</v>
      </c>
      <c r="I681" s="106">
        <f>TRUNC(E681*G681,2)</f>
        <v>1158.36</v>
      </c>
      <c r="J681" s="106"/>
      <c r="K681" s="103"/>
    </row>
    <row r="682" spans="1:11" s="58" customFormat="1" ht="28.5">
      <c r="A682" s="54"/>
      <c r="B682" s="52" t="s">
        <v>2002</v>
      </c>
      <c r="C682" s="55" t="s">
        <v>967</v>
      </c>
      <c r="D682" s="56" t="s">
        <v>2</v>
      </c>
      <c r="E682" s="57">
        <v>1</v>
      </c>
      <c r="F682" s="53">
        <v>5.8</v>
      </c>
      <c r="G682" s="50">
        <f>TRUNC(E682*F682,2)</f>
        <v>5.8</v>
      </c>
      <c r="H682" s="50"/>
      <c r="I682" s="51"/>
      <c r="J682" s="51"/>
      <c r="K682" s="57"/>
    </row>
    <row r="683" spans="1:11" s="34" customFormat="1" ht="15">
      <c r="A683" s="30"/>
      <c r="B683" s="43" t="s">
        <v>43</v>
      </c>
      <c r="C683" s="45" t="s">
        <v>32</v>
      </c>
      <c r="D683" s="46" t="s">
        <v>4</v>
      </c>
      <c r="E683" s="44">
        <v>0.0993</v>
      </c>
      <c r="F683" s="31">
        <f>TRUNC(23.42,2)</f>
        <v>23.42</v>
      </c>
      <c r="G683" s="32">
        <f>TRUNC(E683*F683,2)</f>
        <v>2.32</v>
      </c>
      <c r="H683" s="32"/>
      <c r="I683" s="33"/>
      <c r="J683" s="33"/>
      <c r="K683" s="44"/>
    </row>
    <row r="684" spans="1:11" s="34" customFormat="1" ht="15">
      <c r="A684" s="30"/>
      <c r="B684" s="43" t="s">
        <v>2003</v>
      </c>
      <c r="C684" s="45" t="s">
        <v>626</v>
      </c>
      <c r="D684" s="46" t="s">
        <v>4</v>
      </c>
      <c r="E684" s="44">
        <v>0.0993</v>
      </c>
      <c r="F684" s="31">
        <f>TRUNC(31.72,2)</f>
        <v>31.72</v>
      </c>
      <c r="G684" s="32">
        <f>TRUNC(E684*F684,2)</f>
        <v>3.14</v>
      </c>
      <c r="H684" s="32"/>
      <c r="I684" s="33"/>
      <c r="J684" s="33"/>
      <c r="K684" s="44"/>
    </row>
    <row r="685" spans="1:11" s="34" customFormat="1" ht="15">
      <c r="A685" s="30"/>
      <c r="B685" s="43"/>
      <c r="C685" s="45"/>
      <c r="D685" s="46"/>
      <c r="E685" s="44" t="s">
        <v>5</v>
      </c>
      <c r="F685" s="31"/>
      <c r="G685" s="32">
        <f>TRUNC(SUM(G682:G684),2)</f>
        <v>11.26</v>
      </c>
      <c r="H685" s="32"/>
      <c r="I685" s="33"/>
      <c r="J685" s="33"/>
      <c r="K685" s="44"/>
    </row>
    <row r="686" spans="1:11" s="107" customFormat="1" ht="30">
      <c r="A686" s="99" t="s">
        <v>1609</v>
      </c>
      <c r="B686" s="100" t="s">
        <v>2005</v>
      </c>
      <c r="C686" s="101" t="s">
        <v>628</v>
      </c>
      <c r="D686" s="102" t="s">
        <v>2</v>
      </c>
      <c r="E686" s="103">
        <v>234</v>
      </c>
      <c r="F686" s="104">
        <f>TRUNC(G691,2)</f>
        <v>45.46</v>
      </c>
      <c r="G686" s="105">
        <f>TRUNC(F686*1.2247,2)</f>
        <v>55.67</v>
      </c>
      <c r="H686" s="105">
        <f>TRUNC(F686*E686,2)</f>
        <v>10637.64</v>
      </c>
      <c r="I686" s="106">
        <f>TRUNC(E686*G686,2)</f>
        <v>13026.78</v>
      </c>
      <c r="J686" s="106"/>
      <c r="K686" s="103"/>
    </row>
    <row r="687" spans="1:11" s="34" customFormat="1" ht="15">
      <c r="A687" s="30"/>
      <c r="B687" s="43" t="s">
        <v>2006</v>
      </c>
      <c r="C687" s="45" t="s">
        <v>630</v>
      </c>
      <c r="D687" s="46" t="s">
        <v>2</v>
      </c>
      <c r="E687" s="44">
        <v>1.05</v>
      </c>
      <c r="F687" s="31">
        <f>TRUNC(39.11,2)</f>
        <v>39.11</v>
      </c>
      <c r="G687" s="32">
        <f>TRUNC(E687*F687,2)</f>
        <v>41.06</v>
      </c>
      <c r="H687" s="32"/>
      <c r="I687" s="33"/>
      <c r="J687" s="33"/>
      <c r="K687" s="44"/>
    </row>
    <row r="688" spans="1:11" s="34" customFormat="1" ht="30">
      <c r="A688" s="30"/>
      <c r="B688" s="43" t="s">
        <v>2007</v>
      </c>
      <c r="C688" s="45" t="s">
        <v>632</v>
      </c>
      <c r="D688" s="46" t="s">
        <v>10</v>
      </c>
      <c r="E688" s="44">
        <v>0.0104</v>
      </c>
      <c r="F688" s="31">
        <f>TRUNC(25.56,2)</f>
        <v>25.56</v>
      </c>
      <c r="G688" s="32">
        <f>TRUNC(E688*F688,2)</f>
        <v>0.26</v>
      </c>
      <c r="H688" s="32"/>
      <c r="I688" s="33"/>
      <c r="J688" s="33"/>
      <c r="K688" s="44"/>
    </row>
    <row r="689" spans="1:11" s="34" customFormat="1" ht="15">
      <c r="A689" s="30"/>
      <c r="B689" s="43" t="s">
        <v>43</v>
      </c>
      <c r="C689" s="45" t="s">
        <v>32</v>
      </c>
      <c r="D689" s="46" t="s">
        <v>4</v>
      </c>
      <c r="E689" s="44">
        <v>0.0753</v>
      </c>
      <c r="F689" s="31">
        <f>TRUNC(23.42,2)</f>
        <v>23.42</v>
      </c>
      <c r="G689" s="32">
        <f>TRUNC(E689*F689,2)</f>
        <v>1.76</v>
      </c>
      <c r="H689" s="32"/>
      <c r="I689" s="33"/>
      <c r="J689" s="33"/>
      <c r="K689" s="44"/>
    </row>
    <row r="690" spans="1:11" s="34" customFormat="1" ht="15">
      <c r="A690" s="30"/>
      <c r="B690" s="43" t="s">
        <v>2003</v>
      </c>
      <c r="C690" s="45" t="s">
        <v>626</v>
      </c>
      <c r="D690" s="46" t="s">
        <v>4</v>
      </c>
      <c r="E690" s="44">
        <v>0.0753</v>
      </c>
      <c r="F690" s="31">
        <f>TRUNC(31.72,2)</f>
        <v>31.72</v>
      </c>
      <c r="G690" s="32">
        <f>TRUNC(E690*F690,2)</f>
        <v>2.38</v>
      </c>
      <c r="H690" s="32"/>
      <c r="I690" s="33"/>
      <c r="J690" s="33"/>
      <c r="K690" s="44"/>
    </row>
    <row r="691" spans="1:11" s="34" customFormat="1" ht="15">
      <c r="A691" s="30"/>
      <c r="B691" s="43"/>
      <c r="C691" s="45"/>
      <c r="D691" s="46"/>
      <c r="E691" s="44" t="s">
        <v>5</v>
      </c>
      <c r="F691" s="31"/>
      <c r="G691" s="32">
        <f>TRUNC(SUM(G687:G690),2)</f>
        <v>45.46</v>
      </c>
      <c r="H691" s="32"/>
      <c r="I691" s="33"/>
      <c r="J691" s="33"/>
      <c r="K691" s="44"/>
    </row>
    <row r="692" spans="1:11" s="107" customFormat="1" ht="30">
      <c r="A692" s="99" t="s">
        <v>1610</v>
      </c>
      <c r="B692" s="100" t="s">
        <v>2008</v>
      </c>
      <c r="C692" s="101" t="s">
        <v>634</v>
      </c>
      <c r="D692" s="102" t="s">
        <v>2</v>
      </c>
      <c r="E692" s="103">
        <v>60</v>
      </c>
      <c r="F692" s="104">
        <f>TRUNC(G697,2)</f>
        <v>93.82</v>
      </c>
      <c r="G692" s="105">
        <f>TRUNC(F692*1.2247,2)</f>
        <v>114.9</v>
      </c>
      <c r="H692" s="105">
        <f>TRUNC(F692*E692,2)</f>
        <v>5629.2</v>
      </c>
      <c r="I692" s="106">
        <f>TRUNC(E692*G692,2)</f>
        <v>6894</v>
      </c>
      <c r="J692" s="106"/>
      <c r="K692" s="103"/>
    </row>
    <row r="693" spans="1:11" s="34" customFormat="1" ht="15">
      <c r="A693" s="30"/>
      <c r="B693" s="43" t="s">
        <v>2009</v>
      </c>
      <c r="C693" s="45" t="s">
        <v>636</v>
      </c>
      <c r="D693" s="46" t="s">
        <v>2</v>
      </c>
      <c r="E693" s="44">
        <v>1.05</v>
      </c>
      <c r="F693" s="31">
        <f>TRUNC(84.34,2)</f>
        <v>84.34</v>
      </c>
      <c r="G693" s="32">
        <f>TRUNC(E693*F693,2)</f>
        <v>88.55</v>
      </c>
      <c r="H693" s="32"/>
      <c r="I693" s="33"/>
      <c r="J693" s="33"/>
      <c r="K693" s="44"/>
    </row>
    <row r="694" spans="1:11" s="34" customFormat="1" ht="30">
      <c r="A694" s="30"/>
      <c r="B694" s="43" t="s">
        <v>2007</v>
      </c>
      <c r="C694" s="45" t="s">
        <v>632</v>
      </c>
      <c r="D694" s="46" t="s">
        <v>10</v>
      </c>
      <c r="E694" s="44">
        <v>0.0146</v>
      </c>
      <c r="F694" s="31">
        <f>TRUNC(25.56,2)</f>
        <v>25.56</v>
      </c>
      <c r="G694" s="32">
        <f>TRUNC(E694*F694,2)</f>
        <v>0.37</v>
      </c>
      <c r="H694" s="32"/>
      <c r="I694" s="33"/>
      <c r="J694" s="33"/>
      <c r="K694" s="44"/>
    </row>
    <row r="695" spans="1:11" s="34" customFormat="1" ht="15">
      <c r="A695" s="30"/>
      <c r="B695" s="43" t="s">
        <v>43</v>
      </c>
      <c r="C695" s="45" t="s">
        <v>32</v>
      </c>
      <c r="D695" s="46" t="s">
        <v>4</v>
      </c>
      <c r="E695" s="44">
        <v>0.0892</v>
      </c>
      <c r="F695" s="31">
        <f>TRUNC(23.42,2)</f>
        <v>23.42</v>
      </c>
      <c r="G695" s="32">
        <f>TRUNC(E695*F695,2)</f>
        <v>2.08</v>
      </c>
      <c r="H695" s="32"/>
      <c r="I695" s="33"/>
      <c r="J695" s="33"/>
      <c r="K695" s="44"/>
    </row>
    <row r="696" spans="1:11" s="34" customFormat="1" ht="15">
      <c r="A696" s="30"/>
      <c r="B696" s="43" t="s">
        <v>2003</v>
      </c>
      <c r="C696" s="45" t="s">
        <v>626</v>
      </c>
      <c r="D696" s="46" t="s">
        <v>4</v>
      </c>
      <c r="E696" s="44">
        <v>0.0892</v>
      </c>
      <c r="F696" s="31">
        <f>TRUNC(31.72,2)</f>
        <v>31.72</v>
      </c>
      <c r="G696" s="32">
        <f>TRUNC(E696*F696,2)</f>
        <v>2.82</v>
      </c>
      <c r="H696" s="32"/>
      <c r="I696" s="33"/>
      <c r="J696" s="33"/>
      <c r="K696" s="44"/>
    </row>
    <row r="697" spans="1:11" s="34" customFormat="1" ht="15">
      <c r="A697" s="30"/>
      <c r="B697" s="43"/>
      <c r="C697" s="45"/>
      <c r="D697" s="46"/>
      <c r="E697" s="44" t="s">
        <v>5</v>
      </c>
      <c r="F697" s="31"/>
      <c r="G697" s="32">
        <f>TRUNC(SUM(G693:G696),2)</f>
        <v>93.82</v>
      </c>
      <c r="H697" s="32"/>
      <c r="I697" s="33"/>
      <c r="J697" s="33"/>
      <c r="K697" s="44"/>
    </row>
    <row r="698" spans="1:11" s="107" customFormat="1" ht="30">
      <c r="A698" s="99" t="s">
        <v>1611</v>
      </c>
      <c r="B698" s="100" t="s">
        <v>2010</v>
      </c>
      <c r="C698" s="101" t="s">
        <v>638</v>
      </c>
      <c r="D698" s="102" t="s">
        <v>2</v>
      </c>
      <c r="E698" s="103">
        <v>48</v>
      </c>
      <c r="F698" s="104">
        <f>TRUNC(G703,2)</f>
        <v>139.03</v>
      </c>
      <c r="G698" s="105">
        <f>TRUNC(F698*1.2247,2)</f>
        <v>170.27</v>
      </c>
      <c r="H698" s="105">
        <f>TRUNC(F698*E698,2)</f>
        <v>6673.44</v>
      </c>
      <c r="I698" s="106">
        <f>TRUNC(E698*G698,2)</f>
        <v>8172.96</v>
      </c>
      <c r="J698" s="106"/>
      <c r="K698" s="103"/>
    </row>
    <row r="699" spans="1:11" s="34" customFormat="1" ht="15">
      <c r="A699" s="30"/>
      <c r="B699" s="43" t="s">
        <v>2011</v>
      </c>
      <c r="C699" s="45" t="s">
        <v>640</v>
      </c>
      <c r="D699" s="46" t="s">
        <v>2</v>
      </c>
      <c r="E699" s="44">
        <v>1.05</v>
      </c>
      <c r="F699" s="31">
        <f>TRUNC(126.61,2)</f>
        <v>126.61</v>
      </c>
      <c r="G699" s="32">
        <f>TRUNC(E699*F699,2)</f>
        <v>132.94</v>
      </c>
      <c r="H699" s="32"/>
      <c r="I699" s="33"/>
      <c r="J699" s="33"/>
      <c r="K699" s="44"/>
    </row>
    <row r="700" spans="1:11" s="34" customFormat="1" ht="30">
      <c r="A700" s="30"/>
      <c r="B700" s="43" t="s">
        <v>2007</v>
      </c>
      <c r="C700" s="45" t="s">
        <v>632</v>
      </c>
      <c r="D700" s="46" t="s">
        <v>10</v>
      </c>
      <c r="E700" s="44">
        <v>0.0167</v>
      </c>
      <c r="F700" s="31">
        <f>TRUNC(25.56,2)</f>
        <v>25.56</v>
      </c>
      <c r="G700" s="32">
        <f>TRUNC(E700*F700,2)</f>
        <v>0.42</v>
      </c>
      <c r="H700" s="32"/>
      <c r="I700" s="33"/>
      <c r="J700" s="33"/>
      <c r="K700" s="44"/>
    </row>
    <row r="701" spans="1:11" s="34" customFormat="1" ht="15">
      <c r="A701" s="30"/>
      <c r="B701" s="43" t="s">
        <v>43</v>
      </c>
      <c r="C701" s="45" t="s">
        <v>32</v>
      </c>
      <c r="D701" s="46" t="s">
        <v>4</v>
      </c>
      <c r="E701" s="44">
        <v>0.103</v>
      </c>
      <c r="F701" s="31">
        <f>TRUNC(23.42,2)</f>
        <v>23.42</v>
      </c>
      <c r="G701" s="32">
        <f>TRUNC(E701*F701,2)</f>
        <v>2.41</v>
      </c>
      <c r="H701" s="32"/>
      <c r="I701" s="33"/>
      <c r="J701" s="33"/>
      <c r="K701" s="44"/>
    </row>
    <row r="702" spans="1:11" s="34" customFormat="1" ht="15">
      <c r="A702" s="30"/>
      <c r="B702" s="43" t="s">
        <v>2003</v>
      </c>
      <c r="C702" s="45" t="s">
        <v>626</v>
      </c>
      <c r="D702" s="46" t="s">
        <v>4</v>
      </c>
      <c r="E702" s="44">
        <v>0.103</v>
      </c>
      <c r="F702" s="31">
        <f>TRUNC(31.72,2)</f>
        <v>31.72</v>
      </c>
      <c r="G702" s="32">
        <f>TRUNC(E702*F702,2)</f>
        <v>3.26</v>
      </c>
      <c r="H702" s="32"/>
      <c r="I702" s="33"/>
      <c r="J702" s="33"/>
      <c r="K702" s="44"/>
    </row>
    <row r="703" spans="1:11" s="34" customFormat="1" ht="15">
      <c r="A703" s="30"/>
      <c r="B703" s="43"/>
      <c r="C703" s="45"/>
      <c r="D703" s="46"/>
      <c r="E703" s="44" t="s">
        <v>5</v>
      </c>
      <c r="F703" s="31"/>
      <c r="G703" s="32">
        <f>TRUNC(SUM(G699:G702),2)</f>
        <v>139.03</v>
      </c>
      <c r="H703" s="32"/>
      <c r="I703" s="33"/>
      <c r="J703" s="33"/>
      <c r="K703" s="44"/>
    </row>
    <row r="704" spans="1:11" s="107" customFormat="1" ht="90">
      <c r="A704" s="99" t="s">
        <v>1612</v>
      </c>
      <c r="B704" s="100" t="s">
        <v>2012</v>
      </c>
      <c r="C704" s="101" t="s">
        <v>648</v>
      </c>
      <c r="D704" s="102" t="s">
        <v>10</v>
      </c>
      <c r="E704" s="103">
        <v>20</v>
      </c>
      <c r="F704" s="104">
        <f>TRUNC(G708,2)</f>
        <v>145.21</v>
      </c>
      <c r="G704" s="105">
        <f>TRUNC(F704*1.2247,2)</f>
        <v>177.83</v>
      </c>
      <c r="H704" s="105">
        <f>TRUNC(F704*E704,2)</f>
        <v>2904.2</v>
      </c>
      <c r="I704" s="106">
        <f>TRUNC(E704*G704,2)</f>
        <v>3556.6</v>
      </c>
      <c r="J704" s="106"/>
      <c r="K704" s="103"/>
    </row>
    <row r="705" spans="1:11" s="34" customFormat="1" ht="30">
      <c r="A705" s="30"/>
      <c r="B705" s="43" t="s">
        <v>649</v>
      </c>
      <c r="C705" s="45" t="s">
        <v>650</v>
      </c>
      <c r="D705" s="46" t="s">
        <v>10</v>
      </c>
      <c r="E705" s="44">
        <v>1</v>
      </c>
      <c r="F705" s="31">
        <f>TRUNC(84.3462,2)</f>
        <v>84.34</v>
      </c>
      <c r="G705" s="32">
        <f>TRUNC(E705*F705,2)</f>
        <v>84.34</v>
      </c>
      <c r="H705" s="32"/>
      <c r="I705" s="33"/>
      <c r="J705" s="33"/>
      <c r="K705" s="44"/>
    </row>
    <row r="706" spans="1:11" s="34" customFormat="1" ht="30">
      <c r="A706" s="30"/>
      <c r="B706" s="43" t="s">
        <v>33</v>
      </c>
      <c r="C706" s="45" t="s">
        <v>34</v>
      </c>
      <c r="D706" s="46" t="s">
        <v>4</v>
      </c>
      <c r="E706" s="44">
        <v>1.545</v>
      </c>
      <c r="F706" s="31">
        <f>TRUNC(16.55,2)</f>
        <v>16.55</v>
      </c>
      <c r="G706" s="32">
        <f>TRUNC(E706*F706,2)</f>
        <v>25.56</v>
      </c>
      <c r="H706" s="32"/>
      <c r="I706" s="33"/>
      <c r="J706" s="33"/>
      <c r="K706" s="44"/>
    </row>
    <row r="707" spans="1:11" s="34" customFormat="1" ht="30">
      <c r="A707" s="30"/>
      <c r="B707" s="43" t="s">
        <v>1754</v>
      </c>
      <c r="C707" s="45" t="s">
        <v>1755</v>
      </c>
      <c r="D707" s="46" t="s">
        <v>4</v>
      </c>
      <c r="E707" s="44">
        <v>1.545</v>
      </c>
      <c r="F707" s="31">
        <f>TRUNC(22.86,2)</f>
        <v>22.86</v>
      </c>
      <c r="G707" s="32">
        <f>TRUNC(E707*F707,2)</f>
        <v>35.31</v>
      </c>
      <c r="H707" s="32"/>
      <c r="I707" s="33"/>
      <c r="J707" s="33"/>
      <c r="K707" s="44"/>
    </row>
    <row r="708" spans="1:11" s="34" customFormat="1" ht="15">
      <c r="A708" s="30"/>
      <c r="B708" s="43"/>
      <c r="C708" s="45"/>
      <c r="D708" s="46"/>
      <c r="E708" s="44" t="s">
        <v>5</v>
      </c>
      <c r="F708" s="31"/>
      <c r="G708" s="32">
        <f>TRUNC(SUM(G705:G707),2)</f>
        <v>145.21</v>
      </c>
      <c r="H708" s="32"/>
      <c r="I708" s="33"/>
      <c r="J708" s="33"/>
      <c r="K708" s="44"/>
    </row>
    <row r="709" spans="1:11" s="107" customFormat="1" ht="30">
      <c r="A709" s="99" t="s">
        <v>1613</v>
      </c>
      <c r="B709" s="100" t="s">
        <v>2013</v>
      </c>
      <c r="C709" s="101" t="s">
        <v>652</v>
      </c>
      <c r="D709" s="102" t="s">
        <v>10</v>
      </c>
      <c r="E709" s="103">
        <v>6</v>
      </c>
      <c r="F709" s="104">
        <f>TRUNC(G720,2)</f>
        <v>470.24</v>
      </c>
      <c r="G709" s="105">
        <f>TRUNC(F709*1.2247,2)</f>
        <v>575.9</v>
      </c>
      <c r="H709" s="105">
        <f>TRUNC(F709*E709,2)</f>
        <v>2821.44</v>
      </c>
      <c r="I709" s="106">
        <f>TRUNC(E709*G709,2)</f>
        <v>3455.4</v>
      </c>
      <c r="J709" s="106"/>
      <c r="K709" s="103"/>
    </row>
    <row r="710" spans="1:11" s="34" customFormat="1" ht="15">
      <c r="A710" s="30"/>
      <c r="B710" s="43" t="s">
        <v>2014</v>
      </c>
      <c r="C710" s="45" t="s">
        <v>654</v>
      </c>
      <c r="D710" s="46" t="s">
        <v>10</v>
      </c>
      <c r="E710" s="44">
        <v>22.4145</v>
      </c>
      <c r="F710" s="31">
        <f>TRUNC(2.17,2)</f>
        <v>2.17</v>
      </c>
      <c r="G710" s="32">
        <f aca="true" t="shared" si="31" ref="G710:G719">TRUNC(E710*F710,2)</f>
        <v>48.63</v>
      </c>
      <c r="H710" s="32"/>
      <c r="I710" s="33"/>
      <c r="J710" s="33"/>
      <c r="K710" s="44"/>
    </row>
    <row r="711" spans="1:11" s="34" customFormat="1" ht="15">
      <c r="A711" s="30"/>
      <c r="B711" s="43" t="s">
        <v>43</v>
      </c>
      <c r="C711" s="45" t="s">
        <v>32</v>
      </c>
      <c r="D711" s="46" t="s">
        <v>4</v>
      </c>
      <c r="E711" s="44">
        <v>4.223</v>
      </c>
      <c r="F711" s="31">
        <f>TRUNC(23.42,2)</f>
        <v>23.42</v>
      </c>
      <c r="G711" s="32">
        <f t="shared" si="31"/>
        <v>98.9</v>
      </c>
      <c r="H711" s="32"/>
      <c r="I711" s="33"/>
      <c r="J711" s="33"/>
      <c r="K711" s="44"/>
    </row>
    <row r="712" spans="1:11" s="34" customFormat="1" ht="15">
      <c r="A712" s="30"/>
      <c r="B712" s="43" t="s">
        <v>1842</v>
      </c>
      <c r="C712" s="45" t="s">
        <v>307</v>
      </c>
      <c r="D712" s="46" t="s">
        <v>4</v>
      </c>
      <c r="E712" s="44">
        <v>4.223</v>
      </c>
      <c r="F712" s="31">
        <f>TRUNC(29.96,2)</f>
        <v>29.96</v>
      </c>
      <c r="G712" s="32">
        <f t="shared" si="31"/>
        <v>126.52</v>
      </c>
      <c r="H712" s="32"/>
      <c r="I712" s="33"/>
      <c r="J712" s="33"/>
      <c r="K712" s="44"/>
    </row>
    <row r="713" spans="1:11" s="34" customFormat="1" ht="30">
      <c r="A713" s="30"/>
      <c r="B713" s="43" t="s">
        <v>2015</v>
      </c>
      <c r="C713" s="45" t="s">
        <v>2016</v>
      </c>
      <c r="D713" s="46" t="s">
        <v>0</v>
      </c>
      <c r="E713" s="44">
        <v>0.81</v>
      </c>
      <c r="F713" s="31">
        <f>TRUNC(6.9,2)</f>
        <v>6.9</v>
      </c>
      <c r="G713" s="32">
        <f t="shared" si="31"/>
        <v>5.58</v>
      </c>
      <c r="H713" s="32"/>
      <c r="I713" s="33"/>
      <c r="J713" s="33"/>
      <c r="K713" s="44"/>
    </row>
    <row r="714" spans="1:11" s="34" customFormat="1" ht="45">
      <c r="A714" s="30"/>
      <c r="B714" s="43" t="s">
        <v>2017</v>
      </c>
      <c r="C714" s="45" t="s">
        <v>2018</v>
      </c>
      <c r="D714" s="46" t="s">
        <v>1</v>
      </c>
      <c r="E714" s="44">
        <v>0.0728</v>
      </c>
      <c r="F714" s="31">
        <f>TRUNC(584.15,2)</f>
        <v>584.15</v>
      </c>
      <c r="G714" s="32">
        <f t="shared" si="31"/>
        <v>42.52</v>
      </c>
      <c r="H714" s="32"/>
      <c r="I714" s="33"/>
      <c r="J714" s="33"/>
      <c r="K714" s="44"/>
    </row>
    <row r="715" spans="1:11" s="34" customFormat="1" ht="30">
      <c r="A715" s="30"/>
      <c r="B715" s="43" t="s">
        <v>2019</v>
      </c>
      <c r="C715" s="45" t="s">
        <v>2020</v>
      </c>
      <c r="D715" s="46" t="s">
        <v>1</v>
      </c>
      <c r="E715" s="44">
        <v>0.0448</v>
      </c>
      <c r="F715" s="31">
        <f>TRUNC(2616.99,2)</f>
        <v>2616.99</v>
      </c>
      <c r="G715" s="32">
        <f t="shared" si="31"/>
        <v>117.24</v>
      </c>
      <c r="H715" s="32"/>
      <c r="I715" s="33"/>
      <c r="J715" s="33"/>
      <c r="K715" s="44"/>
    </row>
    <row r="716" spans="1:11" s="34" customFormat="1" ht="30">
      <c r="A716" s="30"/>
      <c r="B716" s="43" t="s">
        <v>2021</v>
      </c>
      <c r="C716" s="45" t="s">
        <v>2022</v>
      </c>
      <c r="D716" s="46" t="s">
        <v>1</v>
      </c>
      <c r="E716" s="44">
        <v>0.0744</v>
      </c>
      <c r="F716" s="31">
        <f>TRUNC(370.06,2)</f>
        <v>370.06</v>
      </c>
      <c r="G716" s="32">
        <f t="shared" si="31"/>
        <v>27.53</v>
      </c>
      <c r="H716" s="32"/>
      <c r="I716" s="33"/>
      <c r="J716" s="33"/>
      <c r="K716" s="44"/>
    </row>
    <row r="717" spans="1:11" s="34" customFormat="1" ht="45">
      <c r="A717" s="30"/>
      <c r="B717" s="43" t="s">
        <v>2023</v>
      </c>
      <c r="C717" s="45" t="s">
        <v>2024</v>
      </c>
      <c r="D717" s="46" t="s">
        <v>1</v>
      </c>
      <c r="E717" s="44">
        <v>0.0014</v>
      </c>
      <c r="F717" s="31">
        <f>TRUNC(408.9,2)</f>
        <v>408.9</v>
      </c>
      <c r="G717" s="32">
        <f t="shared" si="31"/>
        <v>0.57</v>
      </c>
      <c r="H717" s="32"/>
      <c r="I717" s="33"/>
      <c r="J717" s="33"/>
      <c r="K717" s="44"/>
    </row>
    <row r="718" spans="1:11" s="34" customFormat="1" ht="60">
      <c r="A718" s="30"/>
      <c r="B718" s="43" t="s">
        <v>2025</v>
      </c>
      <c r="C718" s="45" t="s">
        <v>2026</v>
      </c>
      <c r="D718" s="46" t="s">
        <v>38</v>
      </c>
      <c r="E718" s="44">
        <v>0.0294</v>
      </c>
      <c r="F718" s="31">
        <f>TRUNC(57.54,2)</f>
        <v>57.54</v>
      </c>
      <c r="G718" s="32">
        <f t="shared" si="31"/>
        <v>1.69</v>
      </c>
      <c r="H718" s="32"/>
      <c r="I718" s="33"/>
      <c r="J718" s="33"/>
      <c r="K718" s="44"/>
    </row>
    <row r="719" spans="1:11" s="34" customFormat="1" ht="60">
      <c r="A719" s="30"/>
      <c r="B719" s="43" t="s">
        <v>2027</v>
      </c>
      <c r="C719" s="45" t="s">
        <v>2028</v>
      </c>
      <c r="D719" s="46" t="s">
        <v>21</v>
      </c>
      <c r="E719" s="44">
        <v>0.0087</v>
      </c>
      <c r="F719" s="31">
        <f>TRUNC(122.97,2)</f>
        <v>122.97</v>
      </c>
      <c r="G719" s="32">
        <f t="shared" si="31"/>
        <v>1.06</v>
      </c>
      <c r="H719" s="32"/>
      <c r="I719" s="33"/>
      <c r="J719" s="33"/>
      <c r="K719" s="44"/>
    </row>
    <row r="720" spans="1:11" s="34" customFormat="1" ht="15">
      <c r="A720" s="30"/>
      <c r="B720" s="43"/>
      <c r="C720" s="45"/>
      <c r="D720" s="46"/>
      <c r="E720" s="44" t="s">
        <v>5</v>
      </c>
      <c r="F720" s="31"/>
      <c r="G720" s="32">
        <f>TRUNC(SUM(G710:G719),2)</f>
        <v>470.24</v>
      </c>
      <c r="H720" s="32"/>
      <c r="I720" s="33"/>
      <c r="J720" s="33"/>
      <c r="K720" s="44"/>
    </row>
    <row r="721" spans="1:11" s="107" customFormat="1" ht="45">
      <c r="A721" s="99" t="s">
        <v>1614</v>
      </c>
      <c r="B721" s="100" t="s">
        <v>2029</v>
      </c>
      <c r="C721" s="101" t="s">
        <v>670</v>
      </c>
      <c r="D721" s="102" t="s">
        <v>0</v>
      </c>
      <c r="E721" s="103">
        <v>2.16</v>
      </c>
      <c r="F721" s="104">
        <f>TRUNC(G729,2)</f>
        <v>176.19</v>
      </c>
      <c r="G721" s="105">
        <f>TRUNC(F721*1.2247,2)</f>
        <v>215.77</v>
      </c>
      <c r="H721" s="105">
        <f>TRUNC(F721*E721,2)</f>
        <v>380.57</v>
      </c>
      <c r="I721" s="106">
        <f>TRUNC(E721*G721,2)</f>
        <v>466.06</v>
      </c>
      <c r="J721" s="106"/>
      <c r="K721" s="103"/>
    </row>
    <row r="722" spans="1:11" s="34" customFormat="1" ht="30">
      <c r="A722" s="30"/>
      <c r="B722" s="43" t="s">
        <v>33</v>
      </c>
      <c r="C722" s="45" t="s">
        <v>34</v>
      </c>
      <c r="D722" s="46" t="s">
        <v>4</v>
      </c>
      <c r="E722" s="44">
        <v>1.03</v>
      </c>
      <c r="F722" s="31">
        <f>TRUNC(16.55,2)</f>
        <v>16.55</v>
      </c>
      <c r="G722" s="32">
        <f aca="true" t="shared" si="32" ref="G722:G728">TRUNC(E722*F722,2)</f>
        <v>17.04</v>
      </c>
      <c r="H722" s="32"/>
      <c r="I722" s="33"/>
      <c r="J722" s="33"/>
      <c r="K722" s="44"/>
    </row>
    <row r="723" spans="1:11" s="34" customFormat="1" ht="15">
      <c r="A723" s="30"/>
      <c r="B723" s="43" t="s">
        <v>2030</v>
      </c>
      <c r="C723" s="45" t="s">
        <v>2031</v>
      </c>
      <c r="D723" s="46" t="s">
        <v>1</v>
      </c>
      <c r="E723" s="44">
        <v>0.06</v>
      </c>
      <c r="F723" s="31">
        <f>TRUNC(86.6563,2)</f>
        <v>86.65</v>
      </c>
      <c r="G723" s="32">
        <f t="shared" si="32"/>
        <v>5.19</v>
      </c>
      <c r="H723" s="32"/>
      <c r="I723" s="33"/>
      <c r="J723" s="33"/>
      <c r="K723" s="44"/>
    </row>
    <row r="724" spans="1:11" s="34" customFormat="1" ht="15">
      <c r="A724" s="30"/>
      <c r="B724" s="43" t="s">
        <v>2032</v>
      </c>
      <c r="C724" s="45" t="s">
        <v>2033</v>
      </c>
      <c r="D724" s="46" t="s">
        <v>3</v>
      </c>
      <c r="E724" s="44">
        <v>3.6</v>
      </c>
      <c r="F724" s="31">
        <f>TRUNC(4.2621,2)</f>
        <v>4.26</v>
      </c>
      <c r="G724" s="32">
        <f t="shared" si="32"/>
        <v>15.33</v>
      </c>
      <c r="H724" s="32"/>
      <c r="I724" s="33"/>
      <c r="J724" s="33"/>
      <c r="K724" s="44"/>
    </row>
    <row r="725" spans="1:11" s="34" customFormat="1" ht="15">
      <c r="A725" s="30"/>
      <c r="B725" s="43" t="s">
        <v>2034</v>
      </c>
      <c r="C725" s="45" t="s">
        <v>2035</v>
      </c>
      <c r="D725" s="46" t="s">
        <v>3</v>
      </c>
      <c r="E725" s="44">
        <v>3.6</v>
      </c>
      <c r="F725" s="31">
        <f>TRUNC(8.6734,2)</f>
        <v>8.67</v>
      </c>
      <c r="G725" s="32">
        <f t="shared" si="32"/>
        <v>31.21</v>
      </c>
      <c r="H725" s="32"/>
      <c r="I725" s="33"/>
      <c r="J725" s="33"/>
      <c r="K725" s="44"/>
    </row>
    <row r="726" spans="1:11" s="34" customFormat="1" ht="15">
      <c r="A726" s="30"/>
      <c r="B726" s="43" t="s">
        <v>1764</v>
      </c>
      <c r="C726" s="45" t="s">
        <v>1765</v>
      </c>
      <c r="D726" s="46" t="s">
        <v>1</v>
      </c>
      <c r="E726" s="44">
        <v>0.06</v>
      </c>
      <c r="F726" s="31">
        <f>TRUNC(82.5898,2)</f>
        <v>82.58</v>
      </c>
      <c r="G726" s="32">
        <f t="shared" si="32"/>
        <v>4.95</v>
      </c>
      <c r="H726" s="32"/>
      <c r="I726" s="33"/>
      <c r="J726" s="33"/>
      <c r="K726" s="44"/>
    </row>
    <row r="727" spans="1:11" s="34" customFormat="1" ht="15">
      <c r="A727" s="30"/>
      <c r="B727" s="43" t="s">
        <v>2036</v>
      </c>
      <c r="C727" s="45" t="s">
        <v>2037</v>
      </c>
      <c r="D727" s="46" t="s">
        <v>0</v>
      </c>
      <c r="E727" s="44">
        <v>1.24</v>
      </c>
      <c r="F727" s="31">
        <f>TRUNC(69.2212,2)</f>
        <v>69.22</v>
      </c>
      <c r="G727" s="32">
        <f t="shared" si="32"/>
        <v>85.83</v>
      </c>
      <c r="H727" s="32"/>
      <c r="I727" s="33"/>
      <c r="J727" s="33"/>
      <c r="K727" s="44"/>
    </row>
    <row r="728" spans="1:11" s="34" customFormat="1" ht="15">
      <c r="A728" s="30"/>
      <c r="B728" s="43" t="s">
        <v>1762</v>
      </c>
      <c r="C728" s="45" t="s">
        <v>1763</v>
      </c>
      <c r="D728" s="46" t="s">
        <v>1</v>
      </c>
      <c r="E728" s="44">
        <v>0.06</v>
      </c>
      <c r="F728" s="31">
        <f>TRUNC(277.3833,2)</f>
        <v>277.38</v>
      </c>
      <c r="G728" s="32">
        <f t="shared" si="32"/>
        <v>16.64</v>
      </c>
      <c r="H728" s="32"/>
      <c r="I728" s="33"/>
      <c r="J728" s="33"/>
      <c r="K728" s="44"/>
    </row>
    <row r="729" spans="1:11" s="34" customFormat="1" ht="15">
      <c r="A729" s="30"/>
      <c r="B729" s="43"/>
      <c r="C729" s="45"/>
      <c r="D729" s="46"/>
      <c r="E729" s="44" t="s">
        <v>5</v>
      </c>
      <c r="F729" s="31"/>
      <c r="G729" s="32">
        <f>TRUNC(SUM(G722:G728),2)</f>
        <v>176.19</v>
      </c>
      <c r="H729" s="32"/>
      <c r="I729" s="33"/>
      <c r="J729" s="33"/>
      <c r="K729" s="44"/>
    </row>
    <row r="730" spans="1:11" s="107" customFormat="1" ht="30">
      <c r="A730" s="99" t="s">
        <v>1615</v>
      </c>
      <c r="B730" s="100" t="s">
        <v>2038</v>
      </c>
      <c r="C730" s="101" t="s">
        <v>1530</v>
      </c>
      <c r="D730" s="102" t="s">
        <v>10</v>
      </c>
      <c r="E730" s="103">
        <v>4</v>
      </c>
      <c r="F730" s="104">
        <f>TRUNC(G739,2)</f>
        <v>253.03</v>
      </c>
      <c r="G730" s="105">
        <f>TRUNC(F730*1.2247,2)</f>
        <v>309.88</v>
      </c>
      <c r="H730" s="105">
        <f>TRUNC(F730*E730,2)</f>
        <v>1012.12</v>
      </c>
      <c r="I730" s="106">
        <f>TRUNC(E730*G730,2)</f>
        <v>1239.52</v>
      </c>
      <c r="J730" s="106"/>
      <c r="K730" s="103"/>
    </row>
    <row r="731" spans="1:11" s="34" customFormat="1" ht="15">
      <c r="A731" s="30"/>
      <c r="B731" s="43" t="s">
        <v>2014</v>
      </c>
      <c r="C731" s="45" t="s">
        <v>654</v>
      </c>
      <c r="D731" s="46" t="s">
        <v>10</v>
      </c>
      <c r="E731" s="44">
        <v>10.8352</v>
      </c>
      <c r="F731" s="31">
        <f>TRUNC(2.17,2)</f>
        <v>2.17</v>
      </c>
      <c r="G731" s="32">
        <f aca="true" t="shared" si="33" ref="G731:G738">TRUNC(E731*F731,2)</f>
        <v>23.51</v>
      </c>
      <c r="H731" s="32"/>
      <c r="I731" s="33"/>
      <c r="J731" s="33"/>
      <c r="K731" s="44"/>
    </row>
    <row r="732" spans="1:11" s="34" customFormat="1" ht="15">
      <c r="A732" s="30"/>
      <c r="B732" s="43" t="s">
        <v>43</v>
      </c>
      <c r="C732" s="45" t="s">
        <v>32</v>
      </c>
      <c r="D732" s="46" t="s">
        <v>4</v>
      </c>
      <c r="E732" s="44">
        <v>2.0421</v>
      </c>
      <c r="F732" s="31">
        <f>TRUNC(23.42,2)</f>
        <v>23.42</v>
      </c>
      <c r="G732" s="32">
        <f t="shared" si="33"/>
        <v>47.82</v>
      </c>
      <c r="H732" s="32"/>
      <c r="I732" s="33"/>
      <c r="J732" s="33"/>
      <c r="K732" s="44"/>
    </row>
    <row r="733" spans="1:11" s="34" customFormat="1" ht="15">
      <c r="A733" s="30"/>
      <c r="B733" s="43" t="s">
        <v>1842</v>
      </c>
      <c r="C733" s="45" t="s">
        <v>307</v>
      </c>
      <c r="D733" s="46" t="s">
        <v>4</v>
      </c>
      <c r="E733" s="44">
        <v>2.0421</v>
      </c>
      <c r="F733" s="31">
        <f>TRUNC(29.96,2)</f>
        <v>29.96</v>
      </c>
      <c r="G733" s="32">
        <f t="shared" si="33"/>
        <v>61.18</v>
      </c>
      <c r="H733" s="32"/>
      <c r="I733" s="33"/>
      <c r="J733" s="33"/>
      <c r="K733" s="44"/>
    </row>
    <row r="734" spans="1:11" s="34" customFormat="1" ht="30">
      <c r="A734" s="30"/>
      <c r="B734" s="43" t="s">
        <v>2015</v>
      </c>
      <c r="C734" s="45" t="s">
        <v>2016</v>
      </c>
      <c r="D734" s="46" t="s">
        <v>0</v>
      </c>
      <c r="E734" s="44">
        <v>0.49</v>
      </c>
      <c r="F734" s="31">
        <f>TRUNC(6.9,2)</f>
        <v>6.9</v>
      </c>
      <c r="G734" s="32">
        <f t="shared" si="33"/>
        <v>3.38</v>
      </c>
      <c r="H734" s="32"/>
      <c r="I734" s="33"/>
      <c r="J734" s="33"/>
      <c r="K734" s="44"/>
    </row>
    <row r="735" spans="1:11" s="34" customFormat="1" ht="45">
      <c r="A735" s="30"/>
      <c r="B735" s="43" t="s">
        <v>2017</v>
      </c>
      <c r="C735" s="45" t="s">
        <v>2018</v>
      </c>
      <c r="D735" s="46" t="s">
        <v>1</v>
      </c>
      <c r="E735" s="44">
        <v>0.0425</v>
      </c>
      <c r="F735" s="31">
        <f>TRUNC(584.15,2)</f>
        <v>584.15</v>
      </c>
      <c r="G735" s="32">
        <f t="shared" si="33"/>
        <v>24.82</v>
      </c>
      <c r="H735" s="32"/>
      <c r="I735" s="33"/>
      <c r="J735" s="33"/>
      <c r="K735" s="44"/>
    </row>
    <row r="736" spans="1:11" s="34" customFormat="1" ht="30">
      <c r="A736" s="30"/>
      <c r="B736" s="43" t="s">
        <v>2039</v>
      </c>
      <c r="C736" s="45" t="s">
        <v>2040</v>
      </c>
      <c r="D736" s="46" t="s">
        <v>1</v>
      </c>
      <c r="E736" s="44">
        <v>0.0252</v>
      </c>
      <c r="F736" s="31">
        <f>TRUNC(3172.49,2)</f>
        <v>3172.49</v>
      </c>
      <c r="G736" s="32">
        <f t="shared" si="33"/>
        <v>79.94</v>
      </c>
      <c r="H736" s="32"/>
      <c r="I736" s="33"/>
      <c r="J736" s="33"/>
      <c r="K736" s="44"/>
    </row>
    <row r="737" spans="1:11" s="34" customFormat="1" ht="30">
      <c r="A737" s="30"/>
      <c r="B737" s="43" t="s">
        <v>2021</v>
      </c>
      <c r="C737" s="45" t="s">
        <v>2022</v>
      </c>
      <c r="D737" s="46" t="s">
        <v>1</v>
      </c>
      <c r="E737" s="44">
        <v>0.0327</v>
      </c>
      <c r="F737" s="31">
        <f>TRUNC(370.06,2)</f>
        <v>370.06</v>
      </c>
      <c r="G737" s="32">
        <f t="shared" si="33"/>
        <v>12.1</v>
      </c>
      <c r="H737" s="32"/>
      <c r="I737" s="33"/>
      <c r="J737" s="33"/>
      <c r="K737" s="44"/>
    </row>
    <row r="738" spans="1:11" s="34" customFormat="1" ht="45">
      <c r="A738" s="30"/>
      <c r="B738" s="43" t="s">
        <v>2023</v>
      </c>
      <c r="C738" s="45" t="s">
        <v>2024</v>
      </c>
      <c r="D738" s="46" t="s">
        <v>1</v>
      </c>
      <c r="E738" s="44">
        <v>0.0007</v>
      </c>
      <c r="F738" s="31">
        <f>TRUNC(408.9,2)</f>
        <v>408.9</v>
      </c>
      <c r="G738" s="32">
        <f t="shared" si="33"/>
        <v>0.28</v>
      </c>
      <c r="H738" s="32"/>
      <c r="I738" s="33"/>
      <c r="J738" s="33"/>
      <c r="K738" s="44"/>
    </row>
    <row r="739" spans="1:11" s="34" customFormat="1" ht="15">
      <c r="A739" s="30"/>
      <c r="B739" s="43"/>
      <c r="C739" s="45"/>
      <c r="D739" s="46"/>
      <c r="E739" s="44" t="s">
        <v>5</v>
      </c>
      <c r="F739" s="31"/>
      <c r="G739" s="32">
        <f>TRUNC(SUM(G731:G738),2)</f>
        <v>253.03</v>
      </c>
      <c r="H739" s="32"/>
      <c r="I739" s="33"/>
      <c r="J739" s="33"/>
      <c r="K739" s="44"/>
    </row>
    <row r="740" spans="1:11" s="107" customFormat="1" ht="30">
      <c r="A740" s="99" t="s">
        <v>1616</v>
      </c>
      <c r="B740" s="100" t="s">
        <v>2042</v>
      </c>
      <c r="C740" s="101" t="s">
        <v>1528</v>
      </c>
      <c r="D740" s="102" t="s">
        <v>10</v>
      </c>
      <c r="E740" s="103">
        <v>4</v>
      </c>
      <c r="F740" s="104">
        <f>TRUNC(G745,2)</f>
        <v>427.32</v>
      </c>
      <c r="G740" s="105">
        <f>TRUNC(F740*1.2247,2)</f>
        <v>523.33</v>
      </c>
      <c r="H740" s="105">
        <f>TRUNC(F740*E740,2)</f>
        <v>1709.28</v>
      </c>
      <c r="I740" s="106">
        <f>TRUNC(E740*G740,2)</f>
        <v>2093.32</v>
      </c>
      <c r="J740" s="106"/>
      <c r="K740" s="103"/>
    </row>
    <row r="741" spans="1:11" s="58" customFormat="1" ht="28.5">
      <c r="A741" s="54"/>
      <c r="B741" s="52" t="s">
        <v>2041</v>
      </c>
      <c r="C741" s="55" t="s">
        <v>678</v>
      </c>
      <c r="D741" s="56" t="s">
        <v>10</v>
      </c>
      <c r="E741" s="57">
        <v>1</v>
      </c>
      <c r="F741" s="53">
        <v>285.27</v>
      </c>
      <c r="G741" s="50">
        <f>TRUNC(E741*F741,2)</f>
        <v>285.27</v>
      </c>
      <c r="H741" s="50"/>
      <c r="I741" s="51"/>
      <c r="J741" s="51">
        <f>0.9*0.3</f>
        <v>0.27</v>
      </c>
      <c r="K741" s="57">
        <v>285.27</v>
      </c>
    </row>
    <row r="742" spans="1:12" s="34" customFormat="1" ht="15">
      <c r="A742" s="30"/>
      <c r="B742" s="43" t="s">
        <v>43</v>
      </c>
      <c r="C742" s="45" t="s">
        <v>32</v>
      </c>
      <c r="D742" s="46" t="s">
        <v>4</v>
      </c>
      <c r="E742" s="44">
        <v>2.6</v>
      </c>
      <c r="F742" s="31">
        <f>TRUNC(23.42,2)</f>
        <v>23.42</v>
      </c>
      <c r="G742" s="32">
        <f>TRUNC(E742*F742,2)</f>
        <v>60.89</v>
      </c>
      <c r="H742" s="32"/>
      <c r="I742" s="33"/>
      <c r="J742" s="33">
        <f>0.4*0.4</f>
        <v>0.16000000000000003</v>
      </c>
      <c r="K742" s="44">
        <f>(J742*K741)/J741</f>
        <v>169.0488888888889</v>
      </c>
      <c r="L742" s="34">
        <f>K742*1.1</f>
        <v>185.95377777777782</v>
      </c>
    </row>
    <row r="743" spans="1:11" s="34" customFormat="1" ht="15">
      <c r="A743" s="30"/>
      <c r="B743" s="43" t="s">
        <v>1842</v>
      </c>
      <c r="C743" s="45" t="s">
        <v>307</v>
      </c>
      <c r="D743" s="46" t="s">
        <v>4</v>
      </c>
      <c r="E743" s="44">
        <v>2.6</v>
      </c>
      <c r="F743" s="31">
        <f>TRUNC(29.96,2)</f>
        <v>29.96</v>
      </c>
      <c r="G743" s="32">
        <f>TRUNC(E743*F743,2)</f>
        <v>77.89</v>
      </c>
      <c r="H743" s="32"/>
      <c r="I743" s="33"/>
      <c r="J743" s="33"/>
      <c r="K743" s="44"/>
    </row>
    <row r="744" spans="1:11" s="34" customFormat="1" ht="30">
      <c r="A744" s="30"/>
      <c r="B744" s="43" t="s">
        <v>2023</v>
      </c>
      <c r="C744" s="45" t="s">
        <v>2043</v>
      </c>
      <c r="D744" s="46" t="s">
        <v>1</v>
      </c>
      <c r="E744" s="44">
        <v>0.008</v>
      </c>
      <c r="F744" s="31">
        <f>TRUNC(408.9184,2)</f>
        <v>408.91</v>
      </c>
      <c r="G744" s="32">
        <f>TRUNC(E744*F744,2)</f>
        <v>3.27</v>
      </c>
      <c r="H744" s="32"/>
      <c r="I744" s="33"/>
      <c r="J744" s="33"/>
      <c r="K744" s="44"/>
    </row>
    <row r="745" spans="1:11" s="34" customFormat="1" ht="15">
      <c r="A745" s="30"/>
      <c r="B745" s="43"/>
      <c r="C745" s="45"/>
      <c r="D745" s="46"/>
      <c r="E745" s="44" t="s">
        <v>5</v>
      </c>
      <c r="F745" s="31"/>
      <c r="G745" s="32">
        <f>TRUNC(SUM(G741:G744),2)</f>
        <v>427.32</v>
      </c>
      <c r="H745" s="32"/>
      <c r="I745" s="33"/>
      <c r="J745" s="33"/>
      <c r="K745" s="44"/>
    </row>
    <row r="746" spans="1:11" s="107" customFormat="1" ht="30">
      <c r="A746" s="99" t="s">
        <v>1617</v>
      </c>
      <c r="B746" s="100" t="s">
        <v>2044</v>
      </c>
      <c r="C746" s="101" t="s">
        <v>2045</v>
      </c>
      <c r="D746" s="102" t="s">
        <v>10</v>
      </c>
      <c r="E746" s="103">
        <v>1</v>
      </c>
      <c r="F746" s="104">
        <f>TRUNC(G752,2)</f>
        <v>162.71</v>
      </c>
      <c r="G746" s="105">
        <f>TRUNC(F746*1.2247,2)</f>
        <v>199.27</v>
      </c>
      <c r="H746" s="105">
        <f>TRUNC(F746*E746,2)</f>
        <v>162.71</v>
      </c>
      <c r="I746" s="106">
        <f>TRUNC(E746*G746,2)</f>
        <v>199.27</v>
      </c>
      <c r="J746" s="106"/>
      <c r="K746" s="103"/>
    </row>
    <row r="747" spans="1:11" s="34" customFormat="1" ht="30">
      <c r="A747" s="30"/>
      <c r="B747" s="43" t="s">
        <v>2046</v>
      </c>
      <c r="C747" s="45" t="s">
        <v>1535</v>
      </c>
      <c r="D747" s="46" t="s">
        <v>10</v>
      </c>
      <c r="E747" s="44">
        <v>1</v>
      </c>
      <c r="F747" s="31">
        <f>TRUNC(99.54,2)</f>
        <v>99.54</v>
      </c>
      <c r="G747" s="32">
        <f>TRUNC(E747*F747,2)</f>
        <v>99.54</v>
      </c>
      <c r="H747" s="32"/>
      <c r="I747" s="33"/>
      <c r="J747" s="33"/>
      <c r="K747" s="44"/>
    </row>
    <row r="748" spans="1:11" s="34" customFormat="1" ht="15">
      <c r="A748" s="30"/>
      <c r="B748" s="43" t="s">
        <v>43</v>
      </c>
      <c r="C748" s="45" t="s">
        <v>32</v>
      </c>
      <c r="D748" s="46" t="s">
        <v>4</v>
      </c>
      <c r="E748" s="44">
        <v>0.0745</v>
      </c>
      <c r="F748" s="31">
        <f>TRUNC(23.42,2)</f>
        <v>23.42</v>
      </c>
      <c r="G748" s="32">
        <f>TRUNC(E748*F748,2)</f>
        <v>1.74</v>
      </c>
      <c r="H748" s="32"/>
      <c r="I748" s="33"/>
      <c r="J748" s="33"/>
      <c r="K748" s="44"/>
    </row>
    <row r="749" spans="1:11" s="34" customFormat="1" ht="15">
      <c r="A749" s="30"/>
      <c r="B749" s="43" t="s">
        <v>1842</v>
      </c>
      <c r="C749" s="45" t="s">
        <v>307</v>
      </c>
      <c r="D749" s="46" t="s">
        <v>4</v>
      </c>
      <c r="E749" s="44">
        <v>0.0745</v>
      </c>
      <c r="F749" s="31">
        <f>TRUNC(29.96,2)</f>
        <v>29.96</v>
      </c>
      <c r="G749" s="32">
        <f>TRUNC(E749*F749,2)</f>
        <v>2.23</v>
      </c>
      <c r="H749" s="32"/>
      <c r="I749" s="33"/>
      <c r="J749" s="33"/>
      <c r="K749" s="44"/>
    </row>
    <row r="750" spans="1:11" s="34" customFormat="1" ht="30">
      <c r="A750" s="30"/>
      <c r="B750" s="43" t="s">
        <v>2047</v>
      </c>
      <c r="C750" s="45" t="s">
        <v>2048</v>
      </c>
      <c r="D750" s="46" t="s">
        <v>1</v>
      </c>
      <c r="E750" s="44">
        <v>0.049</v>
      </c>
      <c r="F750" s="31">
        <f>TRUNC(250.03,2)</f>
        <v>250.03</v>
      </c>
      <c r="G750" s="32">
        <f>TRUNC(E750*F750,2)</f>
        <v>12.25</v>
      </c>
      <c r="H750" s="32"/>
      <c r="I750" s="33"/>
      <c r="J750" s="33"/>
      <c r="K750" s="44"/>
    </row>
    <row r="751" spans="1:11" s="34" customFormat="1" ht="30">
      <c r="A751" s="30"/>
      <c r="B751" s="43" t="s">
        <v>2039</v>
      </c>
      <c r="C751" s="45" t="s">
        <v>2040</v>
      </c>
      <c r="D751" s="46" t="s">
        <v>1</v>
      </c>
      <c r="E751" s="44">
        <v>0.0148</v>
      </c>
      <c r="F751" s="31">
        <f>TRUNC(3172.49,2)</f>
        <v>3172.49</v>
      </c>
      <c r="G751" s="32">
        <f>TRUNC(E751*F751,2)</f>
        <v>46.95</v>
      </c>
      <c r="H751" s="32"/>
      <c r="I751" s="33"/>
      <c r="J751" s="33"/>
      <c r="K751" s="44"/>
    </row>
    <row r="752" spans="1:11" s="34" customFormat="1" ht="15">
      <c r="A752" s="30"/>
      <c r="B752" s="43"/>
      <c r="C752" s="45"/>
      <c r="D752" s="46"/>
      <c r="E752" s="44" t="s">
        <v>5</v>
      </c>
      <c r="F752" s="31"/>
      <c r="G752" s="32">
        <f>TRUNC(SUM(G747:G751),2)</f>
        <v>162.71</v>
      </c>
      <c r="H752" s="32"/>
      <c r="I752" s="33"/>
      <c r="J752" s="33"/>
      <c r="K752" s="44"/>
    </row>
    <row r="753" spans="1:11" s="107" customFormat="1" ht="30">
      <c r="A753" s="99" t="s">
        <v>1618</v>
      </c>
      <c r="B753" s="100" t="s">
        <v>2049</v>
      </c>
      <c r="C753" s="101" t="s">
        <v>680</v>
      </c>
      <c r="D753" s="102" t="s">
        <v>10</v>
      </c>
      <c r="E753" s="103">
        <v>1</v>
      </c>
      <c r="F753" s="104">
        <f>TRUNC(G764,2)</f>
        <v>370.26</v>
      </c>
      <c r="G753" s="105">
        <f>TRUNC(F753*1.2247,2)</f>
        <v>453.45</v>
      </c>
      <c r="H753" s="105">
        <f>TRUNC(F753*E753,2)</f>
        <v>370.26</v>
      </c>
      <c r="I753" s="106">
        <f>TRUNC(E753*G753,2)</f>
        <v>453.45</v>
      </c>
      <c r="J753" s="106"/>
      <c r="K753" s="103"/>
    </row>
    <row r="754" spans="1:11" s="34" customFormat="1" ht="30">
      <c r="A754" s="30"/>
      <c r="B754" s="43" t="s">
        <v>2050</v>
      </c>
      <c r="C754" s="45" t="s">
        <v>682</v>
      </c>
      <c r="D754" s="46" t="s">
        <v>10</v>
      </c>
      <c r="E754" s="44">
        <v>1</v>
      </c>
      <c r="F754" s="31">
        <f>TRUNC(112.68,2)</f>
        <v>112.68</v>
      </c>
      <c r="G754" s="32">
        <f aca="true" t="shared" si="34" ref="G754:G763">TRUNC(E754*F754,2)</f>
        <v>112.68</v>
      </c>
      <c r="H754" s="32"/>
      <c r="I754" s="33"/>
      <c r="J754" s="33"/>
      <c r="K754" s="44"/>
    </row>
    <row r="755" spans="1:11" s="34" customFormat="1" ht="30">
      <c r="A755" s="30"/>
      <c r="B755" s="43" t="s">
        <v>2051</v>
      </c>
      <c r="C755" s="45" t="s">
        <v>684</v>
      </c>
      <c r="D755" s="46" t="s">
        <v>10</v>
      </c>
      <c r="E755" s="44">
        <v>1</v>
      </c>
      <c r="F755" s="31">
        <f>TRUNC(52.58,2)</f>
        <v>52.58</v>
      </c>
      <c r="G755" s="32">
        <f t="shared" si="34"/>
        <v>52.58</v>
      </c>
      <c r="H755" s="32"/>
      <c r="I755" s="33"/>
      <c r="J755" s="33"/>
      <c r="K755" s="44"/>
    </row>
    <row r="756" spans="1:11" s="34" customFormat="1" ht="15">
      <c r="A756" s="30"/>
      <c r="B756" s="43" t="s">
        <v>2052</v>
      </c>
      <c r="C756" s="45" t="s">
        <v>686</v>
      </c>
      <c r="D756" s="46" t="s">
        <v>10</v>
      </c>
      <c r="E756" s="44">
        <v>11.7802</v>
      </c>
      <c r="F756" s="31">
        <f>TRUNC(0.77,2)</f>
        <v>0.77</v>
      </c>
      <c r="G756" s="32">
        <f t="shared" si="34"/>
        <v>9.07</v>
      </c>
      <c r="H756" s="32"/>
      <c r="I756" s="33"/>
      <c r="J756" s="33"/>
      <c r="K756" s="44"/>
    </row>
    <row r="757" spans="1:11" s="34" customFormat="1" ht="15">
      <c r="A757" s="30"/>
      <c r="B757" s="43" t="s">
        <v>43</v>
      </c>
      <c r="C757" s="45" t="s">
        <v>32</v>
      </c>
      <c r="D757" s="46" t="s">
        <v>4</v>
      </c>
      <c r="E757" s="44">
        <v>0.4121</v>
      </c>
      <c r="F757" s="31">
        <f>TRUNC(23.42,2)</f>
        <v>23.42</v>
      </c>
      <c r="G757" s="32">
        <f t="shared" si="34"/>
        <v>9.65</v>
      </c>
      <c r="H757" s="32"/>
      <c r="I757" s="33"/>
      <c r="J757" s="33"/>
      <c r="K757" s="44"/>
    </row>
    <row r="758" spans="1:11" s="34" customFormat="1" ht="15">
      <c r="A758" s="30"/>
      <c r="B758" s="43" t="s">
        <v>1842</v>
      </c>
      <c r="C758" s="45" t="s">
        <v>307</v>
      </c>
      <c r="D758" s="46" t="s">
        <v>4</v>
      </c>
      <c r="E758" s="44">
        <v>0.5245</v>
      </c>
      <c r="F758" s="31">
        <f>TRUNC(29.96,2)</f>
        <v>29.96</v>
      </c>
      <c r="G758" s="32">
        <f t="shared" si="34"/>
        <v>15.71</v>
      </c>
      <c r="H758" s="32"/>
      <c r="I758" s="33"/>
      <c r="J758" s="33"/>
      <c r="K758" s="44"/>
    </row>
    <row r="759" spans="1:11" s="34" customFormat="1" ht="45">
      <c r="A759" s="30"/>
      <c r="B759" s="43" t="s">
        <v>2053</v>
      </c>
      <c r="C759" s="45" t="s">
        <v>2054</v>
      </c>
      <c r="D759" s="46" t="s">
        <v>1</v>
      </c>
      <c r="E759" s="44">
        <v>0.2535</v>
      </c>
      <c r="F759" s="31">
        <f>TRUNC(131.06,2)</f>
        <v>131.06</v>
      </c>
      <c r="G759" s="32">
        <f t="shared" si="34"/>
        <v>33.22</v>
      </c>
      <c r="H759" s="32"/>
      <c r="I759" s="33"/>
      <c r="J759" s="33"/>
      <c r="K759" s="44"/>
    </row>
    <row r="760" spans="1:11" s="34" customFormat="1" ht="45">
      <c r="A760" s="30"/>
      <c r="B760" s="43" t="s">
        <v>2017</v>
      </c>
      <c r="C760" s="45" t="s">
        <v>2018</v>
      </c>
      <c r="D760" s="46" t="s">
        <v>1</v>
      </c>
      <c r="E760" s="44">
        <v>0.029</v>
      </c>
      <c r="F760" s="31">
        <f>TRUNC(584.15,2)</f>
        <v>584.15</v>
      </c>
      <c r="G760" s="32">
        <f t="shared" si="34"/>
        <v>16.94</v>
      </c>
      <c r="H760" s="32"/>
      <c r="I760" s="33"/>
      <c r="J760" s="33"/>
      <c r="K760" s="44"/>
    </row>
    <row r="761" spans="1:11" s="34" customFormat="1" ht="30">
      <c r="A761" s="30"/>
      <c r="B761" s="43" t="s">
        <v>2055</v>
      </c>
      <c r="C761" s="45" t="s">
        <v>2056</v>
      </c>
      <c r="D761" s="46" t="s">
        <v>1</v>
      </c>
      <c r="E761" s="44">
        <v>0.0221</v>
      </c>
      <c r="F761" s="31">
        <f>TRUNC(4646.26,2)</f>
        <v>4646.26</v>
      </c>
      <c r="G761" s="32">
        <f t="shared" si="34"/>
        <v>102.68</v>
      </c>
      <c r="H761" s="32"/>
      <c r="I761" s="33"/>
      <c r="J761" s="33"/>
      <c r="K761" s="44"/>
    </row>
    <row r="762" spans="1:11" s="34" customFormat="1" ht="60">
      <c r="A762" s="30"/>
      <c r="B762" s="43" t="s">
        <v>2025</v>
      </c>
      <c r="C762" s="45" t="s">
        <v>2026</v>
      </c>
      <c r="D762" s="46" t="s">
        <v>38</v>
      </c>
      <c r="E762" s="44">
        <v>0.1505</v>
      </c>
      <c r="F762" s="31">
        <f>TRUNC(57.54,2)</f>
        <v>57.54</v>
      </c>
      <c r="G762" s="32">
        <f t="shared" si="34"/>
        <v>8.65</v>
      </c>
      <c r="H762" s="32"/>
      <c r="I762" s="33"/>
      <c r="J762" s="33"/>
      <c r="K762" s="44"/>
    </row>
    <row r="763" spans="1:11" s="34" customFormat="1" ht="60">
      <c r="A763" s="30"/>
      <c r="B763" s="43" t="s">
        <v>2027</v>
      </c>
      <c r="C763" s="45" t="s">
        <v>2028</v>
      </c>
      <c r="D763" s="46" t="s">
        <v>21</v>
      </c>
      <c r="E763" s="44">
        <v>0.0739</v>
      </c>
      <c r="F763" s="31">
        <f>TRUNC(122.97,2)</f>
        <v>122.97</v>
      </c>
      <c r="G763" s="32">
        <f t="shared" si="34"/>
        <v>9.08</v>
      </c>
      <c r="H763" s="32"/>
      <c r="I763" s="33"/>
      <c r="J763" s="33"/>
      <c r="K763" s="44"/>
    </row>
    <row r="764" spans="1:11" s="34" customFormat="1" ht="15">
      <c r="A764" s="30"/>
      <c r="B764" s="43"/>
      <c r="C764" s="45"/>
      <c r="D764" s="46"/>
      <c r="E764" s="44" t="s">
        <v>5</v>
      </c>
      <c r="F764" s="31"/>
      <c r="G764" s="32">
        <f>TRUNC(SUM(G754:G763),2)</f>
        <v>370.26</v>
      </c>
      <c r="H764" s="32"/>
      <c r="I764" s="33"/>
      <c r="J764" s="33"/>
      <c r="K764" s="44"/>
    </row>
    <row r="765" spans="1:11" s="107" customFormat="1" ht="30">
      <c r="A765" s="99" t="s">
        <v>1619</v>
      </c>
      <c r="B765" s="100" t="s">
        <v>2057</v>
      </c>
      <c r="C765" s="101" t="s">
        <v>692</v>
      </c>
      <c r="D765" s="102" t="s">
        <v>10</v>
      </c>
      <c r="E765" s="103">
        <v>2</v>
      </c>
      <c r="F765" s="104">
        <f>TRUNC(G770,2)</f>
        <v>550.97</v>
      </c>
      <c r="G765" s="105">
        <f>TRUNC(F765*1.2247,2)</f>
        <v>674.77</v>
      </c>
      <c r="H765" s="105">
        <f>TRUNC(F765*E765,2)</f>
        <v>1101.94</v>
      </c>
      <c r="I765" s="106">
        <f>TRUNC(E765*G765,2)</f>
        <v>1349.54</v>
      </c>
      <c r="J765" s="106"/>
      <c r="K765" s="103"/>
    </row>
    <row r="766" spans="1:11" s="34" customFormat="1" ht="30">
      <c r="A766" s="30"/>
      <c r="B766" s="43" t="s">
        <v>2058</v>
      </c>
      <c r="C766" s="45" t="s">
        <v>694</v>
      </c>
      <c r="D766" s="46" t="s">
        <v>10</v>
      </c>
      <c r="E766" s="44">
        <v>1</v>
      </c>
      <c r="F766" s="31">
        <f>TRUNC(465.62,2)</f>
        <v>465.62</v>
      </c>
      <c r="G766" s="32">
        <f>TRUNC(E766*F766,2)</f>
        <v>465.62</v>
      </c>
      <c r="H766" s="32"/>
      <c r="I766" s="33"/>
      <c r="J766" s="33"/>
      <c r="K766" s="44"/>
    </row>
    <row r="767" spans="1:11" s="34" customFormat="1" ht="15">
      <c r="A767" s="30"/>
      <c r="B767" s="43" t="s">
        <v>43</v>
      </c>
      <c r="C767" s="45" t="s">
        <v>32</v>
      </c>
      <c r="D767" s="46" t="s">
        <v>4</v>
      </c>
      <c r="E767" s="44">
        <v>1.4045</v>
      </c>
      <c r="F767" s="31">
        <f>TRUNC(23.42,2)</f>
        <v>23.42</v>
      </c>
      <c r="G767" s="32">
        <f>TRUNC(E767*F767,2)</f>
        <v>32.89</v>
      </c>
      <c r="H767" s="32"/>
      <c r="I767" s="33"/>
      <c r="J767" s="33"/>
      <c r="K767" s="44"/>
    </row>
    <row r="768" spans="1:11" s="34" customFormat="1" ht="15">
      <c r="A768" s="30"/>
      <c r="B768" s="43" t="s">
        <v>1842</v>
      </c>
      <c r="C768" s="45" t="s">
        <v>307</v>
      </c>
      <c r="D768" s="46" t="s">
        <v>4</v>
      </c>
      <c r="E768" s="44">
        <v>1.4045</v>
      </c>
      <c r="F768" s="31">
        <f>TRUNC(29.96,2)</f>
        <v>29.96</v>
      </c>
      <c r="G768" s="32">
        <f>TRUNC(E768*F768,2)</f>
        <v>42.07</v>
      </c>
      <c r="H768" s="32"/>
      <c r="I768" s="33"/>
      <c r="J768" s="33"/>
      <c r="K768" s="44"/>
    </row>
    <row r="769" spans="1:11" s="34" customFormat="1" ht="30">
      <c r="A769" s="30"/>
      <c r="B769" s="43" t="s">
        <v>2021</v>
      </c>
      <c r="C769" s="45" t="s">
        <v>2022</v>
      </c>
      <c r="D769" s="46" t="s">
        <v>1</v>
      </c>
      <c r="E769" s="44">
        <v>0.0281</v>
      </c>
      <c r="F769" s="31">
        <f>TRUNC(370.06,2)</f>
        <v>370.06</v>
      </c>
      <c r="G769" s="32">
        <f>TRUNC(E769*F769,2)</f>
        <v>10.39</v>
      </c>
      <c r="H769" s="32"/>
      <c r="I769" s="33"/>
      <c r="J769" s="33"/>
      <c r="K769" s="44"/>
    </row>
    <row r="770" spans="1:11" s="34" customFormat="1" ht="15">
      <c r="A770" s="30"/>
      <c r="B770" s="43"/>
      <c r="C770" s="45"/>
      <c r="D770" s="46"/>
      <c r="E770" s="44" t="s">
        <v>5</v>
      </c>
      <c r="F770" s="31"/>
      <c r="G770" s="32">
        <f>TRUNC(SUM(G766:G769),2)</f>
        <v>550.97</v>
      </c>
      <c r="H770" s="32"/>
      <c r="I770" s="33"/>
      <c r="J770" s="33"/>
      <c r="K770" s="44"/>
    </row>
    <row r="771" spans="1:11" s="107" customFormat="1" ht="45">
      <c r="A771" s="99" t="s">
        <v>1620</v>
      </c>
      <c r="B771" s="100" t="s">
        <v>2059</v>
      </c>
      <c r="C771" s="101" t="s">
        <v>969</v>
      </c>
      <c r="D771" s="102" t="s">
        <v>2</v>
      </c>
      <c r="E771" s="103">
        <v>12</v>
      </c>
      <c r="F771" s="104">
        <f>TRUNC(G777,2)</f>
        <v>105.78</v>
      </c>
      <c r="G771" s="105">
        <f>TRUNC(F771*1.2247,2)</f>
        <v>129.54</v>
      </c>
      <c r="H771" s="105">
        <f>TRUNC(F771*E771,2)</f>
        <v>1269.36</v>
      </c>
      <c r="I771" s="106">
        <f>TRUNC(E771*G771,2)</f>
        <v>1554.48</v>
      </c>
      <c r="J771" s="106"/>
      <c r="K771" s="103"/>
    </row>
    <row r="772" spans="1:11" s="34" customFormat="1" ht="15">
      <c r="A772" s="30"/>
      <c r="B772" s="43" t="s">
        <v>970</v>
      </c>
      <c r="C772" s="45" t="s">
        <v>971</v>
      </c>
      <c r="D772" s="46" t="s">
        <v>10</v>
      </c>
      <c r="E772" s="44">
        <v>0.4</v>
      </c>
      <c r="F772" s="31">
        <f>TRUNC(164.31,2)</f>
        <v>164.31</v>
      </c>
      <c r="G772" s="32">
        <f>TRUNC(E772*F772,2)</f>
        <v>65.72</v>
      </c>
      <c r="H772" s="32"/>
      <c r="I772" s="33"/>
      <c r="J772" s="33"/>
      <c r="K772" s="44"/>
    </row>
    <row r="773" spans="1:11" s="34" customFormat="1" ht="30">
      <c r="A773" s="30"/>
      <c r="B773" s="43" t="s">
        <v>33</v>
      </c>
      <c r="C773" s="45" t="s">
        <v>34</v>
      </c>
      <c r="D773" s="46" t="s">
        <v>4</v>
      </c>
      <c r="E773" s="44">
        <v>0.515</v>
      </c>
      <c r="F773" s="31">
        <f>TRUNC(16.55,2)</f>
        <v>16.55</v>
      </c>
      <c r="G773" s="32">
        <f>TRUNC(E773*F773,2)</f>
        <v>8.52</v>
      </c>
      <c r="H773" s="32"/>
      <c r="I773" s="33"/>
      <c r="J773" s="33"/>
      <c r="K773" s="44"/>
    </row>
    <row r="774" spans="1:11" s="34" customFormat="1" ht="15">
      <c r="A774" s="30"/>
      <c r="B774" s="43" t="s">
        <v>35</v>
      </c>
      <c r="C774" s="45" t="s">
        <v>36</v>
      </c>
      <c r="D774" s="46" t="s">
        <v>4</v>
      </c>
      <c r="E774" s="44">
        <v>0.515</v>
      </c>
      <c r="F774" s="31">
        <f>TRUNC(22.86,2)</f>
        <v>22.86</v>
      </c>
      <c r="G774" s="32">
        <f>TRUNC(E774*F774,2)</f>
        <v>11.77</v>
      </c>
      <c r="H774" s="32"/>
      <c r="I774" s="33"/>
      <c r="J774" s="33"/>
      <c r="K774" s="44"/>
    </row>
    <row r="775" spans="1:11" s="34" customFormat="1" ht="15">
      <c r="A775" s="30"/>
      <c r="B775" s="43" t="s">
        <v>2060</v>
      </c>
      <c r="C775" s="45" t="s">
        <v>2061</v>
      </c>
      <c r="D775" s="46" t="s">
        <v>1</v>
      </c>
      <c r="E775" s="44">
        <v>0.0529</v>
      </c>
      <c r="F775" s="31">
        <f>TRUNC(57.9581,2)</f>
        <v>57.95</v>
      </c>
      <c r="G775" s="32">
        <f>TRUNC(E775*F775,2)</f>
        <v>3.06</v>
      </c>
      <c r="H775" s="32"/>
      <c r="I775" s="33"/>
      <c r="J775" s="33"/>
      <c r="K775" s="44"/>
    </row>
    <row r="776" spans="1:11" s="34" customFormat="1" ht="15">
      <c r="A776" s="30"/>
      <c r="B776" s="43" t="s">
        <v>2062</v>
      </c>
      <c r="C776" s="45" t="s">
        <v>2063</v>
      </c>
      <c r="D776" s="46" t="s">
        <v>1</v>
      </c>
      <c r="E776" s="44">
        <v>0.036</v>
      </c>
      <c r="F776" s="31">
        <f>TRUNC(464.2678,2)</f>
        <v>464.26</v>
      </c>
      <c r="G776" s="32">
        <f>TRUNC(E776*F776,2)</f>
        <v>16.71</v>
      </c>
      <c r="H776" s="32"/>
      <c r="I776" s="33"/>
      <c r="J776" s="33"/>
      <c r="K776" s="44"/>
    </row>
    <row r="777" spans="1:11" s="34" customFormat="1" ht="15">
      <c r="A777" s="30"/>
      <c r="B777" s="43"/>
      <c r="C777" s="45"/>
      <c r="D777" s="46"/>
      <c r="E777" s="44" t="s">
        <v>5</v>
      </c>
      <c r="F777" s="31"/>
      <c r="G777" s="32">
        <f>TRUNC(SUM(G772:G776),2)</f>
        <v>105.78</v>
      </c>
      <c r="H777" s="32"/>
      <c r="I777" s="33"/>
      <c r="J777" s="33"/>
      <c r="K777" s="44"/>
    </row>
    <row r="778" spans="1:11" s="107" customFormat="1" ht="30">
      <c r="A778" s="99" t="s">
        <v>1621</v>
      </c>
      <c r="B778" s="100" t="s">
        <v>2064</v>
      </c>
      <c r="C778" s="101" t="s">
        <v>696</v>
      </c>
      <c r="D778" s="102" t="s">
        <v>10</v>
      </c>
      <c r="E778" s="103">
        <v>6</v>
      </c>
      <c r="F778" s="104">
        <f>TRUNC(G787,2)</f>
        <v>28.22</v>
      </c>
      <c r="G778" s="105">
        <f>TRUNC(F778*1.2247,2)</f>
        <v>34.56</v>
      </c>
      <c r="H778" s="105">
        <f>TRUNC(F778*E778,2)</f>
        <v>169.32</v>
      </c>
      <c r="I778" s="106">
        <f>TRUNC(E778*G778,2)</f>
        <v>207.36</v>
      </c>
      <c r="J778" s="106"/>
      <c r="K778" s="103"/>
    </row>
    <row r="779" spans="1:11" s="34" customFormat="1" ht="15">
      <c r="A779" s="30"/>
      <c r="B779" s="43" t="s">
        <v>2065</v>
      </c>
      <c r="C779" s="45" t="s">
        <v>642</v>
      </c>
      <c r="D779" s="46" t="s">
        <v>10</v>
      </c>
      <c r="E779" s="44">
        <v>0.0365</v>
      </c>
      <c r="F779" s="31">
        <f>TRUNC(1.72,2)</f>
        <v>1.72</v>
      </c>
      <c r="G779" s="32">
        <f aca="true" t="shared" si="35" ref="G779:G786">TRUNC(E779*F779,2)</f>
        <v>0.06</v>
      </c>
      <c r="H779" s="32"/>
      <c r="I779" s="33"/>
      <c r="J779" s="33"/>
      <c r="K779" s="44"/>
    </row>
    <row r="780" spans="1:11" s="34" customFormat="1" ht="15">
      <c r="A780" s="30"/>
      <c r="B780" s="43" t="s">
        <v>2066</v>
      </c>
      <c r="C780" s="45" t="s">
        <v>698</v>
      </c>
      <c r="D780" s="46" t="s">
        <v>10</v>
      </c>
      <c r="E780" s="44">
        <v>1</v>
      </c>
      <c r="F780" s="31">
        <f>TRUNC(1.5,2)</f>
        <v>1.5</v>
      </c>
      <c r="G780" s="32">
        <f t="shared" si="35"/>
        <v>1.5</v>
      </c>
      <c r="H780" s="32"/>
      <c r="I780" s="33"/>
      <c r="J780" s="33"/>
      <c r="K780" s="44"/>
    </row>
    <row r="781" spans="1:11" s="34" customFormat="1" ht="15">
      <c r="A781" s="30"/>
      <c r="B781" s="43" t="s">
        <v>2067</v>
      </c>
      <c r="C781" s="45" t="s">
        <v>644</v>
      </c>
      <c r="D781" s="46" t="s">
        <v>10</v>
      </c>
      <c r="E781" s="44">
        <v>0.0225</v>
      </c>
      <c r="F781" s="31">
        <f>TRUNC(60.64,2)</f>
        <v>60.64</v>
      </c>
      <c r="G781" s="32">
        <f t="shared" si="35"/>
        <v>1.36</v>
      </c>
      <c r="H781" s="32"/>
      <c r="I781" s="33"/>
      <c r="J781" s="33"/>
      <c r="K781" s="44"/>
    </row>
    <row r="782" spans="1:11" s="34" customFormat="1" ht="30">
      <c r="A782" s="30"/>
      <c r="B782" s="43" t="s">
        <v>2007</v>
      </c>
      <c r="C782" s="45" t="s">
        <v>632</v>
      </c>
      <c r="D782" s="46" t="s">
        <v>10</v>
      </c>
      <c r="E782" s="44">
        <v>0.02</v>
      </c>
      <c r="F782" s="31">
        <f>TRUNC(25.56,2)</f>
        <v>25.56</v>
      </c>
      <c r="G782" s="32">
        <f t="shared" si="35"/>
        <v>0.51</v>
      </c>
      <c r="H782" s="32"/>
      <c r="I782" s="33"/>
      <c r="J782" s="33"/>
      <c r="K782" s="44"/>
    </row>
    <row r="783" spans="1:11" s="34" customFormat="1" ht="15">
      <c r="A783" s="30"/>
      <c r="B783" s="43" t="s">
        <v>2068</v>
      </c>
      <c r="C783" s="45" t="s">
        <v>700</v>
      </c>
      <c r="D783" s="46" t="s">
        <v>10</v>
      </c>
      <c r="E783" s="44">
        <v>1</v>
      </c>
      <c r="F783" s="31">
        <f>TRUNC(16.75,2)</f>
        <v>16.75</v>
      </c>
      <c r="G783" s="32">
        <f t="shared" si="35"/>
        <v>16.75</v>
      </c>
      <c r="H783" s="32"/>
      <c r="I783" s="33"/>
      <c r="J783" s="33"/>
      <c r="K783" s="44"/>
    </row>
    <row r="784" spans="1:11" s="34" customFormat="1" ht="15">
      <c r="A784" s="30"/>
      <c r="B784" s="43" t="s">
        <v>2069</v>
      </c>
      <c r="C784" s="45" t="s">
        <v>646</v>
      </c>
      <c r="D784" s="46" t="s">
        <v>10</v>
      </c>
      <c r="E784" s="44">
        <v>0.0148</v>
      </c>
      <c r="F784" s="31">
        <f>TRUNC(69.83,2)</f>
        <v>69.83</v>
      </c>
      <c r="G784" s="32">
        <f t="shared" si="35"/>
        <v>1.03</v>
      </c>
      <c r="H784" s="32"/>
      <c r="I784" s="33"/>
      <c r="J784" s="33"/>
      <c r="K784" s="44"/>
    </row>
    <row r="785" spans="1:11" s="34" customFormat="1" ht="15">
      <c r="A785" s="30"/>
      <c r="B785" s="43" t="s">
        <v>1933</v>
      </c>
      <c r="C785" s="45" t="s">
        <v>417</v>
      </c>
      <c r="D785" s="46" t="s">
        <v>4</v>
      </c>
      <c r="E785" s="44">
        <v>0.135</v>
      </c>
      <c r="F785" s="31">
        <f>TRUNC(29.32,2)</f>
        <v>29.32</v>
      </c>
      <c r="G785" s="32">
        <f t="shared" si="35"/>
        <v>3.95</v>
      </c>
      <c r="H785" s="32"/>
      <c r="I785" s="33"/>
      <c r="J785" s="33"/>
      <c r="K785" s="44"/>
    </row>
    <row r="786" spans="1:11" s="34" customFormat="1" ht="30">
      <c r="A786" s="30"/>
      <c r="B786" s="43" t="s">
        <v>1974</v>
      </c>
      <c r="C786" s="45" t="s">
        <v>419</v>
      </c>
      <c r="D786" s="46" t="s">
        <v>4</v>
      </c>
      <c r="E786" s="44">
        <v>0.135</v>
      </c>
      <c r="F786" s="31">
        <f>TRUNC(22.69,2)</f>
        <v>22.69</v>
      </c>
      <c r="G786" s="32">
        <f t="shared" si="35"/>
        <v>3.06</v>
      </c>
      <c r="H786" s="32"/>
      <c r="I786" s="33"/>
      <c r="J786" s="33"/>
      <c r="K786" s="44"/>
    </row>
    <row r="787" spans="1:11" s="34" customFormat="1" ht="15">
      <c r="A787" s="30"/>
      <c r="B787" s="43"/>
      <c r="C787" s="45"/>
      <c r="D787" s="46"/>
      <c r="E787" s="44" t="s">
        <v>5</v>
      </c>
      <c r="F787" s="31"/>
      <c r="G787" s="32">
        <f>TRUNC(SUM(G779:G786),2)</f>
        <v>28.22</v>
      </c>
      <c r="H787" s="32"/>
      <c r="I787" s="33"/>
      <c r="J787" s="33"/>
      <c r="K787" s="44"/>
    </row>
    <row r="788" spans="1:11" s="107" customFormat="1" ht="30">
      <c r="A788" s="99" t="s">
        <v>1622</v>
      </c>
      <c r="B788" s="100" t="s">
        <v>2070</v>
      </c>
      <c r="C788" s="101" t="s">
        <v>701</v>
      </c>
      <c r="D788" s="102" t="s">
        <v>10</v>
      </c>
      <c r="E788" s="103">
        <v>9</v>
      </c>
      <c r="F788" s="104">
        <f>TRUNC(G797,2)</f>
        <v>69.56</v>
      </c>
      <c r="G788" s="105">
        <f>TRUNC(F788*1.2247,2)</f>
        <v>85.19</v>
      </c>
      <c r="H788" s="105">
        <f>TRUNC(F788*E788,2)</f>
        <v>626.04</v>
      </c>
      <c r="I788" s="106">
        <f>TRUNC(E788*G788,2)</f>
        <v>766.71</v>
      </c>
      <c r="J788" s="106"/>
      <c r="K788" s="103"/>
    </row>
    <row r="789" spans="1:11" s="34" customFormat="1" ht="15">
      <c r="A789" s="30"/>
      <c r="B789" s="43" t="s">
        <v>2065</v>
      </c>
      <c r="C789" s="45" t="s">
        <v>642</v>
      </c>
      <c r="D789" s="46" t="s">
        <v>10</v>
      </c>
      <c r="E789" s="44">
        <v>0.0365</v>
      </c>
      <c r="F789" s="31">
        <f>TRUNC(1.72,2)</f>
        <v>1.72</v>
      </c>
      <c r="G789" s="32">
        <f aca="true" t="shared" si="36" ref="G789:G796">TRUNC(E789*F789,2)</f>
        <v>0.06</v>
      </c>
      <c r="H789" s="32"/>
      <c r="I789" s="33"/>
      <c r="J789" s="33"/>
      <c r="K789" s="44"/>
    </row>
    <row r="790" spans="1:11" s="34" customFormat="1" ht="15">
      <c r="A790" s="30"/>
      <c r="B790" s="43" t="s">
        <v>2067</v>
      </c>
      <c r="C790" s="45" t="s">
        <v>644</v>
      </c>
      <c r="D790" s="46" t="s">
        <v>10</v>
      </c>
      <c r="E790" s="44">
        <v>0.0225</v>
      </c>
      <c r="F790" s="31">
        <f>TRUNC(60.64,2)</f>
        <v>60.64</v>
      </c>
      <c r="G790" s="32">
        <f t="shared" si="36"/>
        <v>1.36</v>
      </c>
      <c r="H790" s="32"/>
      <c r="I790" s="33"/>
      <c r="J790" s="33"/>
      <c r="K790" s="44"/>
    </row>
    <row r="791" spans="1:11" s="34" customFormat="1" ht="30">
      <c r="A791" s="30"/>
      <c r="B791" s="43" t="s">
        <v>2007</v>
      </c>
      <c r="C791" s="45" t="s">
        <v>632</v>
      </c>
      <c r="D791" s="46" t="s">
        <v>10</v>
      </c>
      <c r="E791" s="44">
        <v>0.03</v>
      </c>
      <c r="F791" s="31">
        <f>TRUNC(25.56,2)</f>
        <v>25.56</v>
      </c>
      <c r="G791" s="32">
        <f t="shared" si="36"/>
        <v>0.76</v>
      </c>
      <c r="H791" s="32"/>
      <c r="I791" s="33"/>
      <c r="J791" s="33"/>
      <c r="K791" s="44"/>
    </row>
    <row r="792" spans="1:11" s="34" customFormat="1" ht="15">
      <c r="A792" s="30"/>
      <c r="B792" s="43" t="s">
        <v>2071</v>
      </c>
      <c r="C792" s="45" t="s">
        <v>702</v>
      </c>
      <c r="D792" s="46" t="s">
        <v>10</v>
      </c>
      <c r="E792" s="44">
        <v>1</v>
      </c>
      <c r="F792" s="31">
        <f>TRUNC(52.72,2)</f>
        <v>52.72</v>
      </c>
      <c r="G792" s="32">
        <f t="shared" si="36"/>
        <v>52.72</v>
      </c>
      <c r="H792" s="32"/>
      <c r="I792" s="33"/>
      <c r="J792" s="33"/>
      <c r="K792" s="44"/>
    </row>
    <row r="793" spans="1:11" s="34" customFormat="1" ht="15">
      <c r="A793" s="30"/>
      <c r="B793" s="43" t="s">
        <v>2072</v>
      </c>
      <c r="C793" s="45" t="s">
        <v>703</v>
      </c>
      <c r="D793" s="46" t="s">
        <v>10</v>
      </c>
      <c r="E793" s="44">
        <v>1</v>
      </c>
      <c r="F793" s="31">
        <f>TRUNC(2.72,2)</f>
        <v>2.72</v>
      </c>
      <c r="G793" s="32">
        <f t="shared" si="36"/>
        <v>2.72</v>
      </c>
      <c r="H793" s="32"/>
      <c r="I793" s="33"/>
      <c r="J793" s="33"/>
      <c r="K793" s="44"/>
    </row>
    <row r="794" spans="1:11" s="34" customFormat="1" ht="15">
      <c r="A794" s="30"/>
      <c r="B794" s="43" t="s">
        <v>2069</v>
      </c>
      <c r="C794" s="45" t="s">
        <v>646</v>
      </c>
      <c r="D794" s="46" t="s">
        <v>10</v>
      </c>
      <c r="E794" s="44">
        <v>0.0148</v>
      </c>
      <c r="F794" s="31">
        <f>TRUNC(69.83,2)</f>
        <v>69.83</v>
      </c>
      <c r="G794" s="32">
        <f t="shared" si="36"/>
        <v>1.03</v>
      </c>
      <c r="H794" s="32"/>
      <c r="I794" s="33"/>
      <c r="J794" s="33"/>
      <c r="K794" s="44"/>
    </row>
    <row r="795" spans="1:11" s="34" customFormat="1" ht="15">
      <c r="A795" s="30"/>
      <c r="B795" s="43" t="s">
        <v>1933</v>
      </c>
      <c r="C795" s="45" t="s">
        <v>417</v>
      </c>
      <c r="D795" s="46" t="s">
        <v>4</v>
      </c>
      <c r="E795" s="44">
        <v>0.21</v>
      </c>
      <c r="F795" s="31">
        <f>TRUNC(29.32,2)</f>
        <v>29.32</v>
      </c>
      <c r="G795" s="32">
        <f t="shared" si="36"/>
        <v>6.15</v>
      </c>
      <c r="H795" s="32"/>
      <c r="I795" s="33"/>
      <c r="J795" s="33"/>
      <c r="K795" s="44"/>
    </row>
    <row r="796" spans="1:11" s="34" customFormat="1" ht="30">
      <c r="A796" s="30"/>
      <c r="B796" s="43" t="s">
        <v>1974</v>
      </c>
      <c r="C796" s="45" t="s">
        <v>419</v>
      </c>
      <c r="D796" s="46" t="s">
        <v>4</v>
      </c>
      <c r="E796" s="44">
        <v>0.21</v>
      </c>
      <c r="F796" s="31">
        <f>TRUNC(22.69,2)</f>
        <v>22.69</v>
      </c>
      <c r="G796" s="32">
        <f t="shared" si="36"/>
        <v>4.76</v>
      </c>
      <c r="H796" s="32"/>
      <c r="I796" s="33"/>
      <c r="J796" s="33"/>
      <c r="K796" s="44"/>
    </row>
    <row r="797" spans="1:11" s="34" customFormat="1" ht="15">
      <c r="A797" s="30"/>
      <c r="B797" s="43"/>
      <c r="C797" s="45"/>
      <c r="D797" s="46"/>
      <c r="E797" s="44" t="s">
        <v>5</v>
      </c>
      <c r="F797" s="31"/>
      <c r="G797" s="32">
        <f>TRUNC(SUM(G789:G796),2)</f>
        <v>69.56</v>
      </c>
      <c r="H797" s="32"/>
      <c r="I797" s="33"/>
      <c r="J797" s="33"/>
      <c r="K797" s="44"/>
    </row>
    <row r="798" spans="1:11" s="107" customFormat="1" ht="30">
      <c r="A798" s="99" t="s">
        <v>1623</v>
      </c>
      <c r="B798" s="100" t="s">
        <v>2073</v>
      </c>
      <c r="C798" s="101" t="s">
        <v>705</v>
      </c>
      <c r="D798" s="102" t="s">
        <v>10</v>
      </c>
      <c r="E798" s="103">
        <v>4</v>
      </c>
      <c r="F798" s="104">
        <f>TRUNC(G805,2)</f>
        <v>11.25</v>
      </c>
      <c r="G798" s="105">
        <f>TRUNC(F798*1.2247,2)</f>
        <v>13.77</v>
      </c>
      <c r="H798" s="105">
        <f>TRUNC(F798*E798,2)</f>
        <v>45</v>
      </c>
      <c r="I798" s="106">
        <f>TRUNC(E798*G798,2)</f>
        <v>55.08</v>
      </c>
      <c r="J798" s="106"/>
      <c r="K798" s="103"/>
    </row>
    <row r="799" spans="1:11" s="34" customFormat="1" ht="15">
      <c r="A799" s="30"/>
      <c r="B799" s="43" t="s">
        <v>2065</v>
      </c>
      <c r="C799" s="45" t="s">
        <v>642</v>
      </c>
      <c r="D799" s="46" t="s">
        <v>10</v>
      </c>
      <c r="E799" s="44">
        <v>0.012</v>
      </c>
      <c r="F799" s="31">
        <f>TRUNC(1.72,2)</f>
        <v>1.72</v>
      </c>
      <c r="G799" s="32">
        <f aca="true" t="shared" si="37" ref="G799:G804">TRUNC(E799*F799,2)</f>
        <v>0.02</v>
      </c>
      <c r="H799" s="32"/>
      <c r="I799" s="33"/>
      <c r="J799" s="33"/>
      <c r="K799" s="44"/>
    </row>
    <row r="800" spans="1:11" s="34" customFormat="1" ht="15">
      <c r="A800" s="30"/>
      <c r="B800" s="43" t="s">
        <v>2067</v>
      </c>
      <c r="C800" s="45" t="s">
        <v>644</v>
      </c>
      <c r="D800" s="46" t="s">
        <v>10</v>
      </c>
      <c r="E800" s="44">
        <v>0.0075</v>
      </c>
      <c r="F800" s="31">
        <f>TRUNC(60.64,2)</f>
        <v>60.64</v>
      </c>
      <c r="G800" s="32">
        <f t="shared" si="37"/>
        <v>0.45</v>
      </c>
      <c r="H800" s="32"/>
      <c r="I800" s="33"/>
      <c r="J800" s="33"/>
      <c r="K800" s="44"/>
    </row>
    <row r="801" spans="1:11" s="34" customFormat="1" ht="15">
      <c r="A801" s="30"/>
      <c r="B801" s="43" t="s">
        <v>2074</v>
      </c>
      <c r="C801" s="45" t="s">
        <v>707</v>
      </c>
      <c r="D801" s="46" t="s">
        <v>10</v>
      </c>
      <c r="E801" s="44">
        <v>1</v>
      </c>
      <c r="F801" s="31">
        <f>TRUNC(8.63,2)</f>
        <v>8.63</v>
      </c>
      <c r="G801" s="32">
        <f t="shared" si="37"/>
        <v>8.63</v>
      </c>
      <c r="H801" s="32"/>
      <c r="I801" s="33"/>
      <c r="J801" s="33"/>
      <c r="K801" s="44"/>
    </row>
    <row r="802" spans="1:11" s="34" customFormat="1" ht="15">
      <c r="A802" s="30"/>
      <c r="B802" s="43" t="s">
        <v>2069</v>
      </c>
      <c r="C802" s="45" t="s">
        <v>646</v>
      </c>
      <c r="D802" s="46" t="s">
        <v>10</v>
      </c>
      <c r="E802" s="44">
        <v>0.0049</v>
      </c>
      <c r="F802" s="31">
        <f>TRUNC(69.83,2)</f>
        <v>69.83</v>
      </c>
      <c r="G802" s="32">
        <f t="shared" si="37"/>
        <v>0.34</v>
      </c>
      <c r="H802" s="32"/>
      <c r="I802" s="33"/>
      <c r="J802" s="33"/>
      <c r="K802" s="44"/>
    </row>
    <row r="803" spans="1:11" s="34" customFormat="1" ht="15">
      <c r="A803" s="30"/>
      <c r="B803" s="43" t="s">
        <v>1933</v>
      </c>
      <c r="C803" s="45" t="s">
        <v>417</v>
      </c>
      <c r="D803" s="46" t="s">
        <v>4</v>
      </c>
      <c r="E803" s="44">
        <v>0.035</v>
      </c>
      <c r="F803" s="31">
        <f>TRUNC(29.32,2)</f>
        <v>29.32</v>
      </c>
      <c r="G803" s="32">
        <f t="shared" si="37"/>
        <v>1.02</v>
      </c>
      <c r="H803" s="32"/>
      <c r="I803" s="33"/>
      <c r="J803" s="33"/>
      <c r="K803" s="44"/>
    </row>
    <row r="804" spans="1:11" s="34" customFormat="1" ht="30">
      <c r="A804" s="30"/>
      <c r="B804" s="43" t="s">
        <v>1974</v>
      </c>
      <c r="C804" s="45" t="s">
        <v>419</v>
      </c>
      <c r="D804" s="46" t="s">
        <v>4</v>
      </c>
      <c r="E804" s="44">
        <v>0.035</v>
      </c>
      <c r="F804" s="31">
        <f>TRUNC(22.69,2)</f>
        <v>22.69</v>
      </c>
      <c r="G804" s="32">
        <f t="shared" si="37"/>
        <v>0.79</v>
      </c>
      <c r="H804" s="32"/>
      <c r="I804" s="33"/>
      <c r="J804" s="33"/>
      <c r="K804" s="44"/>
    </row>
    <row r="805" spans="1:11" s="34" customFormat="1" ht="15">
      <c r="A805" s="30"/>
      <c r="B805" s="43"/>
      <c r="C805" s="45"/>
      <c r="D805" s="46"/>
      <c r="E805" s="44" t="s">
        <v>5</v>
      </c>
      <c r="F805" s="31"/>
      <c r="G805" s="32">
        <f>TRUNC(SUM(G799:G804),2)</f>
        <v>11.25</v>
      </c>
      <c r="H805" s="32"/>
      <c r="I805" s="33"/>
      <c r="J805" s="33"/>
      <c r="K805" s="44"/>
    </row>
    <row r="806" spans="1:11" s="107" customFormat="1" ht="30">
      <c r="A806" s="99" t="s">
        <v>1624</v>
      </c>
      <c r="B806" s="100" t="s">
        <v>2075</v>
      </c>
      <c r="C806" s="101" t="s">
        <v>709</v>
      </c>
      <c r="D806" s="102" t="s">
        <v>2</v>
      </c>
      <c r="E806" s="103">
        <v>4</v>
      </c>
      <c r="F806" s="104">
        <f>TRUNC(G813,2)</f>
        <v>12.44</v>
      </c>
      <c r="G806" s="105">
        <f>TRUNC(F806*1.2247,2)</f>
        <v>15.23</v>
      </c>
      <c r="H806" s="105">
        <f>TRUNC(F806*E806,2)</f>
        <v>49.76</v>
      </c>
      <c r="I806" s="106">
        <f>TRUNC(E806*G806,2)</f>
        <v>60.92</v>
      </c>
      <c r="J806" s="106"/>
      <c r="K806" s="103"/>
    </row>
    <row r="807" spans="1:11" s="34" customFormat="1" ht="15">
      <c r="A807" s="30"/>
      <c r="B807" s="43" t="s">
        <v>2065</v>
      </c>
      <c r="C807" s="45" t="s">
        <v>642</v>
      </c>
      <c r="D807" s="46" t="s">
        <v>10</v>
      </c>
      <c r="E807" s="44">
        <v>0.017</v>
      </c>
      <c r="F807" s="31">
        <f>TRUNC(1.72,2)</f>
        <v>1.72</v>
      </c>
      <c r="G807" s="32">
        <f aca="true" t="shared" si="38" ref="G807:G812">TRUNC(E807*F807,2)</f>
        <v>0.02</v>
      </c>
      <c r="H807" s="32"/>
      <c r="I807" s="33"/>
      <c r="J807" s="33"/>
      <c r="K807" s="44"/>
    </row>
    <row r="808" spans="1:11" s="34" customFormat="1" ht="15">
      <c r="A808" s="30"/>
      <c r="B808" s="43" t="s">
        <v>2067</v>
      </c>
      <c r="C808" s="45" t="s">
        <v>644</v>
      </c>
      <c r="D808" s="46" t="s">
        <v>10</v>
      </c>
      <c r="E808" s="44">
        <v>0.0048</v>
      </c>
      <c r="F808" s="31">
        <f>TRUNC(60.64,2)</f>
        <v>60.64</v>
      </c>
      <c r="G808" s="32">
        <f t="shared" si="38"/>
        <v>0.29</v>
      </c>
      <c r="H808" s="32"/>
      <c r="I808" s="33"/>
      <c r="J808" s="33"/>
      <c r="K808" s="44"/>
    </row>
    <row r="809" spans="1:11" s="34" customFormat="1" ht="15">
      <c r="A809" s="30"/>
      <c r="B809" s="43" t="s">
        <v>2076</v>
      </c>
      <c r="C809" s="45" t="s">
        <v>711</v>
      </c>
      <c r="D809" s="46" t="s">
        <v>2</v>
      </c>
      <c r="E809" s="44">
        <v>1.05</v>
      </c>
      <c r="F809" s="31">
        <f>TRUNC(8.86,2)</f>
        <v>8.86</v>
      </c>
      <c r="G809" s="32">
        <f t="shared" si="38"/>
        <v>9.3</v>
      </c>
      <c r="H809" s="32"/>
      <c r="I809" s="33"/>
      <c r="J809" s="33"/>
      <c r="K809" s="44"/>
    </row>
    <row r="810" spans="1:11" s="34" customFormat="1" ht="15">
      <c r="A810" s="30"/>
      <c r="B810" s="43" t="s">
        <v>2069</v>
      </c>
      <c r="C810" s="45" t="s">
        <v>646</v>
      </c>
      <c r="D810" s="46" t="s">
        <v>10</v>
      </c>
      <c r="E810" s="44">
        <v>0.0035</v>
      </c>
      <c r="F810" s="31">
        <f>TRUNC(69.83,2)</f>
        <v>69.83</v>
      </c>
      <c r="G810" s="32">
        <f t="shared" si="38"/>
        <v>0.24</v>
      </c>
      <c r="H810" s="32"/>
      <c r="I810" s="33"/>
      <c r="J810" s="33"/>
      <c r="K810" s="44"/>
    </row>
    <row r="811" spans="1:11" s="34" customFormat="1" ht="15">
      <c r="A811" s="30"/>
      <c r="B811" s="43" t="s">
        <v>1933</v>
      </c>
      <c r="C811" s="45" t="s">
        <v>417</v>
      </c>
      <c r="D811" s="46" t="s">
        <v>4</v>
      </c>
      <c r="E811" s="44">
        <v>0.05</v>
      </c>
      <c r="F811" s="31">
        <f>TRUNC(29.32,2)</f>
        <v>29.32</v>
      </c>
      <c r="G811" s="32">
        <f t="shared" si="38"/>
        <v>1.46</v>
      </c>
      <c r="H811" s="32"/>
      <c r="I811" s="33"/>
      <c r="J811" s="33"/>
      <c r="K811" s="44"/>
    </row>
    <row r="812" spans="1:11" s="34" customFormat="1" ht="30">
      <c r="A812" s="30"/>
      <c r="B812" s="43" t="s">
        <v>1974</v>
      </c>
      <c r="C812" s="45" t="s">
        <v>419</v>
      </c>
      <c r="D812" s="46" t="s">
        <v>4</v>
      </c>
      <c r="E812" s="44">
        <v>0.05</v>
      </c>
      <c r="F812" s="31">
        <f>TRUNC(22.69,2)</f>
        <v>22.69</v>
      </c>
      <c r="G812" s="32">
        <f t="shared" si="38"/>
        <v>1.13</v>
      </c>
      <c r="H812" s="32"/>
      <c r="I812" s="33"/>
      <c r="J812" s="33"/>
      <c r="K812" s="44"/>
    </row>
    <row r="813" spans="1:11" s="34" customFormat="1" ht="15">
      <c r="A813" s="30"/>
      <c r="B813" s="43"/>
      <c r="C813" s="45"/>
      <c r="D813" s="46"/>
      <c r="E813" s="44" t="s">
        <v>5</v>
      </c>
      <c r="F813" s="31"/>
      <c r="G813" s="32">
        <f>TRUNC(SUM(G807:G812),2)</f>
        <v>12.44</v>
      </c>
      <c r="H813" s="32"/>
      <c r="I813" s="33"/>
      <c r="J813" s="33"/>
      <c r="K813" s="44"/>
    </row>
    <row r="814" spans="1:11" s="107" customFormat="1" ht="30">
      <c r="A814" s="99" t="s">
        <v>1625</v>
      </c>
      <c r="B814" s="100" t="s">
        <v>2077</v>
      </c>
      <c r="C814" s="101" t="s">
        <v>713</v>
      </c>
      <c r="D814" s="102" t="s">
        <v>2</v>
      </c>
      <c r="E814" s="103">
        <v>6</v>
      </c>
      <c r="F814" s="104">
        <f>TRUNC(G821,2)</f>
        <v>20.51</v>
      </c>
      <c r="G814" s="105">
        <f>TRUNC(F814*1.2247,2)</f>
        <v>25.11</v>
      </c>
      <c r="H814" s="105">
        <f>TRUNC(F814*E814,2)</f>
        <v>123.06</v>
      </c>
      <c r="I814" s="106">
        <f>TRUNC(E814*G814,2)</f>
        <v>150.66</v>
      </c>
      <c r="J814" s="106"/>
      <c r="K814" s="103"/>
    </row>
    <row r="815" spans="1:11" s="34" customFormat="1" ht="15">
      <c r="A815" s="30"/>
      <c r="B815" s="43" t="s">
        <v>2065</v>
      </c>
      <c r="C815" s="45" t="s">
        <v>642</v>
      </c>
      <c r="D815" s="46" t="s">
        <v>10</v>
      </c>
      <c r="E815" s="44">
        <v>0.037</v>
      </c>
      <c r="F815" s="31">
        <f>TRUNC(1.72,2)</f>
        <v>1.72</v>
      </c>
      <c r="G815" s="32">
        <f aca="true" t="shared" si="39" ref="G815:G820">TRUNC(E815*F815,2)</f>
        <v>0.06</v>
      </c>
      <c r="H815" s="32"/>
      <c r="I815" s="33"/>
      <c r="J815" s="33"/>
      <c r="K815" s="44"/>
    </row>
    <row r="816" spans="1:11" s="34" customFormat="1" ht="15">
      <c r="A816" s="30"/>
      <c r="B816" s="43" t="s">
        <v>2067</v>
      </c>
      <c r="C816" s="45" t="s">
        <v>644</v>
      </c>
      <c r="D816" s="46" t="s">
        <v>10</v>
      </c>
      <c r="E816" s="44">
        <v>0.0124</v>
      </c>
      <c r="F816" s="31">
        <f>TRUNC(60.64,2)</f>
        <v>60.64</v>
      </c>
      <c r="G816" s="32">
        <f t="shared" si="39"/>
        <v>0.75</v>
      </c>
      <c r="H816" s="32"/>
      <c r="I816" s="33"/>
      <c r="J816" s="33"/>
      <c r="K816" s="44"/>
    </row>
    <row r="817" spans="1:11" s="34" customFormat="1" ht="15">
      <c r="A817" s="30"/>
      <c r="B817" s="43" t="s">
        <v>2078</v>
      </c>
      <c r="C817" s="45" t="s">
        <v>715</v>
      </c>
      <c r="D817" s="46" t="s">
        <v>2</v>
      </c>
      <c r="E817" s="44">
        <v>1.05</v>
      </c>
      <c r="F817" s="31">
        <f>TRUNC(12.8,2)</f>
        <v>12.8</v>
      </c>
      <c r="G817" s="32">
        <f t="shared" si="39"/>
        <v>13.44</v>
      </c>
      <c r="H817" s="32"/>
      <c r="I817" s="33"/>
      <c r="J817" s="33"/>
      <c r="K817" s="44"/>
    </row>
    <row r="818" spans="1:11" s="34" customFormat="1" ht="15">
      <c r="A818" s="30"/>
      <c r="B818" s="43" t="s">
        <v>2069</v>
      </c>
      <c r="C818" s="45" t="s">
        <v>646</v>
      </c>
      <c r="D818" s="46" t="s">
        <v>10</v>
      </c>
      <c r="E818" s="44">
        <v>0.008</v>
      </c>
      <c r="F818" s="31">
        <f>TRUNC(69.83,2)</f>
        <v>69.83</v>
      </c>
      <c r="G818" s="32">
        <f t="shared" si="39"/>
        <v>0.55</v>
      </c>
      <c r="H818" s="32"/>
      <c r="I818" s="33"/>
      <c r="J818" s="33"/>
      <c r="K818" s="44"/>
    </row>
    <row r="819" spans="1:11" s="34" customFormat="1" ht="15">
      <c r="A819" s="30"/>
      <c r="B819" s="43" t="s">
        <v>1933</v>
      </c>
      <c r="C819" s="45" t="s">
        <v>417</v>
      </c>
      <c r="D819" s="46" t="s">
        <v>4</v>
      </c>
      <c r="E819" s="44">
        <v>0.11</v>
      </c>
      <c r="F819" s="31">
        <f>TRUNC(29.32,2)</f>
        <v>29.32</v>
      </c>
      <c r="G819" s="32">
        <f t="shared" si="39"/>
        <v>3.22</v>
      </c>
      <c r="H819" s="32"/>
      <c r="I819" s="33"/>
      <c r="J819" s="33"/>
      <c r="K819" s="44"/>
    </row>
    <row r="820" spans="1:11" s="34" customFormat="1" ht="30">
      <c r="A820" s="30"/>
      <c r="B820" s="43" t="s">
        <v>1974</v>
      </c>
      <c r="C820" s="45" t="s">
        <v>419</v>
      </c>
      <c r="D820" s="46" t="s">
        <v>4</v>
      </c>
      <c r="E820" s="44">
        <v>0.11</v>
      </c>
      <c r="F820" s="31">
        <f>TRUNC(22.69,2)</f>
        <v>22.69</v>
      </c>
      <c r="G820" s="32">
        <f t="shared" si="39"/>
        <v>2.49</v>
      </c>
      <c r="H820" s="32"/>
      <c r="I820" s="33"/>
      <c r="J820" s="33"/>
      <c r="K820" s="44"/>
    </row>
    <row r="821" spans="1:11" s="34" customFormat="1" ht="15">
      <c r="A821" s="30"/>
      <c r="B821" s="43"/>
      <c r="C821" s="45"/>
      <c r="D821" s="46"/>
      <c r="E821" s="44" t="s">
        <v>5</v>
      </c>
      <c r="F821" s="31"/>
      <c r="G821" s="32">
        <f>TRUNC(SUM(G815:G820),2)</f>
        <v>20.51</v>
      </c>
      <c r="H821" s="32"/>
      <c r="I821" s="33"/>
      <c r="J821" s="33"/>
      <c r="K821" s="44"/>
    </row>
    <row r="822" spans="1:11" s="107" customFormat="1" ht="60">
      <c r="A822" s="99" t="s">
        <v>1626</v>
      </c>
      <c r="B822" s="100" t="s">
        <v>2079</v>
      </c>
      <c r="C822" s="101" t="s">
        <v>977</v>
      </c>
      <c r="D822" s="102" t="s">
        <v>2</v>
      </c>
      <c r="E822" s="103">
        <v>96</v>
      </c>
      <c r="F822" s="104">
        <f>TRUNC(G834,2)</f>
        <v>62.46</v>
      </c>
      <c r="G822" s="105">
        <f>TRUNC(F822*1.2247,2)</f>
        <v>76.49</v>
      </c>
      <c r="H822" s="105">
        <f>TRUNC(F822*E822,2)</f>
        <v>5996.16</v>
      </c>
      <c r="I822" s="106">
        <f>TRUNC(E822*G822,2)</f>
        <v>7343.04</v>
      </c>
      <c r="J822" s="106"/>
      <c r="K822" s="103"/>
    </row>
    <row r="823" spans="1:11" s="34" customFormat="1" ht="30">
      <c r="A823" s="30"/>
      <c r="B823" s="43" t="s">
        <v>2080</v>
      </c>
      <c r="C823" s="45" t="s">
        <v>2081</v>
      </c>
      <c r="D823" s="46" t="s">
        <v>10</v>
      </c>
      <c r="E823" s="44">
        <v>0.2596</v>
      </c>
      <c r="F823" s="31">
        <f>TRUNC(5.59,2)</f>
        <v>5.59</v>
      </c>
      <c r="G823" s="32">
        <f aca="true" t="shared" si="40" ref="G823:G833">TRUNC(E823*F823,2)</f>
        <v>1.45</v>
      </c>
      <c r="H823" s="32"/>
      <c r="I823" s="33"/>
      <c r="J823" s="33"/>
      <c r="K823" s="44"/>
    </row>
    <row r="824" spans="1:11" s="34" customFormat="1" ht="45">
      <c r="A824" s="30"/>
      <c r="B824" s="43" t="s">
        <v>2082</v>
      </c>
      <c r="C824" s="45" t="s">
        <v>2083</v>
      </c>
      <c r="D824" s="46" t="s">
        <v>2</v>
      </c>
      <c r="E824" s="44">
        <v>0.8022</v>
      </c>
      <c r="F824" s="31">
        <f>TRUNC(8.04,2)</f>
        <v>8.04</v>
      </c>
      <c r="G824" s="32">
        <f t="shared" si="40"/>
        <v>6.44</v>
      </c>
      <c r="H824" s="32"/>
      <c r="I824" s="33"/>
      <c r="J824" s="33"/>
      <c r="K824" s="44"/>
    </row>
    <row r="825" spans="1:11" s="34" customFormat="1" ht="30">
      <c r="A825" s="30"/>
      <c r="B825" s="43" t="s">
        <v>2084</v>
      </c>
      <c r="C825" s="45" t="s">
        <v>2085</v>
      </c>
      <c r="D825" s="46" t="s">
        <v>2</v>
      </c>
      <c r="E825" s="44">
        <v>0.2609</v>
      </c>
      <c r="F825" s="31">
        <f>TRUNC(14.38,2)</f>
        <v>14.38</v>
      </c>
      <c r="G825" s="32">
        <f t="shared" si="40"/>
        <v>3.75</v>
      </c>
      <c r="H825" s="32"/>
      <c r="I825" s="33"/>
      <c r="J825" s="33"/>
      <c r="K825" s="44"/>
    </row>
    <row r="826" spans="1:11" s="34" customFormat="1" ht="30">
      <c r="A826" s="30"/>
      <c r="B826" s="43" t="s">
        <v>2086</v>
      </c>
      <c r="C826" s="45" t="s">
        <v>2087</v>
      </c>
      <c r="D826" s="46" t="s">
        <v>10</v>
      </c>
      <c r="E826" s="44">
        <v>0.2222</v>
      </c>
      <c r="F826" s="31">
        <f>TRUNC(3.02,2)</f>
        <v>3.02</v>
      </c>
      <c r="G826" s="32">
        <f t="shared" si="40"/>
        <v>0.67</v>
      </c>
      <c r="H826" s="32"/>
      <c r="I826" s="33"/>
      <c r="J826" s="33"/>
      <c r="K826" s="44"/>
    </row>
    <row r="827" spans="1:11" s="34" customFormat="1" ht="30">
      <c r="A827" s="30"/>
      <c r="B827" s="43" t="s">
        <v>2088</v>
      </c>
      <c r="C827" s="45" t="s">
        <v>2089</v>
      </c>
      <c r="D827" s="46" t="s">
        <v>2</v>
      </c>
      <c r="E827" s="44">
        <v>0.2609</v>
      </c>
      <c r="F827" s="31">
        <f>TRUNC(14.74,2)</f>
        <v>14.74</v>
      </c>
      <c r="G827" s="32">
        <f t="shared" si="40"/>
        <v>3.84</v>
      </c>
      <c r="H827" s="32"/>
      <c r="I827" s="33"/>
      <c r="J827" s="33"/>
      <c r="K827" s="44"/>
    </row>
    <row r="828" spans="1:11" s="34" customFormat="1" ht="30">
      <c r="A828" s="30"/>
      <c r="B828" s="43" t="s">
        <v>2090</v>
      </c>
      <c r="C828" s="45" t="s">
        <v>2091</v>
      </c>
      <c r="D828" s="46" t="s">
        <v>10</v>
      </c>
      <c r="E828" s="44">
        <v>0.2596</v>
      </c>
      <c r="F828" s="31">
        <f>TRUNC(16.22,2)</f>
        <v>16.22</v>
      </c>
      <c r="G828" s="32">
        <f t="shared" si="40"/>
        <v>4.21</v>
      </c>
      <c r="H828" s="32"/>
      <c r="I828" s="33"/>
      <c r="J828" s="33"/>
      <c r="K828" s="44"/>
    </row>
    <row r="829" spans="1:11" s="34" customFormat="1" ht="45">
      <c r="A829" s="30"/>
      <c r="B829" s="43" t="s">
        <v>2092</v>
      </c>
      <c r="C829" s="45" t="s">
        <v>2093</v>
      </c>
      <c r="D829" s="46" t="s">
        <v>10</v>
      </c>
      <c r="E829" s="44">
        <v>0.3116</v>
      </c>
      <c r="F829" s="31">
        <f>TRUNC(12.9,2)</f>
        <v>12.9</v>
      </c>
      <c r="G829" s="32">
        <f t="shared" si="40"/>
        <v>4.01</v>
      </c>
      <c r="H829" s="32"/>
      <c r="I829" s="33"/>
      <c r="J829" s="33"/>
      <c r="K829" s="44"/>
    </row>
    <row r="830" spans="1:11" s="34" customFormat="1" ht="45">
      <c r="A830" s="30"/>
      <c r="B830" s="43" t="s">
        <v>2094</v>
      </c>
      <c r="C830" s="45" t="s">
        <v>2095</v>
      </c>
      <c r="D830" s="46" t="s">
        <v>10</v>
      </c>
      <c r="E830" s="44">
        <v>0.2924</v>
      </c>
      <c r="F830" s="31">
        <f>TRUNC(6.54,2)</f>
        <v>6.54</v>
      </c>
      <c r="G830" s="32">
        <f t="shared" si="40"/>
        <v>1.91</v>
      </c>
      <c r="H830" s="32"/>
      <c r="I830" s="33"/>
      <c r="J830" s="33"/>
      <c r="K830" s="44"/>
    </row>
    <row r="831" spans="1:11" s="34" customFormat="1" ht="45">
      <c r="A831" s="30"/>
      <c r="B831" s="43" t="s">
        <v>2096</v>
      </c>
      <c r="C831" s="45" t="s">
        <v>2097</v>
      </c>
      <c r="D831" s="46" t="s">
        <v>10</v>
      </c>
      <c r="E831" s="44">
        <v>0.7691</v>
      </c>
      <c r="F831" s="31">
        <f>TRUNC(7.84,2)</f>
        <v>7.84</v>
      </c>
      <c r="G831" s="32">
        <f t="shared" si="40"/>
        <v>6.02</v>
      </c>
      <c r="H831" s="32"/>
      <c r="I831" s="33"/>
      <c r="J831" s="33"/>
      <c r="K831" s="44"/>
    </row>
    <row r="832" spans="1:11" s="34" customFormat="1" ht="45">
      <c r="A832" s="30"/>
      <c r="B832" s="43" t="s">
        <v>2098</v>
      </c>
      <c r="C832" s="45" t="s">
        <v>2099</v>
      </c>
      <c r="D832" s="46" t="s">
        <v>10</v>
      </c>
      <c r="E832" s="44">
        <v>0.8584</v>
      </c>
      <c r="F832" s="31">
        <f>TRUNC(10.42,2)</f>
        <v>10.42</v>
      </c>
      <c r="G832" s="32">
        <f t="shared" si="40"/>
        <v>8.94</v>
      </c>
      <c r="H832" s="32"/>
      <c r="I832" s="33"/>
      <c r="J832" s="33"/>
      <c r="K832" s="44"/>
    </row>
    <row r="833" spans="1:11" s="34" customFormat="1" ht="45">
      <c r="A833" s="30"/>
      <c r="B833" s="43" t="s">
        <v>2100</v>
      </c>
      <c r="C833" s="45" t="s">
        <v>2101</v>
      </c>
      <c r="D833" s="46" t="s">
        <v>2</v>
      </c>
      <c r="E833" s="44">
        <v>1</v>
      </c>
      <c r="F833" s="31">
        <f>TRUNC(21.22,2)</f>
        <v>21.22</v>
      </c>
      <c r="G833" s="32">
        <f t="shared" si="40"/>
        <v>21.22</v>
      </c>
      <c r="H833" s="32"/>
      <c r="I833" s="33"/>
      <c r="J833" s="33"/>
      <c r="K833" s="44"/>
    </row>
    <row r="834" spans="1:11" s="34" customFormat="1" ht="15">
      <c r="A834" s="30"/>
      <c r="B834" s="43"/>
      <c r="C834" s="45"/>
      <c r="D834" s="46"/>
      <c r="E834" s="44" t="s">
        <v>5</v>
      </c>
      <c r="F834" s="31"/>
      <c r="G834" s="32">
        <f>TRUNC(SUM(G823:G833),2)</f>
        <v>62.46</v>
      </c>
      <c r="H834" s="32"/>
      <c r="I834" s="33"/>
      <c r="J834" s="33"/>
      <c r="K834" s="44"/>
    </row>
    <row r="835" spans="1:11" s="107" customFormat="1" ht="60">
      <c r="A835" s="99" t="s">
        <v>1627</v>
      </c>
      <c r="B835" s="100" t="s">
        <v>2102</v>
      </c>
      <c r="C835" s="101" t="s">
        <v>1001</v>
      </c>
      <c r="D835" s="102" t="s">
        <v>2</v>
      </c>
      <c r="E835" s="103">
        <v>102</v>
      </c>
      <c r="F835" s="104">
        <f>TRUNC(G848,2)</f>
        <v>91.11</v>
      </c>
      <c r="G835" s="105">
        <f>TRUNC(F835*1.2247,2)</f>
        <v>111.58</v>
      </c>
      <c r="H835" s="105">
        <f>TRUNC(F835*E835,2)</f>
        <v>9293.22</v>
      </c>
      <c r="I835" s="106">
        <f>TRUNC(E835*G835,2)</f>
        <v>11381.16</v>
      </c>
      <c r="J835" s="106"/>
      <c r="K835" s="103"/>
    </row>
    <row r="836" spans="1:11" s="34" customFormat="1" ht="30">
      <c r="A836" s="30"/>
      <c r="B836" s="43" t="s">
        <v>2103</v>
      </c>
      <c r="C836" s="45" t="s">
        <v>2104</v>
      </c>
      <c r="D836" s="46" t="s">
        <v>2</v>
      </c>
      <c r="E836" s="44">
        <v>0.1074</v>
      </c>
      <c r="F836" s="31">
        <f>TRUNC(15.88,2)</f>
        <v>15.88</v>
      </c>
      <c r="G836" s="32">
        <f aca="true" t="shared" si="41" ref="G836:G847">TRUNC(E836*F836,2)</f>
        <v>1.7</v>
      </c>
      <c r="H836" s="32"/>
      <c r="I836" s="33"/>
      <c r="J836" s="33"/>
      <c r="K836" s="44"/>
    </row>
    <row r="837" spans="1:11" s="34" customFormat="1" ht="30">
      <c r="A837" s="30"/>
      <c r="B837" s="43" t="s">
        <v>2105</v>
      </c>
      <c r="C837" s="45" t="s">
        <v>2106</v>
      </c>
      <c r="D837" s="46" t="s">
        <v>10</v>
      </c>
      <c r="E837" s="44">
        <v>0.1718</v>
      </c>
      <c r="F837" s="31">
        <f>TRUNC(5.94,2)</f>
        <v>5.94</v>
      </c>
      <c r="G837" s="32">
        <f t="shared" si="41"/>
        <v>1.02</v>
      </c>
      <c r="H837" s="32"/>
      <c r="I837" s="33"/>
      <c r="J837" s="33"/>
      <c r="K837" s="44"/>
    </row>
    <row r="838" spans="1:11" s="34" customFormat="1" ht="60">
      <c r="A838" s="30"/>
      <c r="B838" s="43" t="s">
        <v>2107</v>
      </c>
      <c r="C838" s="45" t="s">
        <v>2108</v>
      </c>
      <c r="D838" s="46" t="s">
        <v>2</v>
      </c>
      <c r="E838" s="44">
        <v>0.0353</v>
      </c>
      <c r="F838" s="31">
        <f>TRUNC(6.57,2)</f>
        <v>6.57</v>
      </c>
      <c r="G838" s="32">
        <f t="shared" si="41"/>
        <v>0.23</v>
      </c>
      <c r="H838" s="32"/>
      <c r="I838" s="33"/>
      <c r="J838" s="33"/>
      <c r="K838" s="44"/>
    </row>
    <row r="839" spans="1:11" s="34" customFormat="1" ht="45">
      <c r="A839" s="30"/>
      <c r="B839" s="43" t="s">
        <v>2109</v>
      </c>
      <c r="C839" s="45" t="s">
        <v>2110</v>
      </c>
      <c r="D839" s="46" t="s">
        <v>2</v>
      </c>
      <c r="E839" s="44">
        <v>0.1074</v>
      </c>
      <c r="F839" s="31">
        <f>TRUNC(22.73,2)</f>
        <v>22.73</v>
      </c>
      <c r="G839" s="32">
        <f t="shared" si="41"/>
        <v>2.44</v>
      </c>
      <c r="H839" s="32"/>
      <c r="I839" s="33"/>
      <c r="J839" s="33"/>
      <c r="K839" s="44"/>
    </row>
    <row r="840" spans="1:11" s="34" customFormat="1" ht="30">
      <c r="A840" s="30"/>
      <c r="B840" s="43" t="s">
        <v>2111</v>
      </c>
      <c r="C840" s="45" t="s">
        <v>2112</v>
      </c>
      <c r="D840" s="46" t="s">
        <v>10</v>
      </c>
      <c r="E840" s="44">
        <v>0.0421</v>
      </c>
      <c r="F840" s="31">
        <f>TRUNC(5.33,2)</f>
        <v>5.33</v>
      </c>
      <c r="G840" s="32">
        <f t="shared" si="41"/>
        <v>0.22</v>
      </c>
      <c r="H840" s="32"/>
      <c r="I840" s="33"/>
      <c r="J840" s="33"/>
      <c r="K840" s="44"/>
    </row>
    <row r="841" spans="1:11" s="34" customFormat="1" ht="30">
      <c r="A841" s="30"/>
      <c r="B841" s="43" t="s">
        <v>2113</v>
      </c>
      <c r="C841" s="45" t="s">
        <v>2114</v>
      </c>
      <c r="D841" s="46" t="s">
        <v>10</v>
      </c>
      <c r="E841" s="44">
        <v>0.1718</v>
      </c>
      <c r="F841" s="31">
        <f>TRUNC(39.42,2)</f>
        <v>39.42</v>
      </c>
      <c r="G841" s="32">
        <f t="shared" si="41"/>
        <v>6.77</v>
      </c>
      <c r="H841" s="32"/>
      <c r="I841" s="33"/>
      <c r="J841" s="33"/>
      <c r="K841" s="44"/>
    </row>
    <row r="842" spans="1:11" s="34" customFormat="1" ht="45">
      <c r="A842" s="30"/>
      <c r="B842" s="43" t="s">
        <v>2115</v>
      </c>
      <c r="C842" s="45" t="s">
        <v>2116</v>
      </c>
      <c r="D842" s="46" t="s">
        <v>10</v>
      </c>
      <c r="E842" s="44">
        <v>0.0278</v>
      </c>
      <c r="F842" s="31">
        <f>TRUNC(6.59,2)</f>
        <v>6.59</v>
      </c>
      <c r="G842" s="32">
        <f t="shared" si="41"/>
        <v>0.18</v>
      </c>
      <c r="H842" s="32"/>
      <c r="I842" s="33"/>
      <c r="J842" s="33"/>
      <c r="K842" s="44"/>
    </row>
    <row r="843" spans="1:11" s="34" customFormat="1" ht="45">
      <c r="A843" s="30"/>
      <c r="B843" s="43" t="s">
        <v>2117</v>
      </c>
      <c r="C843" s="45" t="s">
        <v>2118</v>
      </c>
      <c r="D843" s="46" t="s">
        <v>10</v>
      </c>
      <c r="E843" s="44">
        <v>0.07</v>
      </c>
      <c r="F843" s="31">
        <f>TRUNC(20.21,2)</f>
        <v>20.21</v>
      </c>
      <c r="G843" s="32">
        <f t="shared" si="41"/>
        <v>1.41</v>
      </c>
      <c r="H843" s="32"/>
      <c r="I843" s="33"/>
      <c r="J843" s="33"/>
      <c r="K843" s="44"/>
    </row>
    <row r="844" spans="1:11" s="34" customFormat="1" ht="45">
      <c r="A844" s="30"/>
      <c r="B844" s="43" t="s">
        <v>2119</v>
      </c>
      <c r="C844" s="45" t="s">
        <v>2120</v>
      </c>
      <c r="D844" s="46" t="s">
        <v>10</v>
      </c>
      <c r="E844" s="44">
        <v>1.2919</v>
      </c>
      <c r="F844" s="31">
        <f>TRUNC(9.19,2)</f>
        <v>9.19</v>
      </c>
      <c r="G844" s="32">
        <f t="shared" si="41"/>
        <v>11.87</v>
      </c>
      <c r="H844" s="32"/>
      <c r="I844" s="33"/>
      <c r="J844" s="33"/>
      <c r="K844" s="44"/>
    </row>
    <row r="845" spans="1:11" s="34" customFormat="1" ht="45">
      <c r="A845" s="30"/>
      <c r="B845" s="43" t="s">
        <v>2121</v>
      </c>
      <c r="C845" s="45" t="s">
        <v>2122</v>
      </c>
      <c r="D845" s="46" t="s">
        <v>10</v>
      </c>
      <c r="E845" s="44">
        <v>1.4991</v>
      </c>
      <c r="F845" s="31">
        <f>TRUNC(12.03,2)</f>
        <v>12.03</v>
      </c>
      <c r="G845" s="32">
        <f t="shared" si="41"/>
        <v>18.03</v>
      </c>
      <c r="H845" s="32"/>
      <c r="I845" s="33"/>
      <c r="J845" s="33"/>
      <c r="K845" s="44"/>
    </row>
    <row r="846" spans="1:11" s="34" customFormat="1" ht="45">
      <c r="A846" s="30"/>
      <c r="B846" s="43" t="s">
        <v>2123</v>
      </c>
      <c r="C846" s="45" t="s">
        <v>2124</v>
      </c>
      <c r="D846" s="46" t="s">
        <v>10</v>
      </c>
      <c r="E846" s="44">
        <v>1.4223</v>
      </c>
      <c r="F846" s="31">
        <f>TRUNC(11.42,2)</f>
        <v>11.42</v>
      </c>
      <c r="G846" s="32">
        <f t="shared" si="41"/>
        <v>16.24</v>
      </c>
      <c r="H846" s="32"/>
      <c r="I846" s="33"/>
      <c r="J846" s="33"/>
      <c r="K846" s="44"/>
    </row>
    <row r="847" spans="1:11" s="34" customFormat="1" ht="45">
      <c r="A847" s="30"/>
      <c r="B847" s="43" t="s">
        <v>2125</v>
      </c>
      <c r="C847" s="45" t="s">
        <v>2126</v>
      </c>
      <c r="D847" s="46" t="s">
        <v>2</v>
      </c>
      <c r="E847" s="44">
        <v>1</v>
      </c>
      <c r="F847" s="31">
        <f>TRUNC(31,2)</f>
        <v>31</v>
      </c>
      <c r="G847" s="32">
        <f t="shared" si="41"/>
        <v>31</v>
      </c>
      <c r="H847" s="32"/>
      <c r="I847" s="33"/>
      <c r="J847" s="33"/>
      <c r="K847" s="44"/>
    </row>
    <row r="848" spans="1:11" s="34" customFormat="1" ht="15">
      <c r="A848" s="30"/>
      <c r="B848" s="43"/>
      <c r="C848" s="45"/>
      <c r="D848" s="46"/>
      <c r="E848" s="44" t="s">
        <v>5</v>
      </c>
      <c r="F848" s="31"/>
      <c r="G848" s="32">
        <f>TRUNC(SUM(G836:G847),2)</f>
        <v>91.11</v>
      </c>
      <c r="H848" s="32"/>
      <c r="I848" s="33"/>
      <c r="J848" s="33"/>
      <c r="K848" s="44"/>
    </row>
    <row r="849" spans="1:11" s="107" customFormat="1" ht="60">
      <c r="A849" s="99" t="s">
        <v>1628</v>
      </c>
      <c r="B849" s="100" t="s">
        <v>2127</v>
      </c>
      <c r="C849" s="101" t="s">
        <v>1027</v>
      </c>
      <c r="D849" s="102" t="s">
        <v>2</v>
      </c>
      <c r="E849" s="103">
        <v>48</v>
      </c>
      <c r="F849" s="104">
        <f>TRUNC(G866,2)</f>
        <v>41.8</v>
      </c>
      <c r="G849" s="105">
        <f>TRUNC(F849*1.2247,2)</f>
        <v>51.19</v>
      </c>
      <c r="H849" s="105">
        <f>TRUNC(F849*E849,2)</f>
        <v>2006.4</v>
      </c>
      <c r="I849" s="106">
        <f>TRUNC(E849*G849,2)</f>
        <v>2457.12</v>
      </c>
      <c r="J849" s="106"/>
      <c r="K849" s="103"/>
    </row>
    <row r="850" spans="1:11" s="34" customFormat="1" ht="45">
      <c r="A850" s="30"/>
      <c r="B850" s="43" t="s">
        <v>2128</v>
      </c>
      <c r="C850" s="45" t="s">
        <v>2129</v>
      </c>
      <c r="D850" s="46" t="s">
        <v>10</v>
      </c>
      <c r="E850" s="44">
        <v>0.0065</v>
      </c>
      <c r="F850" s="31">
        <f>TRUNC(26.17,2)</f>
        <v>26.17</v>
      </c>
      <c r="G850" s="32">
        <f aca="true" t="shared" si="42" ref="G850:G865">TRUNC(E850*F850,2)</f>
        <v>0.17</v>
      </c>
      <c r="H850" s="32"/>
      <c r="I850" s="33"/>
      <c r="J850" s="33"/>
      <c r="K850" s="44"/>
    </row>
    <row r="851" spans="1:11" s="34" customFormat="1" ht="45">
      <c r="A851" s="30"/>
      <c r="B851" s="43" t="s">
        <v>2130</v>
      </c>
      <c r="C851" s="45" t="s">
        <v>2131</v>
      </c>
      <c r="D851" s="46" t="s">
        <v>10</v>
      </c>
      <c r="E851" s="44">
        <v>0.0635</v>
      </c>
      <c r="F851" s="31">
        <f>TRUNC(19.47,2)</f>
        <v>19.47</v>
      </c>
      <c r="G851" s="32">
        <f t="shared" si="42"/>
        <v>1.23</v>
      </c>
      <c r="H851" s="32"/>
      <c r="I851" s="33"/>
      <c r="J851" s="33"/>
      <c r="K851" s="44"/>
    </row>
    <row r="852" spans="1:11" s="34" customFormat="1" ht="45">
      <c r="A852" s="30"/>
      <c r="B852" s="43" t="s">
        <v>2132</v>
      </c>
      <c r="C852" s="45" t="s">
        <v>2133</v>
      </c>
      <c r="D852" s="46" t="s">
        <v>10</v>
      </c>
      <c r="E852" s="44">
        <v>0.0721</v>
      </c>
      <c r="F852" s="31">
        <f>TRUNC(20.33,2)</f>
        <v>20.33</v>
      </c>
      <c r="G852" s="32">
        <f t="shared" si="42"/>
        <v>1.46</v>
      </c>
      <c r="H852" s="32"/>
      <c r="I852" s="33"/>
      <c r="J852" s="33"/>
      <c r="K852" s="44"/>
    </row>
    <row r="853" spans="1:11" s="34" customFormat="1" ht="45">
      <c r="A853" s="30"/>
      <c r="B853" s="43" t="s">
        <v>2134</v>
      </c>
      <c r="C853" s="45" t="s">
        <v>2135</v>
      </c>
      <c r="D853" s="46" t="s">
        <v>10</v>
      </c>
      <c r="E853" s="44">
        <v>0.0422</v>
      </c>
      <c r="F853" s="31">
        <f>TRUNC(15.28,2)</f>
        <v>15.28</v>
      </c>
      <c r="G853" s="32">
        <f t="shared" si="42"/>
        <v>0.64</v>
      </c>
      <c r="H853" s="32"/>
      <c r="I853" s="33"/>
      <c r="J853" s="33"/>
      <c r="K853" s="44"/>
    </row>
    <row r="854" spans="1:11" s="34" customFormat="1" ht="45">
      <c r="A854" s="30"/>
      <c r="B854" s="43" t="s">
        <v>2136</v>
      </c>
      <c r="C854" s="45" t="s">
        <v>2137</v>
      </c>
      <c r="D854" s="46" t="s">
        <v>10</v>
      </c>
      <c r="E854" s="44">
        <v>0.0204</v>
      </c>
      <c r="F854" s="31">
        <f>TRUNC(33.25,2)</f>
        <v>33.25</v>
      </c>
      <c r="G854" s="32">
        <f t="shared" si="42"/>
        <v>0.67</v>
      </c>
      <c r="H854" s="32"/>
      <c r="I854" s="33"/>
      <c r="J854" s="33"/>
      <c r="K854" s="44"/>
    </row>
    <row r="855" spans="1:11" s="34" customFormat="1" ht="45">
      <c r="A855" s="30"/>
      <c r="B855" s="43" t="s">
        <v>2138</v>
      </c>
      <c r="C855" s="45" t="s">
        <v>2139</v>
      </c>
      <c r="D855" s="46" t="s">
        <v>10</v>
      </c>
      <c r="E855" s="44">
        <v>0.0278</v>
      </c>
      <c r="F855" s="31">
        <f>TRUNC(35.64,2)</f>
        <v>35.64</v>
      </c>
      <c r="G855" s="32">
        <f t="shared" si="42"/>
        <v>0.99</v>
      </c>
      <c r="H855" s="32"/>
      <c r="I855" s="33"/>
      <c r="J855" s="33"/>
      <c r="K855" s="44"/>
    </row>
    <row r="856" spans="1:11" s="34" customFormat="1" ht="45">
      <c r="A856" s="30"/>
      <c r="B856" s="43" t="s">
        <v>2140</v>
      </c>
      <c r="C856" s="45" t="s">
        <v>2141</v>
      </c>
      <c r="D856" s="46" t="s">
        <v>2</v>
      </c>
      <c r="E856" s="44">
        <v>0.1099</v>
      </c>
      <c r="F856" s="31">
        <f>TRUNC(46.92,2)</f>
        <v>46.92</v>
      </c>
      <c r="G856" s="32">
        <f t="shared" si="42"/>
        <v>5.15</v>
      </c>
      <c r="H856" s="32"/>
      <c r="I856" s="33"/>
      <c r="J856" s="33"/>
      <c r="K856" s="44"/>
    </row>
    <row r="857" spans="1:11" s="34" customFormat="1" ht="45">
      <c r="A857" s="30"/>
      <c r="B857" s="43" t="s">
        <v>2142</v>
      </c>
      <c r="C857" s="45" t="s">
        <v>2143</v>
      </c>
      <c r="D857" s="46" t="s">
        <v>10</v>
      </c>
      <c r="E857" s="44">
        <v>0.0242</v>
      </c>
      <c r="F857" s="31">
        <f>TRUNC(14.6,2)</f>
        <v>14.6</v>
      </c>
      <c r="G857" s="32">
        <f t="shared" si="42"/>
        <v>0.35</v>
      </c>
      <c r="H857" s="32"/>
      <c r="I857" s="33"/>
      <c r="J857" s="33"/>
      <c r="K857" s="44"/>
    </row>
    <row r="858" spans="1:11" s="34" customFormat="1" ht="30">
      <c r="A858" s="30"/>
      <c r="B858" s="43" t="s">
        <v>2105</v>
      </c>
      <c r="C858" s="45" t="s">
        <v>2106</v>
      </c>
      <c r="D858" s="46" t="s">
        <v>10</v>
      </c>
      <c r="E858" s="44">
        <v>0.0984</v>
      </c>
      <c r="F858" s="31">
        <f>TRUNC(5.94,2)</f>
        <v>5.94</v>
      </c>
      <c r="G858" s="32">
        <f t="shared" si="42"/>
        <v>0.58</v>
      </c>
      <c r="H858" s="32"/>
      <c r="I858" s="33"/>
      <c r="J858" s="33"/>
      <c r="K858" s="44"/>
    </row>
    <row r="859" spans="1:11" s="34" customFormat="1" ht="45">
      <c r="A859" s="30"/>
      <c r="B859" s="43" t="s">
        <v>2144</v>
      </c>
      <c r="C859" s="45" t="s">
        <v>2145</v>
      </c>
      <c r="D859" s="46" t="s">
        <v>10</v>
      </c>
      <c r="E859" s="44">
        <v>0.2329</v>
      </c>
      <c r="F859" s="31">
        <f>TRUNC(11.64,2)</f>
        <v>11.64</v>
      </c>
      <c r="G859" s="32">
        <f t="shared" si="42"/>
        <v>2.71</v>
      </c>
      <c r="H859" s="32"/>
      <c r="I859" s="33"/>
      <c r="J859" s="33"/>
      <c r="K859" s="44"/>
    </row>
    <row r="860" spans="1:11" s="34" customFormat="1" ht="45">
      <c r="A860" s="30"/>
      <c r="B860" s="43" t="s">
        <v>2146</v>
      </c>
      <c r="C860" s="45" t="s">
        <v>2147</v>
      </c>
      <c r="D860" s="46" t="s">
        <v>10</v>
      </c>
      <c r="E860" s="44">
        <v>0.0399</v>
      </c>
      <c r="F860" s="31">
        <f>TRUNC(25.96,2)</f>
        <v>25.96</v>
      </c>
      <c r="G860" s="32">
        <f t="shared" si="42"/>
        <v>1.03</v>
      </c>
      <c r="H860" s="32"/>
      <c r="I860" s="33"/>
      <c r="J860" s="33"/>
      <c r="K860" s="44"/>
    </row>
    <row r="861" spans="1:11" s="34" customFormat="1" ht="45">
      <c r="A861" s="30"/>
      <c r="B861" s="43" t="s">
        <v>2148</v>
      </c>
      <c r="C861" s="45" t="s">
        <v>2149</v>
      </c>
      <c r="D861" s="46" t="s">
        <v>10</v>
      </c>
      <c r="E861" s="44">
        <v>0.126</v>
      </c>
      <c r="F861" s="31">
        <f>TRUNC(28.35,2)</f>
        <v>28.35</v>
      </c>
      <c r="G861" s="32">
        <f t="shared" si="42"/>
        <v>3.57</v>
      </c>
      <c r="H861" s="32"/>
      <c r="I861" s="33"/>
      <c r="J861" s="33"/>
      <c r="K861" s="44"/>
    </row>
    <row r="862" spans="1:11" s="34" customFormat="1" ht="30">
      <c r="A862" s="30"/>
      <c r="B862" s="43" t="s">
        <v>2113</v>
      </c>
      <c r="C862" s="45" t="s">
        <v>2114</v>
      </c>
      <c r="D862" s="46" t="s">
        <v>10</v>
      </c>
      <c r="E862" s="44">
        <v>0.0984</v>
      </c>
      <c r="F862" s="31">
        <f>TRUNC(39.42,2)</f>
        <v>39.42</v>
      </c>
      <c r="G862" s="32">
        <f t="shared" si="42"/>
        <v>3.87</v>
      </c>
      <c r="H862" s="32"/>
      <c r="I862" s="33"/>
      <c r="J862" s="33"/>
      <c r="K862" s="44"/>
    </row>
    <row r="863" spans="1:11" s="34" customFormat="1" ht="30">
      <c r="A863" s="30"/>
      <c r="B863" s="43" t="s">
        <v>2111</v>
      </c>
      <c r="C863" s="45" t="s">
        <v>2112</v>
      </c>
      <c r="D863" s="46" t="s">
        <v>10</v>
      </c>
      <c r="E863" s="44">
        <v>0.1661</v>
      </c>
      <c r="F863" s="31">
        <f>TRUNC(5.33,2)</f>
        <v>5.33</v>
      </c>
      <c r="G863" s="32">
        <f t="shared" si="42"/>
        <v>0.88</v>
      </c>
      <c r="H863" s="32"/>
      <c r="I863" s="33"/>
      <c r="J863" s="33"/>
      <c r="K863" s="44"/>
    </row>
    <row r="864" spans="1:11" s="34" customFormat="1" ht="60">
      <c r="A864" s="30"/>
      <c r="B864" s="43" t="s">
        <v>2107</v>
      </c>
      <c r="C864" s="45" t="s">
        <v>2108</v>
      </c>
      <c r="D864" s="46" t="s">
        <v>2</v>
      </c>
      <c r="E864" s="44">
        <v>0.0382</v>
      </c>
      <c r="F864" s="31">
        <f>TRUNC(6.57,2)</f>
        <v>6.57</v>
      </c>
      <c r="G864" s="32">
        <f t="shared" si="42"/>
        <v>0.25</v>
      </c>
      <c r="H864" s="32"/>
      <c r="I864" s="33"/>
      <c r="J864" s="33"/>
      <c r="K864" s="44"/>
    </row>
    <row r="865" spans="1:11" s="34" customFormat="1" ht="30">
      <c r="A865" s="30"/>
      <c r="B865" s="43" t="s">
        <v>2077</v>
      </c>
      <c r="C865" s="45" t="s">
        <v>2150</v>
      </c>
      <c r="D865" s="46" t="s">
        <v>2</v>
      </c>
      <c r="E865" s="44">
        <v>0.8901</v>
      </c>
      <c r="F865" s="31">
        <f>TRUNC(20.51,2)</f>
        <v>20.51</v>
      </c>
      <c r="G865" s="32">
        <f t="shared" si="42"/>
        <v>18.25</v>
      </c>
      <c r="H865" s="32"/>
      <c r="I865" s="33"/>
      <c r="J865" s="33"/>
      <c r="K865" s="44"/>
    </row>
    <row r="866" spans="1:11" s="34" customFormat="1" ht="15">
      <c r="A866" s="30"/>
      <c r="B866" s="43"/>
      <c r="C866" s="45"/>
      <c r="D866" s="46"/>
      <c r="E866" s="44" t="s">
        <v>5</v>
      </c>
      <c r="F866" s="31"/>
      <c r="G866" s="32">
        <f>TRUNC(SUM(G850:G865),2)</f>
        <v>41.8</v>
      </c>
      <c r="H866" s="32"/>
      <c r="I866" s="33"/>
      <c r="J866" s="33"/>
      <c r="K866" s="44"/>
    </row>
    <row r="867" spans="1:11" s="107" customFormat="1" ht="60">
      <c r="A867" s="99" t="s">
        <v>1629</v>
      </c>
      <c r="B867" s="100" t="s">
        <v>2151</v>
      </c>
      <c r="C867" s="101" t="s">
        <v>1064</v>
      </c>
      <c r="D867" s="102" t="s">
        <v>2</v>
      </c>
      <c r="E867" s="103">
        <v>192</v>
      </c>
      <c r="F867" s="104">
        <f>TRUNC(G887,2)</f>
        <v>70.74</v>
      </c>
      <c r="G867" s="105">
        <f>TRUNC(F867*1.2247,2)</f>
        <v>86.63</v>
      </c>
      <c r="H867" s="105">
        <f>TRUNC(F867*E867,2)</f>
        <v>13582.08</v>
      </c>
      <c r="I867" s="106">
        <f>TRUNC(E867*G867,2)</f>
        <v>16632.96</v>
      </c>
      <c r="J867" s="106"/>
      <c r="K867" s="103"/>
    </row>
    <row r="868" spans="1:11" s="34" customFormat="1" ht="45">
      <c r="A868" s="30"/>
      <c r="B868" s="43" t="s">
        <v>2152</v>
      </c>
      <c r="C868" s="45" t="s">
        <v>2153</v>
      </c>
      <c r="D868" s="46" t="s">
        <v>10</v>
      </c>
      <c r="E868" s="44">
        <v>0.0311</v>
      </c>
      <c r="F868" s="31">
        <f>TRUNC(37.99,2)</f>
        <v>37.99</v>
      </c>
      <c r="G868" s="32">
        <f aca="true" t="shared" si="43" ref="G868:G886">TRUNC(E868*F868,2)</f>
        <v>1.18</v>
      </c>
      <c r="H868" s="32"/>
      <c r="I868" s="33"/>
      <c r="J868" s="33"/>
      <c r="K868" s="44"/>
    </row>
    <row r="869" spans="1:11" s="34" customFormat="1" ht="45">
      <c r="A869" s="30"/>
      <c r="B869" s="43" t="s">
        <v>2154</v>
      </c>
      <c r="C869" s="45" t="s">
        <v>2155</v>
      </c>
      <c r="D869" s="46" t="s">
        <v>10</v>
      </c>
      <c r="E869" s="44">
        <v>0.0653</v>
      </c>
      <c r="F869" s="31">
        <f>TRUNC(25.3,2)</f>
        <v>25.3</v>
      </c>
      <c r="G869" s="32">
        <f t="shared" si="43"/>
        <v>1.65</v>
      </c>
      <c r="H869" s="32"/>
      <c r="I869" s="33"/>
      <c r="J869" s="33"/>
      <c r="K869" s="44"/>
    </row>
    <row r="870" spans="1:11" s="34" customFormat="1" ht="45">
      <c r="A870" s="30"/>
      <c r="B870" s="43" t="s">
        <v>2156</v>
      </c>
      <c r="C870" s="45" t="s">
        <v>2157</v>
      </c>
      <c r="D870" s="46" t="s">
        <v>10</v>
      </c>
      <c r="E870" s="44">
        <v>0.2122</v>
      </c>
      <c r="F870" s="31">
        <f>TRUNC(38.88,2)</f>
        <v>38.88</v>
      </c>
      <c r="G870" s="32">
        <f t="shared" si="43"/>
        <v>8.25</v>
      </c>
      <c r="H870" s="32"/>
      <c r="I870" s="33"/>
      <c r="J870" s="33"/>
      <c r="K870" s="44"/>
    </row>
    <row r="871" spans="1:11" s="34" customFormat="1" ht="45">
      <c r="A871" s="30"/>
      <c r="B871" s="43" t="s">
        <v>2158</v>
      </c>
      <c r="C871" s="45" t="s">
        <v>2159</v>
      </c>
      <c r="D871" s="46" t="s">
        <v>10</v>
      </c>
      <c r="E871" s="44">
        <v>0.0982</v>
      </c>
      <c r="F871" s="31">
        <f>TRUNC(19.24,2)</f>
        <v>19.24</v>
      </c>
      <c r="G871" s="32">
        <f t="shared" si="43"/>
        <v>1.88</v>
      </c>
      <c r="H871" s="32"/>
      <c r="I871" s="33"/>
      <c r="J871" s="33"/>
      <c r="K871" s="44"/>
    </row>
    <row r="872" spans="1:11" s="34" customFormat="1" ht="45">
      <c r="A872" s="30"/>
      <c r="B872" s="43" t="s">
        <v>2160</v>
      </c>
      <c r="C872" s="45" t="s">
        <v>2161</v>
      </c>
      <c r="D872" s="46" t="s">
        <v>10</v>
      </c>
      <c r="E872" s="44">
        <v>0.0478</v>
      </c>
      <c r="F872" s="31">
        <f>TRUNC(41.23,2)</f>
        <v>41.23</v>
      </c>
      <c r="G872" s="32">
        <f t="shared" si="43"/>
        <v>1.97</v>
      </c>
      <c r="H872" s="32"/>
      <c r="I872" s="33"/>
      <c r="J872" s="33"/>
      <c r="K872" s="44"/>
    </row>
    <row r="873" spans="1:11" s="34" customFormat="1" ht="45">
      <c r="A873" s="30"/>
      <c r="B873" s="43" t="s">
        <v>2162</v>
      </c>
      <c r="C873" s="45" t="s">
        <v>2163</v>
      </c>
      <c r="D873" s="46" t="s">
        <v>10</v>
      </c>
      <c r="E873" s="44">
        <v>0.1086</v>
      </c>
      <c r="F873" s="31">
        <f>TRUNC(46.82,2)</f>
        <v>46.82</v>
      </c>
      <c r="G873" s="32">
        <f t="shared" si="43"/>
        <v>5.08</v>
      </c>
      <c r="H873" s="32"/>
      <c r="I873" s="33"/>
      <c r="J873" s="33"/>
      <c r="K873" s="44"/>
    </row>
    <row r="874" spans="1:11" s="34" customFormat="1" ht="30">
      <c r="A874" s="30"/>
      <c r="B874" s="43" t="s">
        <v>2164</v>
      </c>
      <c r="C874" s="45" t="s">
        <v>2165</v>
      </c>
      <c r="D874" s="46" t="s">
        <v>2</v>
      </c>
      <c r="E874" s="44">
        <v>0.561</v>
      </c>
      <c r="F874" s="31">
        <f>TRUNC(25.53,2)</f>
        <v>25.53</v>
      </c>
      <c r="G874" s="32">
        <f t="shared" si="43"/>
        <v>14.32</v>
      </c>
      <c r="H874" s="32"/>
      <c r="I874" s="33"/>
      <c r="J874" s="33"/>
      <c r="K874" s="44"/>
    </row>
    <row r="875" spans="1:11" s="34" customFormat="1" ht="45">
      <c r="A875" s="30"/>
      <c r="B875" s="43" t="s">
        <v>2166</v>
      </c>
      <c r="C875" s="45" t="s">
        <v>2167</v>
      </c>
      <c r="D875" s="46" t="s">
        <v>10</v>
      </c>
      <c r="E875" s="44">
        <v>0.0085</v>
      </c>
      <c r="F875" s="31">
        <f>TRUNC(18.53,2)</f>
        <v>18.53</v>
      </c>
      <c r="G875" s="32">
        <f t="shared" si="43"/>
        <v>0.15</v>
      </c>
      <c r="H875" s="32"/>
      <c r="I875" s="33"/>
      <c r="J875" s="33"/>
      <c r="K875" s="44"/>
    </row>
    <row r="876" spans="1:11" s="34" customFormat="1" ht="45">
      <c r="A876" s="30"/>
      <c r="B876" s="43" t="s">
        <v>2168</v>
      </c>
      <c r="C876" s="45" t="s">
        <v>2169</v>
      </c>
      <c r="D876" s="46" t="s">
        <v>2</v>
      </c>
      <c r="E876" s="44">
        <v>0.1846</v>
      </c>
      <c r="F876" s="31">
        <f>TRUNC(60.18,2)</f>
        <v>60.18</v>
      </c>
      <c r="G876" s="32">
        <f t="shared" si="43"/>
        <v>11.1</v>
      </c>
      <c r="H876" s="32"/>
      <c r="I876" s="33"/>
      <c r="J876" s="33"/>
      <c r="K876" s="44"/>
    </row>
    <row r="877" spans="1:11" s="34" customFormat="1" ht="45">
      <c r="A877" s="30"/>
      <c r="B877" s="43" t="s">
        <v>2170</v>
      </c>
      <c r="C877" s="45" t="s">
        <v>2171</v>
      </c>
      <c r="D877" s="46" t="s">
        <v>10</v>
      </c>
      <c r="E877" s="44">
        <v>0.0598</v>
      </c>
      <c r="F877" s="31">
        <f>TRUNC(32.4,2)</f>
        <v>32.4</v>
      </c>
      <c r="G877" s="32">
        <f t="shared" si="43"/>
        <v>1.93</v>
      </c>
      <c r="H877" s="32"/>
      <c r="I877" s="33"/>
      <c r="J877" s="33"/>
      <c r="K877" s="44"/>
    </row>
    <row r="878" spans="1:11" s="34" customFormat="1" ht="30">
      <c r="A878" s="30"/>
      <c r="B878" s="43" t="s">
        <v>2172</v>
      </c>
      <c r="C878" s="45" t="s">
        <v>2173</v>
      </c>
      <c r="D878" s="46" t="s">
        <v>10</v>
      </c>
      <c r="E878" s="44">
        <v>0.0995</v>
      </c>
      <c r="F878" s="31">
        <f>TRUNC(6.59,2)</f>
        <v>6.59</v>
      </c>
      <c r="G878" s="32">
        <f t="shared" si="43"/>
        <v>0.65</v>
      </c>
      <c r="H878" s="32"/>
      <c r="I878" s="33"/>
      <c r="J878" s="33"/>
      <c r="K878" s="44"/>
    </row>
    <row r="879" spans="1:11" s="34" customFormat="1" ht="30">
      <c r="A879" s="30"/>
      <c r="B879" s="43" t="s">
        <v>2174</v>
      </c>
      <c r="C879" s="45" t="s">
        <v>2175</v>
      </c>
      <c r="D879" s="46" t="s">
        <v>2</v>
      </c>
      <c r="E879" s="44">
        <v>0.2544</v>
      </c>
      <c r="F879" s="31">
        <f>TRUNC(31.66,2)</f>
        <v>31.66</v>
      </c>
      <c r="G879" s="32">
        <f t="shared" si="43"/>
        <v>8.05</v>
      </c>
      <c r="H879" s="32"/>
      <c r="I879" s="33"/>
      <c r="J879" s="33"/>
      <c r="K879" s="44"/>
    </row>
    <row r="880" spans="1:11" s="34" customFormat="1" ht="45">
      <c r="A880" s="30"/>
      <c r="B880" s="43" t="s">
        <v>2176</v>
      </c>
      <c r="C880" s="45" t="s">
        <v>2177</v>
      </c>
      <c r="D880" s="46" t="s">
        <v>10</v>
      </c>
      <c r="E880" s="44">
        <v>0.0178</v>
      </c>
      <c r="F880" s="31">
        <f>TRUNC(24.77,2)</f>
        <v>24.77</v>
      </c>
      <c r="G880" s="32">
        <f t="shared" si="43"/>
        <v>0.44</v>
      </c>
      <c r="H880" s="32"/>
      <c r="I880" s="33"/>
      <c r="J880" s="33"/>
      <c r="K880" s="44"/>
    </row>
    <row r="881" spans="1:11" s="34" customFormat="1" ht="45">
      <c r="A881" s="30"/>
      <c r="B881" s="43" t="s">
        <v>2178</v>
      </c>
      <c r="C881" s="45" t="s">
        <v>2179</v>
      </c>
      <c r="D881" s="46" t="s">
        <v>10</v>
      </c>
      <c r="E881" s="44">
        <v>0.1267</v>
      </c>
      <c r="F881" s="31">
        <f>TRUNC(18.73,2)</f>
        <v>18.73</v>
      </c>
      <c r="G881" s="32">
        <f t="shared" si="43"/>
        <v>2.37</v>
      </c>
      <c r="H881" s="32"/>
      <c r="I881" s="33"/>
      <c r="J881" s="33"/>
      <c r="K881" s="44"/>
    </row>
    <row r="882" spans="1:11" s="34" customFormat="1" ht="45">
      <c r="A882" s="30"/>
      <c r="B882" s="43" t="s">
        <v>2180</v>
      </c>
      <c r="C882" s="45" t="s">
        <v>2181</v>
      </c>
      <c r="D882" s="46" t="s">
        <v>10</v>
      </c>
      <c r="E882" s="44">
        <v>0.0008</v>
      </c>
      <c r="F882" s="31">
        <f>TRUNC(46.31,2)</f>
        <v>46.31</v>
      </c>
      <c r="G882" s="32">
        <f t="shared" si="43"/>
        <v>0.03</v>
      </c>
      <c r="H882" s="32"/>
      <c r="I882" s="33"/>
      <c r="J882" s="33"/>
      <c r="K882" s="44"/>
    </row>
    <row r="883" spans="1:11" s="34" customFormat="1" ht="30">
      <c r="A883" s="30"/>
      <c r="B883" s="43" t="s">
        <v>2182</v>
      </c>
      <c r="C883" s="45" t="s">
        <v>2183</v>
      </c>
      <c r="D883" s="46" t="s">
        <v>10</v>
      </c>
      <c r="E883" s="44">
        <v>0.09995</v>
      </c>
      <c r="F883" s="31">
        <f>TRUNC(56.5,2)</f>
        <v>56.5</v>
      </c>
      <c r="G883" s="32">
        <f t="shared" si="43"/>
        <v>5.64</v>
      </c>
      <c r="H883" s="32"/>
      <c r="I883" s="33"/>
      <c r="J883" s="33"/>
      <c r="K883" s="44"/>
    </row>
    <row r="884" spans="1:11" s="34" customFormat="1" ht="30">
      <c r="A884" s="30"/>
      <c r="B884" s="43" t="s">
        <v>2184</v>
      </c>
      <c r="C884" s="45" t="s">
        <v>2185</v>
      </c>
      <c r="D884" s="46" t="s">
        <v>10</v>
      </c>
      <c r="E884" s="44">
        <v>0.2323</v>
      </c>
      <c r="F884" s="31">
        <f>TRUNC(7.08,2)</f>
        <v>7.08</v>
      </c>
      <c r="G884" s="32">
        <f t="shared" si="43"/>
        <v>1.64</v>
      </c>
      <c r="H884" s="32"/>
      <c r="I884" s="33"/>
      <c r="J884" s="33"/>
      <c r="K884" s="44"/>
    </row>
    <row r="885" spans="1:11" s="34" customFormat="1" ht="45">
      <c r="A885" s="30"/>
      <c r="B885" s="43" t="s">
        <v>2186</v>
      </c>
      <c r="C885" s="45" t="s">
        <v>2187</v>
      </c>
      <c r="D885" s="46" t="s">
        <v>2</v>
      </c>
      <c r="E885" s="44">
        <v>0.1239</v>
      </c>
      <c r="F885" s="31">
        <f>TRUNC(7.56,2)</f>
        <v>7.56</v>
      </c>
      <c r="G885" s="32">
        <f t="shared" si="43"/>
        <v>0.93</v>
      </c>
      <c r="H885" s="32"/>
      <c r="I885" s="33"/>
      <c r="J885" s="33"/>
      <c r="K885" s="44"/>
    </row>
    <row r="886" spans="1:11" s="34" customFormat="1" ht="45">
      <c r="A886" s="30"/>
      <c r="B886" s="43" t="s">
        <v>2188</v>
      </c>
      <c r="C886" s="45" t="s">
        <v>2189</v>
      </c>
      <c r="D886" s="46" t="s">
        <v>10</v>
      </c>
      <c r="E886" s="44">
        <v>0.2392</v>
      </c>
      <c r="F886" s="31">
        <f>TRUNC(14.56,2)</f>
        <v>14.56</v>
      </c>
      <c r="G886" s="32">
        <f t="shared" si="43"/>
        <v>3.48</v>
      </c>
      <c r="H886" s="32"/>
      <c r="I886" s="33"/>
      <c r="J886" s="33"/>
      <c r="K886" s="44"/>
    </row>
    <row r="887" spans="1:11" s="34" customFormat="1" ht="15">
      <c r="A887" s="30"/>
      <c r="B887" s="43"/>
      <c r="C887" s="45"/>
      <c r="D887" s="46"/>
      <c r="E887" s="44" t="s">
        <v>5</v>
      </c>
      <c r="F887" s="31"/>
      <c r="G887" s="32">
        <f>TRUNC(SUM(G868:G886),2)</f>
        <v>70.74</v>
      </c>
      <c r="H887" s="32"/>
      <c r="I887" s="33"/>
      <c r="J887" s="33"/>
      <c r="K887" s="44"/>
    </row>
    <row r="888" spans="1:11" s="107" customFormat="1" ht="45">
      <c r="A888" s="99" t="s">
        <v>1630</v>
      </c>
      <c r="B888" s="100" t="s">
        <v>2190</v>
      </c>
      <c r="C888" s="101" t="s">
        <v>1052</v>
      </c>
      <c r="D888" s="102" t="s">
        <v>2</v>
      </c>
      <c r="E888" s="103">
        <v>12</v>
      </c>
      <c r="F888" s="104">
        <f>TRUNC(G894,2)</f>
        <v>76.05</v>
      </c>
      <c r="G888" s="105">
        <f>TRUNC(F888*1.2247,2)</f>
        <v>93.13</v>
      </c>
      <c r="H888" s="105">
        <f>TRUNC(F888*E888,2)</f>
        <v>912.6</v>
      </c>
      <c r="I888" s="106">
        <f>TRUNC(E888*G888,2)</f>
        <v>1117.56</v>
      </c>
      <c r="J888" s="106"/>
      <c r="K888" s="103"/>
    </row>
    <row r="889" spans="1:11" s="34" customFormat="1" ht="30">
      <c r="A889" s="30"/>
      <c r="B889" s="43" t="s">
        <v>2172</v>
      </c>
      <c r="C889" s="45" t="s">
        <v>2173</v>
      </c>
      <c r="D889" s="46" t="s">
        <v>10</v>
      </c>
      <c r="E889" s="44">
        <v>0.0896</v>
      </c>
      <c r="F889" s="31">
        <f>TRUNC(6.59,2)</f>
        <v>6.59</v>
      </c>
      <c r="G889" s="32">
        <f>TRUNC(E889*F889,2)</f>
        <v>0.59</v>
      </c>
      <c r="H889" s="32"/>
      <c r="I889" s="33"/>
      <c r="J889" s="33"/>
      <c r="K889" s="44"/>
    </row>
    <row r="890" spans="1:11" s="34" customFormat="1" ht="30">
      <c r="A890" s="30"/>
      <c r="B890" s="43" t="s">
        <v>2191</v>
      </c>
      <c r="C890" s="45" t="s">
        <v>2192</v>
      </c>
      <c r="D890" s="46" t="s">
        <v>10</v>
      </c>
      <c r="E890" s="44">
        <v>0.1715</v>
      </c>
      <c r="F890" s="31">
        <f>TRUNC(48.59,2)</f>
        <v>48.59</v>
      </c>
      <c r="G890" s="32">
        <f>TRUNC(E890*F890,2)</f>
        <v>8.33</v>
      </c>
      <c r="H890" s="32"/>
      <c r="I890" s="33"/>
      <c r="J890" s="33"/>
      <c r="K890" s="44"/>
    </row>
    <row r="891" spans="1:11" s="34" customFormat="1" ht="30">
      <c r="A891" s="30"/>
      <c r="B891" s="43" t="s">
        <v>2182</v>
      </c>
      <c r="C891" s="45" t="s">
        <v>2183</v>
      </c>
      <c r="D891" s="46" t="s">
        <v>10</v>
      </c>
      <c r="E891" s="44">
        <v>0.0896</v>
      </c>
      <c r="F891" s="31">
        <f>TRUNC(56.5,2)</f>
        <v>56.5</v>
      </c>
      <c r="G891" s="32">
        <f>TRUNC(E891*F891,2)</f>
        <v>5.06</v>
      </c>
      <c r="H891" s="32"/>
      <c r="I891" s="33"/>
      <c r="J891" s="33"/>
      <c r="K891" s="44"/>
    </row>
    <row r="892" spans="1:11" s="34" customFormat="1" ht="45">
      <c r="A892" s="30"/>
      <c r="B892" s="43" t="s">
        <v>2193</v>
      </c>
      <c r="C892" s="45" t="s">
        <v>2194</v>
      </c>
      <c r="D892" s="46" t="s">
        <v>10</v>
      </c>
      <c r="E892" s="44">
        <v>0.0111</v>
      </c>
      <c r="F892" s="31">
        <f>TRUNC(84.93,2)</f>
        <v>84.93</v>
      </c>
      <c r="G892" s="32">
        <f>TRUNC(E892*F892,2)</f>
        <v>0.94</v>
      </c>
      <c r="H892" s="32"/>
      <c r="I892" s="33"/>
      <c r="J892" s="33"/>
      <c r="K892" s="44"/>
    </row>
    <row r="893" spans="1:11" s="34" customFormat="1" ht="30">
      <c r="A893" s="30"/>
      <c r="B893" s="43" t="s">
        <v>2195</v>
      </c>
      <c r="C893" s="45" t="s">
        <v>2196</v>
      </c>
      <c r="D893" s="46" t="s">
        <v>2</v>
      </c>
      <c r="E893" s="44">
        <v>1</v>
      </c>
      <c r="F893" s="31">
        <f>TRUNC(61.13,2)</f>
        <v>61.13</v>
      </c>
      <c r="G893" s="32">
        <f>TRUNC(E893*F893,2)</f>
        <v>61.13</v>
      </c>
      <c r="H893" s="32"/>
      <c r="I893" s="33"/>
      <c r="J893" s="33"/>
      <c r="K893" s="44"/>
    </row>
    <row r="894" spans="1:11" s="34" customFormat="1" ht="15">
      <c r="A894" s="30"/>
      <c r="B894" s="43"/>
      <c r="C894" s="45"/>
      <c r="D894" s="46"/>
      <c r="E894" s="44" t="s">
        <v>5</v>
      </c>
      <c r="F894" s="31"/>
      <c r="G894" s="32">
        <f>TRUNC(SUM(G889:G893),2)</f>
        <v>76.05</v>
      </c>
      <c r="H894" s="32"/>
      <c r="I894" s="33"/>
      <c r="J894" s="33"/>
      <c r="K894" s="44"/>
    </row>
    <row r="895" spans="1:11" s="107" customFormat="1" ht="30">
      <c r="A895" s="99" t="s">
        <v>1631</v>
      </c>
      <c r="B895" s="100" t="s">
        <v>2064</v>
      </c>
      <c r="C895" s="101" t="s">
        <v>696</v>
      </c>
      <c r="D895" s="102" t="s">
        <v>10</v>
      </c>
      <c r="E895" s="103">
        <v>1</v>
      </c>
      <c r="F895" s="104">
        <f>TRUNC(G904,2)</f>
        <v>28.22</v>
      </c>
      <c r="G895" s="105">
        <f>TRUNC(F895*1.2247,2)</f>
        <v>34.56</v>
      </c>
      <c r="H895" s="105">
        <f>TRUNC(F895*E895,2)</f>
        <v>28.22</v>
      </c>
      <c r="I895" s="106">
        <f>TRUNC(E895*G895,2)</f>
        <v>34.56</v>
      </c>
      <c r="J895" s="106"/>
      <c r="K895" s="103"/>
    </row>
    <row r="896" spans="1:11" s="34" customFormat="1" ht="15">
      <c r="A896" s="30"/>
      <c r="B896" s="43" t="s">
        <v>2065</v>
      </c>
      <c r="C896" s="45" t="s">
        <v>642</v>
      </c>
      <c r="D896" s="46" t="s">
        <v>10</v>
      </c>
      <c r="E896" s="44">
        <v>0.0365</v>
      </c>
      <c r="F896" s="31">
        <f>TRUNC(1.72,2)</f>
        <v>1.72</v>
      </c>
      <c r="G896" s="32">
        <f aca="true" t="shared" si="44" ref="G896:G903">TRUNC(E896*F896,2)</f>
        <v>0.06</v>
      </c>
      <c r="H896" s="32"/>
      <c r="I896" s="33"/>
      <c r="J896" s="33"/>
      <c r="K896" s="44"/>
    </row>
    <row r="897" spans="1:11" s="34" customFormat="1" ht="15">
      <c r="A897" s="30"/>
      <c r="B897" s="43" t="s">
        <v>2066</v>
      </c>
      <c r="C897" s="45" t="s">
        <v>698</v>
      </c>
      <c r="D897" s="46" t="s">
        <v>10</v>
      </c>
      <c r="E897" s="44">
        <v>1</v>
      </c>
      <c r="F897" s="31">
        <f>TRUNC(1.5,2)</f>
        <v>1.5</v>
      </c>
      <c r="G897" s="32">
        <f t="shared" si="44"/>
        <v>1.5</v>
      </c>
      <c r="H897" s="32"/>
      <c r="I897" s="33"/>
      <c r="J897" s="33"/>
      <c r="K897" s="44"/>
    </row>
    <row r="898" spans="1:11" s="34" customFormat="1" ht="15">
      <c r="A898" s="30"/>
      <c r="B898" s="43" t="s">
        <v>2067</v>
      </c>
      <c r="C898" s="45" t="s">
        <v>644</v>
      </c>
      <c r="D898" s="46" t="s">
        <v>10</v>
      </c>
      <c r="E898" s="44">
        <v>0.0225</v>
      </c>
      <c r="F898" s="31">
        <f>TRUNC(60.64,2)</f>
        <v>60.64</v>
      </c>
      <c r="G898" s="32">
        <f t="shared" si="44"/>
        <v>1.36</v>
      </c>
      <c r="H898" s="32"/>
      <c r="I898" s="33"/>
      <c r="J898" s="33"/>
      <c r="K898" s="44"/>
    </row>
    <row r="899" spans="1:11" s="34" customFormat="1" ht="30">
      <c r="A899" s="30"/>
      <c r="B899" s="43" t="s">
        <v>2007</v>
      </c>
      <c r="C899" s="45" t="s">
        <v>632</v>
      </c>
      <c r="D899" s="46" t="s">
        <v>10</v>
      </c>
      <c r="E899" s="44">
        <v>0.02</v>
      </c>
      <c r="F899" s="31">
        <f>TRUNC(25.56,2)</f>
        <v>25.56</v>
      </c>
      <c r="G899" s="32">
        <f t="shared" si="44"/>
        <v>0.51</v>
      </c>
      <c r="H899" s="32"/>
      <c r="I899" s="33"/>
      <c r="J899" s="33"/>
      <c r="K899" s="44"/>
    </row>
    <row r="900" spans="1:11" s="34" customFormat="1" ht="15">
      <c r="A900" s="30"/>
      <c r="B900" s="43" t="s">
        <v>2068</v>
      </c>
      <c r="C900" s="45" t="s">
        <v>700</v>
      </c>
      <c r="D900" s="46" t="s">
        <v>10</v>
      </c>
      <c r="E900" s="44">
        <v>1</v>
      </c>
      <c r="F900" s="31">
        <f>TRUNC(16.75,2)</f>
        <v>16.75</v>
      </c>
      <c r="G900" s="32">
        <f t="shared" si="44"/>
        <v>16.75</v>
      </c>
      <c r="H900" s="32"/>
      <c r="I900" s="33"/>
      <c r="J900" s="33"/>
      <c r="K900" s="44"/>
    </row>
    <row r="901" spans="1:11" s="34" customFormat="1" ht="15">
      <c r="A901" s="30"/>
      <c r="B901" s="43" t="s">
        <v>2069</v>
      </c>
      <c r="C901" s="45" t="s">
        <v>646</v>
      </c>
      <c r="D901" s="46" t="s">
        <v>10</v>
      </c>
      <c r="E901" s="44">
        <v>0.0148</v>
      </c>
      <c r="F901" s="31">
        <f>TRUNC(69.83,2)</f>
        <v>69.83</v>
      </c>
      <c r="G901" s="32">
        <f t="shared" si="44"/>
        <v>1.03</v>
      </c>
      <c r="H901" s="32"/>
      <c r="I901" s="33"/>
      <c r="J901" s="33"/>
      <c r="K901" s="44"/>
    </row>
    <row r="902" spans="1:11" s="34" customFormat="1" ht="15">
      <c r="A902" s="30"/>
      <c r="B902" s="43" t="s">
        <v>1933</v>
      </c>
      <c r="C902" s="45" t="s">
        <v>417</v>
      </c>
      <c r="D902" s="46" t="s">
        <v>4</v>
      </c>
      <c r="E902" s="44">
        <v>0.135</v>
      </c>
      <c r="F902" s="31">
        <f>TRUNC(29.32,2)</f>
        <v>29.32</v>
      </c>
      <c r="G902" s="32">
        <f t="shared" si="44"/>
        <v>3.95</v>
      </c>
      <c r="H902" s="32"/>
      <c r="I902" s="33"/>
      <c r="J902" s="33"/>
      <c r="K902" s="44"/>
    </row>
    <row r="903" spans="1:11" s="34" customFormat="1" ht="30">
      <c r="A903" s="30"/>
      <c r="B903" s="43" t="s">
        <v>1974</v>
      </c>
      <c r="C903" s="45" t="s">
        <v>419</v>
      </c>
      <c r="D903" s="46" t="s">
        <v>4</v>
      </c>
      <c r="E903" s="44">
        <v>0.135</v>
      </c>
      <c r="F903" s="31">
        <f>TRUNC(22.69,2)</f>
        <v>22.69</v>
      </c>
      <c r="G903" s="32">
        <f t="shared" si="44"/>
        <v>3.06</v>
      </c>
      <c r="H903" s="32"/>
      <c r="I903" s="33"/>
      <c r="J903" s="33"/>
      <c r="K903" s="44"/>
    </row>
    <row r="904" spans="1:11" s="34" customFormat="1" ht="15">
      <c r="A904" s="30"/>
      <c r="B904" s="43"/>
      <c r="C904" s="45"/>
      <c r="D904" s="46"/>
      <c r="E904" s="44" t="s">
        <v>5</v>
      </c>
      <c r="F904" s="31"/>
      <c r="G904" s="32">
        <f>TRUNC(SUM(G896:G903),2)</f>
        <v>28.22</v>
      </c>
      <c r="H904" s="32"/>
      <c r="I904" s="33"/>
      <c r="J904" s="33"/>
      <c r="K904" s="44"/>
    </row>
    <row r="905" spans="1:11" s="107" customFormat="1" ht="30">
      <c r="A905" s="99" t="s">
        <v>1632</v>
      </c>
      <c r="B905" s="100" t="s">
        <v>2197</v>
      </c>
      <c r="C905" s="101" t="s">
        <v>1573</v>
      </c>
      <c r="D905" s="102" t="s">
        <v>10</v>
      </c>
      <c r="E905" s="103">
        <v>1</v>
      </c>
      <c r="F905" s="104">
        <f>TRUNC(G910,2)</f>
        <v>572.1</v>
      </c>
      <c r="G905" s="105">
        <f>TRUNC(F905*1.2247,2)</f>
        <v>700.65</v>
      </c>
      <c r="H905" s="105">
        <f>TRUNC(F905*E905,2)</f>
        <v>572.1</v>
      </c>
      <c r="I905" s="106">
        <f>TRUNC(E905*G905,2)</f>
        <v>700.65</v>
      </c>
      <c r="J905" s="106"/>
      <c r="K905" s="103"/>
    </row>
    <row r="906" spans="1:11" s="34" customFormat="1" ht="30">
      <c r="A906" s="30"/>
      <c r="B906" s="43" t="s">
        <v>2198</v>
      </c>
      <c r="C906" s="45" t="s">
        <v>1575</v>
      </c>
      <c r="D906" s="46" t="s">
        <v>10</v>
      </c>
      <c r="E906" s="44">
        <v>1</v>
      </c>
      <c r="F906" s="31">
        <f>TRUNC(550.59,2)</f>
        <v>550.59</v>
      </c>
      <c r="G906" s="32">
        <f>TRUNC(E906*F906,2)</f>
        <v>550.59</v>
      </c>
      <c r="H906" s="32"/>
      <c r="I906" s="33"/>
      <c r="J906" s="33"/>
      <c r="K906" s="44"/>
    </row>
    <row r="907" spans="1:11" s="34" customFormat="1" ht="15">
      <c r="A907" s="30"/>
      <c r="B907" s="43" t="s">
        <v>43</v>
      </c>
      <c r="C907" s="45" t="s">
        <v>32</v>
      </c>
      <c r="D907" s="46" t="s">
        <v>4</v>
      </c>
      <c r="E907" s="44">
        <v>0.3474</v>
      </c>
      <c r="F907" s="31">
        <f>TRUNC(23.42,2)</f>
        <v>23.42</v>
      </c>
      <c r="G907" s="32">
        <f>TRUNC(E907*F907,2)</f>
        <v>8.13</v>
      </c>
      <c r="H907" s="32"/>
      <c r="I907" s="33"/>
      <c r="J907" s="33"/>
      <c r="K907" s="44"/>
    </row>
    <row r="908" spans="1:11" s="34" customFormat="1" ht="15">
      <c r="A908" s="30"/>
      <c r="B908" s="43" t="s">
        <v>1842</v>
      </c>
      <c r="C908" s="45" t="s">
        <v>307</v>
      </c>
      <c r="D908" s="46" t="s">
        <v>4</v>
      </c>
      <c r="E908" s="44">
        <v>0.3474</v>
      </c>
      <c r="F908" s="31">
        <f>TRUNC(29.96,2)</f>
        <v>29.96</v>
      </c>
      <c r="G908" s="32">
        <f>TRUNC(E908*F908,2)</f>
        <v>10.4</v>
      </c>
      <c r="H908" s="32"/>
      <c r="I908" s="33"/>
      <c r="J908" s="33"/>
      <c r="K908" s="44"/>
    </row>
    <row r="909" spans="1:11" s="34" customFormat="1" ht="30">
      <c r="A909" s="30"/>
      <c r="B909" s="43" t="s">
        <v>2199</v>
      </c>
      <c r="C909" s="45" t="s">
        <v>2200</v>
      </c>
      <c r="D909" s="46" t="s">
        <v>1</v>
      </c>
      <c r="E909" s="44">
        <v>0.0141</v>
      </c>
      <c r="F909" s="31">
        <f>TRUNC(211.41,2)</f>
        <v>211.41</v>
      </c>
      <c r="G909" s="32">
        <f>TRUNC(E909*F909,2)</f>
        <v>2.98</v>
      </c>
      <c r="H909" s="32"/>
      <c r="I909" s="33"/>
      <c r="J909" s="33"/>
      <c r="K909" s="44"/>
    </row>
    <row r="910" spans="1:11" s="34" customFormat="1" ht="15">
      <c r="A910" s="30"/>
      <c r="B910" s="43"/>
      <c r="C910" s="45"/>
      <c r="D910" s="46"/>
      <c r="E910" s="44" t="s">
        <v>5</v>
      </c>
      <c r="F910" s="31"/>
      <c r="G910" s="32">
        <f>TRUNC(SUM(G906:G909),2)</f>
        <v>572.1</v>
      </c>
      <c r="H910" s="32"/>
      <c r="I910" s="33"/>
      <c r="J910" s="33"/>
      <c r="K910" s="44"/>
    </row>
    <row r="911" spans="1:11" s="107" customFormat="1" ht="45">
      <c r="A911" s="99" t="s">
        <v>1633</v>
      </c>
      <c r="B911" s="100" t="s">
        <v>2201</v>
      </c>
      <c r="C911" s="101" t="s">
        <v>1543</v>
      </c>
      <c r="D911" s="102" t="s">
        <v>10</v>
      </c>
      <c r="E911" s="103">
        <v>7</v>
      </c>
      <c r="F911" s="104">
        <f>TRUNC(G922,2)</f>
        <v>1087.48</v>
      </c>
      <c r="G911" s="105">
        <f>TRUNC(F911*1.2247,2)</f>
        <v>1331.83</v>
      </c>
      <c r="H911" s="105">
        <f>TRUNC(F911*E911,2)</f>
        <v>7612.36</v>
      </c>
      <c r="I911" s="106">
        <f>TRUNC(E911*G911,2)</f>
        <v>9322.81</v>
      </c>
      <c r="J911" s="106"/>
      <c r="K911" s="103"/>
    </row>
    <row r="912" spans="1:11" s="34" customFormat="1" ht="15">
      <c r="A912" s="30"/>
      <c r="B912" s="43" t="s">
        <v>2052</v>
      </c>
      <c r="C912" s="45" t="s">
        <v>686</v>
      </c>
      <c r="D912" s="46" t="s">
        <v>10</v>
      </c>
      <c r="E912" s="44">
        <v>250.8106</v>
      </c>
      <c r="F912" s="31">
        <f>TRUNC(0.77,2)</f>
        <v>0.77</v>
      </c>
      <c r="G912" s="32">
        <f aca="true" t="shared" si="45" ref="G912:G921">TRUNC(E912*F912,2)</f>
        <v>193.12</v>
      </c>
      <c r="H912" s="32"/>
      <c r="I912" s="33"/>
      <c r="J912" s="33"/>
      <c r="K912" s="44"/>
    </row>
    <row r="913" spans="1:11" s="34" customFormat="1" ht="15">
      <c r="A913" s="30"/>
      <c r="B913" s="43" t="s">
        <v>43</v>
      </c>
      <c r="C913" s="45" t="s">
        <v>32</v>
      </c>
      <c r="D913" s="46" t="s">
        <v>4</v>
      </c>
      <c r="E913" s="44">
        <v>10.0778</v>
      </c>
      <c r="F913" s="31">
        <f>TRUNC(23.42,2)</f>
        <v>23.42</v>
      </c>
      <c r="G913" s="32">
        <f t="shared" si="45"/>
        <v>236.02</v>
      </c>
      <c r="H913" s="32"/>
      <c r="I913" s="33"/>
      <c r="J913" s="33"/>
      <c r="K913" s="44"/>
    </row>
    <row r="914" spans="1:11" s="34" customFormat="1" ht="15">
      <c r="A914" s="30"/>
      <c r="B914" s="43" t="s">
        <v>1842</v>
      </c>
      <c r="C914" s="45" t="s">
        <v>307</v>
      </c>
      <c r="D914" s="46" t="s">
        <v>4</v>
      </c>
      <c r="E914" s="44">
        <v>10.0778</v>
      </c>
      <c r="F914" s="31">
        <f>TRUNC(29.96,2)</f>
        <v>29.96</v>
      </c>
      <c r="G914" s="32">
        <f t="shared" si="45"/>
        <v>301.93</v>
      </c>
      <c r="H914" s="32"/>
      <c r="I914" s="33"/>
      <c r="J914" s="33"/>
      <c r="K914" s="44"/>
    </row>
    <row r="915" spans="1:11" s="34" customFormat="1" ht="30">
      <c r="A915" s="30"/>
      <c r="B915" s="43" t="s">
        <v>2202</v>
      </c>
      <c r="C915" s="45" t="s">
        <v>2203</v>
      </c>
      <c r="D915" s="46" t="s">
        <v>0</v>
      </c>
      <c r="E915" s="44">
        <v>1.69</v>
      </c>
      <c r="F915" s="31">
        <f>TRUNC(3.39,2)</f>
        <v>3.39</v>
      </c>
      <c r="G915" s="32">
        <f t="shared" si="45"/>
        <v>5.72</v>
      </c>
      <c r="H915" s="32"/>
      <c r="I915" s="33"/>
      <c r="J915" s="33"/>
      <c r="K915" s="44"/>
    </row>
    <row r="916" spans="1:11" s="34" customFormat="1" ht="45">
      <c r="A916" s="30"/>
      <c r="B916" s="43" t="s">
        <v>2017</v>
      </c>
      <c r="C916" s="45" t="s">
        <v>2018</v>
      </c>
      <c r="D916" s="46" t="s">
        <v>1</v>
      </c>
      <c r="E916" s="44">
        <v>0.205</v>
      </c>
      <c r="F916" s="31">
        <f>TRUNC(584.15,2)</f>
        <v>584.15</v>
      </c>
      <c r="G916" s="32">
        <f t="shared" si="45"/>
        <v>119.75</v>
      </c>
      <c r="H916" s="32"/>
      <c r="I916" s="33"/>
      <c r="J916" s="33"/>
      <c r="K916" s="44"/>
    </row>
    <row r="917" spans="1:11" s="34" customFormat="1" ht="30">
      <c r="A917" s="30"/>
      <c r="B917" s="43" t="s">
        <v>2204</v>
      </c>
      <c r="C917" s="45" t="s">
        <v>2205</v>
      </c>
      <c r="D917" s="46" t="s">
        <v>1</v>
      </c>
      <c r="E917" s="44">
        <v>0.1008</v>
      </c>
      <c r="F917" s="31">
        <f>TRUNC(1605.91,2)</f>
        <v>1605.91</v>
      </c>
      <c r="G917" s="32">
        <f t="shared" si="45"/>
        <v>161.87</v>
      </c>
      <c r="H917" s="32"/>
      <c r="I917" s="33"/>
      <c r="J917" s="33"/>
      <c r="K917" s="44"/>
    </row>
    <row r="918" spans="1:11" s="34" customFormat="1" ht="30">
      <c r="A918" s="30"/>
      <c r="B918" s="43" t="s">
        <v>2021</v>
      </c>
      <c r="C918" s="45" t="s">
        <v>2022</v>
      </c>
      <c r="D918" s="46" t="s">
        <v>1</v>
      </c>
      <c r="E918" s="44">
        <v>0.1675</v>
      </c>
      <c r="F918" s="31">
        <f>TRUNC(370.06,2)</f>
        <v>370.06</v>
      </c>
      <c r="G918" s="32">
        <f t="shared" si="45"/>
        <v>61.98</v>
      </c>
      <c r="H918" s="32"/>
      <c r="I918" s="33"/>
      <c r="J918" s="33"/>
      <c r="K918" s="44"/>
    </row>
    <row r="919" spans="1:11" s="34" customFormat="1" ht="45">
      <c r="A919" s="30"/>
      <c r="B919" s="43" t="s">
        <v>2023</v>
      </c>
      <c r="C919" s="45" t="s">
        <v>2024</v>
      </c>
      <c r="D919" s="46" t="s">
        <v>1</v>
      </c>
      <c r="E919" s="44">
        <v>0.0021</v>
      </c>
      <c r="F919" s="31">
        <f>TRUNC(408.9,2)</f>
        <v>408.9</v>
      </c>
      <c r="G919" s="32">
        <f t="shared" si="45"/>
        <v>0.85</v>
      </c>
      <c r="H919" s="32"/>
      <c r="I919" s="33"/>
      <c r="J919" s="33"/>
      <c r="K919" s="44"/>
    </row>
    <row r="920" spans="1:11" s="34" customFormat="1" ht="60">
      <c r="A920" s="30"/>
      <c r="B920" s="43" t="s">
        <v>2025</v>
      </c>
      <c r="C920" s="45" t="s">
        <v>2026</v>
      </c>
      <c r="D920" s="46" t="s">
        <v>38</v>
      </c>
      <c r="E920" s="44">
        <v>0.0664</v>
      </c>
      <c r="F920" s="31">
        <f>TRUNC(57.54,2)</f>
        <v>57.54</v>
      </c>
      <c r="G920" s="32">
        <f t="shared" si="45"/>
        <v>3.82</v>
      </c>
      <c r="H920" s="32"/>
      <c r="I920" s="33"/>
      <c r="J920" s="33"/>
      <c r="K920" s="44"/>
    </row>
    <row r="921" spans="1:11" s="34" customFormat="1" ht="60">
      <c r="A921" s="30"/>
      <c r="B921" s="43" t="s">
        <v>2027</v>
      </c>
      <c r="C921" s="45" t="s">
        <v>2028</v>
      </c>
      <c r="D921" s="46" t="s">
        <v>21</v>
      </c>
      <c r="E921" s="44">
        <v>0.0197</v>
      </c>
      <c r="F921" s="31">
        <f>TRUNC(122.97,2)</f>
        <v>122.97</v>
      </c>
      <c r="G921" s="32">
        <f t="shared" si="45"/>
        <v>2.42</v>
      </c>
      <c r="H921" s="32"/>
      <c r="I921" s="33"/>
      <c r="J921" s="33"/>
      <c r="K921" s="44"/>
    </row>
    <row r="922" spans="1:11" s="34" customFormat="1" ht="15">
      <c r="A922" s="30"/>
      <c r="B922" s="43"/>
      <c r="C922" s="45"/>
      <c r="D922" s="46"/>
      <c r="E922" s="44" t="s">
        <v>5</v>
      </c>
      <c r="F922" s="31"/>
      <c r="G922" s="32">
        <f>TRUNC(SUM(G912:G921),2)</f>
        <v>1087.48</v>
      </c>
      <c r="H922" s="32"/>
      <c r="I922" s="33"/>
      <c r="J922" s="33"/>
      <c r="K922" s="44"/>
    </row>
    <row r="923" spans="1:11" s="107" customFormat="1" ht="75">
      <c r="A923" s="99" t="s">
        <v>1634</v>
      </c>
      <c r="B923" s="100" t="s">
        <v>2206</v>
      </c>
      <c r="C923" s="101" t="s">
        <v>1549</v>
      </c>
      <c r="D923" s="102" t="s">
        <v>10</v>
      </c>
      <c r="E923" s="103">
        <v>2</v>
      </c>
      <c r="F923" s="104">
        <f>TRUNC(G937,2)</f>
        <v>2273.19</v>
      </c>
      <c r="G923" s="105">
        <f>TRUNC(F923*1.2247,2)</f>
        <v>2783.97</v>
      </c>
      <c r="H923" s="105">
        <f>TRUNC(F923*E923,2)</f>
        <v>4546.38</v>
      </c>
      <c r="I923" s="106">
        <f>TRUNC(E923*G923,2)</f>
        <v>5567.94</v>
      </c>
      <c r="J923" s="106"/>
      <c r="K923" s="103"/>
    </row>
    <row r="924" spans="1:11" s="34" customFormat="1" ht="15">
      <c r="A924" s="30"/>
      <c r="B924" s="43" t="s">
        <v>716</v>
      </c>
      <c r="C924" s="45" t="s">
        <v>717</v>
      </c>
      <c r="D924" s="46" t="s">
        <v>10</v>
      </c>
      <c r="E924" s="44">
        <v>1098</v>
      </c>
      <c r="F924" s="31">
        <f>TRUNC(1.05,2)</f>
        <v>1.05</v>
      </c>
      <c r="G924" s="32">
        <f aca="true" t="shared" si="46" ref="G924:G936">TRUNC(E924*F924,2)</f>
        <v>1152.9</v>
      </c>
      <c r="H924" s="32"/>
      <c r="I924" s="33"/>
      <c r="J924" s="33"/>
      <c r="K924" s="44"/>
    </row>
    <row r="925" spans="1:11" s="34" customFormat="1" ht="30">
      <c r="A925" s="30"/>
      <c r="B925" s="43" t="s">
        <v>63</v>
      </c>
      <c r="C925" s="45" t="s">
        <v>64</v>
      </c>
      <c r="D925" s="46" t="s">
        <v>3</v>
      </c>
      <c r="E925" s="44">
        <v>0.25</v>
      </c>
      <c r="F925" s="31">
        <f>TRUNC(15.94,2)</f>
        <v>15.94</v>
      </c>
      <c r="G925" s="32">
        <f t="shared" si="46"/>
        <v>3.98</v>
      </c>
      <c r="H925" s="32"/>
      <c r="I925" s="33"/>
      <c r="J925" s="33"/>
      <c r="K925" s="44"/>
    </row>
    <row r="926" spans="1:11" s="34" customFormat="1" ht="15">
      <c r="A926" s="30"/>
      <c r="B926" s="43" t="s">
        <v>718</v>
      </c>
      <c r="C926" s="45" t="s">
        <v>719</v>
      </c>
      <c r="D926" s="46" t="s">
        <v>2</v>
      </c>
      <c r="E926" s="44">
        <v>1.6</v>
      </c>
      <c r="F926" s="31">
        <f>TRUNC(9.23,2)</f>
        <v>9.23</v>
      </c>
      <c r="G926" s="32">
        <f t="shared" si="46"/>
        <v>14.76</v>
      </c>
      <c r="H926" s="32"/>
      <c r="I926" s="33"/>
      <c r="J926" s="33"/>
      <c r="K926" s="44"/>
    </row>
    <row r="927" spans="1:11" s="34" customFormat="1" ht="15">
      <c r="A927" s="30"/>
      <c r="B927" s="43" t="s">
        <v>720</v>
      </c>
      <c r="C927" s="45" t="s">
        <v>721</v>
      </c>
      <c r="D927" s="46" t="s">
        <v>3</v>
      </c>
      <c r="E927" s="44">
        <v>15</v>
      </c>
      <c r="F927" s="31">
        <f>TRUNC(9.8,2)</f>
        <v>9.8</v>
      </c>
      <c r="G927" s="32">
        <f t="shared" si="46"/>
        <v>147</v>
      </c>
      <c r="H927" s="32"/>
      <c r="I927" s="33"/>
      <c r="J927" s="33"/>
      <c r="K927" s="44"/>
    </row>
    <row r="928" spans="1:11" s="34" customFormat="1" ht="30">
      <c r="A928" s="30"/>
      <c r="B928" s="43" t="s">
        <v>33</v>
      </c>
      <c r="C928" s="45" t="s">
        <v>34</v>
      </c>
      <c r="D928" s="46" t="s">
        <v>4</v>
      </c>
      <c r="E928" s="44">
        <v>11.948</v>
      </c>
      <c r="F928" s="31">
        <f>TRUNC(16.55,2)</f>
        <v>16.55</v>
      </c>
      <c r="G928" s="32">
        <f t="shared" si="46"/>
        <v>197.73</v>
      </c>
      <c r="H928" s="32"/>
      <c r="I928" s="33"/>
      <c r="J928" s="33"/>
      <c r="K928" s="44"/>
    </row>
    <row r="929" spans="1:11" s="34" customFormat="1" ht="15">
      <c r="A929" s="30"/>
      <c r="B929" s="43" t="s">
        <v>35</v>
      </c>
      <c r="C929" s="45" t="s">
        <v>36</v>
      </c>
      <c r="D929" s="46" t="s">
        <v>4</v>
      </c>
      <c r="E929" s="44">
        <v>11.948</v>
      </c>
      <c r="F929" s="31">
        <f>TRUNC(22.86,2)</f>
        <v>22.86</v>
      </c>
      <c r="G929" s="32">
        <f t="shared" si="46"/>
        <v>273.13</v>
      </c>
      <c r="H929" s="32"/>
      <c r="I929" s="33"/>
      <c r="J929" s="33"/>
      <c r="K929" s="44"/>
    </row>
    <row r="930" spans="1:11" s="34" customFormat="1" ht="15">
      <c r="A930" s="30"/>
      <c r="B930" s="43" t="s">
        <v>2207</v>
      </c>
      <c r="C930" s="45" t="s">
        <v>2208</v>
      </c>
      <c r="D930" s="46" t="s">
        <v>0</v>
      </c>
      <c r="E930" s="44">
        <v>4.32</v>
      </c>
      <c r="F930" s="31">
        <f>TRUNC(28.3698,2)</f>
        <v>28.36</v>
      </c>
      <c r="G930" s="32">
        <f t="shared" si="46"/>
        <v>122.51</v>
      </c>
      <c r="H930" s="32"/>
      <c r="I930" s="33"/>
      <c r="J930" s="33"/>
      <c r="K930" s="44"/>
    </row>
    <row r="931" spans="1:11" s="34" customFormat="1" ht="15">
      <c r="A931" s="30"/>
      <c r="B931" s="43" t="s">
        <v>2209</v>
      </c>
      <c r="C931" s="45" t="s">
        <v>2210</v>
      </c>
      <c r="D931" s="46" t="s">
        <v>1</v>
      </c>
      <c r="E931" s="44">
        <v>0.02</v>
      </c>
      <c r="F931" s="31">
        <f>TRUNC(2221.1218,2)</f>
        <v>2221.12</v>
      </c>
      <c r="G931" s="32">
        <f t="shared" si="46"/>
        <v>44.42</v>
      </c>
      <c r="H931" s="32"/>
      <c r="I931" s="33"/>
      <c r="J931" s="33"/>
      <c r="K931" s="44"/>
    </row>
    <row r="932" spans="1:11" s="34" customFormat="1" ht="15">
      <c r="A932" s="30"/>
      <c r="B932" s="43" t="s">
        <v>1758</v>
      </c>
      <c r="C932" s="45" t="s">
        <v>1759</v>
      </c>
      <c r="D932" s="46" t="s">
        <v>1</v>
      </c>
      <c r="E932" s="44">
        <v>0.57</v>
      </c>
      <c r="F932" s="31">
        <f>TRUNC(75.3534,2)</f>
        <v>75.35</v>
      </c>
      <c r="G932" s="32">
        <f t="shared" si="46"/>
        <v>42.94</v>
      </c>
      <c r="H932" s="32"/>
      <c r="I932" s="33"/>
      <c r="J932" s="33"/>
      <c r="K932" s="44"/>
    </row>
    <row r="933" spans="1:11" s="34" customFormat="1" ht="15">
      <c r="A933" s="30"/>
      <c r="B933" s="43" t="s">
        <v>1764</v>
      </c>
      <c r="C933" s="45" t="s">
        <v>1765</v>
      </c>
      <c r="D933" s="46" t="s">
        <v>1</v>
      </c>
      <c r="E933" s="44">
        <v>0.57</v>
      </c>
      <c r="F933" s="31">
        <f>TRUNC(82.5898,2)</f>
        <v>82.58</v>
      </c>
      <c r="G933" s="32">
        <f t="shared" si="46"/>
        <v>47.07</v>
      </c>
      <c r="H933" s="32"/>
      <c r="I933" s="33"/>
      <c r="J933" s="33"/>
      <c r="K933" s="44"/>
    </row>
    <row r="934" spans="1:11" s="34" customFormat="1" ht="15">
      <c r="A934" s="30"/>
      <c r="B934" s="43" t="s">
        <v>1762</v>
      </c>
      <c r="C934" s="45" t="s">
        <v>1763</v>
      </c>
      <c r="D934" s="46" t="s">
        <v>1</v>
      </c>
      <c r="E934" s="44">
        <v>0.1814</v>
      </c>
      <c r="F934" s="31">
        <f>TRUNC(277.3833,2)</f>
        <v>277.38</v>
      </c>
      <c r="G934" s="32">
        <f t="shared" si="46"/>
        <v>50.31</v>
      </c>
      <c r="H934" s="32"/>
      <c r="I934" s="33"/>
      <c r="J934" s="33"/>
      <c r="K934" s="44"/>
    </row>
    <row r="935" spans="1:11" s="34" customFormat="1" ht="15">
      <c r="A935" s="30"/>
      <c r="B935" s="43" t="s">
        <v>1760</v>
      </c>
      <c r="C935" s="45" t="s">
        <v>1761</v>
      </c>
      <c r="D935" s="46" t="s">
        <v>1</v>
      </c>
      <c r="E935" s="44">
        <v>0.0756</v>
      </c>
      <c r="F935" s="31">
        <f>TRUNC(258.9348,2)</f>
        <v>258.93</v>
      </c>
      <c r="G935" s="32">
        <f t="shared" si="46"/>
        <v>19.57</v>
      </c>
      <c r="H935" s="32"/>
      <c r="I935" s="33"/>
      <c r="J935" s="33"/>
      <c r="K935" s="44"/>
    </row>
    <row r="936" spans="1:11" s="34" customFormat="1" ht="15">
      <c r="A936" s="30"/>
      <c r="B936" s="43" t="s">
        <v>1908</v>
      </c>
      <c r="C936" s="45" t="s">
        <v>1909</v>
      </c>
      <c r="D936" s="46" t="s">
        <v>1</v>
      </c>
      <c r="E936" s="44">
        <v>0.48</v>
      </c>
      <c r="F936" s="31">
        <f>TRUNC(326.832,2)</f>
        <v>326.83</v>
      </c>
      <c r="G936" s="32">
        <f t="shared" si="46"/>
        <v>156.87</v>
      </c>
      <c r="H936" s="32"/>
      <c r="I936" s="33"/>
      <c r="J936" s="33"/>
      <c r="K936" s="44"/>
    </row>
    <row r="937" spans="1:11" s="34" customFormat="1" ht="15">
      <c r="A937" s="30"/>
      <c r="B937" s="43"/>
      <c r="C937" s="45"/>
      <c r="D937" s="46"/>
      <c r="E937" s="44" t="s">
        <v>5</v>
      </c>
      <c r="F937" s="31"/>
      <c r="G937" s="32">
        <f>TRUNC(SUM(G924:G936),2)</f>
        <v>2273.19</v>
      </c>
      <c r="H937" s="32"/>
      <c r="I937" s="33"/>
      <c r="J937" s="33"/>
      <c r="K937" s="44"/>
    </row>
    <row r="938" spans="1:11" s="107" customFormat="1" ht="60">
      <c r="A938" s="99" t="s">
        <v>1635</v>
      </c>
      <c r="B938" s="100" t="s">
        <v>2211</v>
      </c>
      <c r="C938" s="101" t="s">
        <v>2212</v>
      </c>
      <c r="D938" s="102" t="s">
        <v>0</v>
      </c>
      <c r="E938" s="103">
        <v>7.84</v>
      </c>
      <c r="F938" s="104">
        <f>TRUNC(G944,2)</f>
        <v>122.54</v>
      </c>
      <c r="G938" s="105">
        <f>TRUNC(F938*1.2247,2)</f>
        <v>150.07</v>
      </c>
      <c r="H938" s="105">
        <f>TRUNC(F938*E938,2)</f>
        <v>960.71</v>
      </c>
      <c r="I938" s="106">
        <f>TRUNC(E938*G938,2)</f>
        <v>1176.54</v>
      </c>
      <c r="J938" s="106"/>
      <c r="K938" s="103"/>
    </row>
    <row r="939" spans="1:11" s="34" customFormat="1" ht="15">
      <c r="A939" s="30"/>
      <c r="B939" s="43" t="s">
        <v>1579</v>
      </c>
      <c r="C939" s="45" t="s">
        <v>1580</v>
      </c>
      <c r="D939" s="46" t="s">
        <v>10</v>
      </c>
      <c r="E939" s="44">
        <v>13</v>
      </c>
      <c r="F939" s="31">
        <f>TRUNC(3.25,2)</f>
        <v>3.25</v>
      </c>
      <c r="G939" s="32">
        <f>TRUNC(E939*F939,2)</f>
        <v>42.25</v>
      </c>
      <c r="H939" s="32"/>
      <c r="I939" s="33"/>
      <c r="J939" s="33"/>
      <c r="K939" s="44"/>
    </row>
    <row r="940" spans="1:11" s="34" customFormat="1" ht="30">
      <c r="A940" s="30"/>
      <c r="B940" s="43" t="s">
        <v>33</v>
      </c>
      <c r="C940" s="45" t="s">
        <v>34</v>
      </c>
      <c r="D940" s="46" t="s">
        <v>4</v>
      </c>
      <c r="E940" s="44">
        <v>1.03</v>
      </c>
      <c r="F940" s="31">
        <f>TRUNC(16.55,2)</f>
        <v>16.55</v>
      </c>
      <c r="G940" s="32">
        <f>TRUNC(E940*F940,2)</f>
        <v>17.04</v>
      </c>
      <c r="H940" s="32"/>
      <c r="I940" s="33"/>
      <c r="J940" s="33"/>
      <c r="K940" s="44"/>
    </row>
    <row r="941" spans="1:11" s="34" customFormat="1" ht="15">
      <c r="A941" s="30"/>
      <c r="B941" s="43" t="s">
        <v>35</v>
      </c>
      <c r="C941" s="45" t="s">
        <v>36</v>
      </c>
      <c r="D941" s="46" t="s">
        <v>4</v>
      </c>
      <c r="E941" s="44">
        <v>1.03</v>
      </c>
      <c r="F941" s="31">
        <f>TRUNC(22.86,2)</f>
        <v>22.86</v>
      </c>
      <c r="G941" s="32">
        <f>TRUNC(E941*F941,2)</f>
        <v>23.54</v>
      </c>
      <c r="H941" s="32"/>
      <c r="I941" s="33"/>
      <c r="J941" s="33"/>
      <c r="K941" s="44"/>
    </row>
    <row r="942" spans="1:11" s="34" customFormat="1" ht="15">
      <c r="A942" s="30"/>
      <c r="B942" s="43" t="s">
        <v>2213</v>
      </c>
      <c r="C942" s="45" t="s">
        <v>2214</v>
      </c>
      <c r="D942" s="46" t="s">
        <v>1</v>
      </c>
      <c r="E942" s="44">
        <v>0.11</v>
      </c>
      <c r="F942" s="31">
        <f>TRUNC(297.6517,2)</f>
        <v>297.65</v>
      </c>
      <c r="G942" s="32">
        <f>TRUNC(E942*F942,2)</f>
        <v>32.74</v>
      </c>
      <c r="H942" s="32"/>
      <c r="I942" s="33"/>
      <c r="J942" s="33"/>
      <c r="K942" s="44"/>
    </row>
    <row r="943" spans="1:11" s="34" customFormat="1" ht="15">
      <c r="A943" s="30"/>
      <c r="B943" s="43" t="s">
        <v>2215</v>
      </c>
      <c r="C943" s="45" t="s">
        <v>2216</v>
      </c>
      <c r="D943" s="46" t="s">
        <v>1</v>
      </c>
      <c r="E943" s="44">
        <v>0.02</v>
      </c>
      <c r="F943" s="31">
        <f>TRUNC(348.842,2)</f>
        <v>348.84</v>
      </c>
      <c r="G943" s="32">
        <f>TRUNC(E943*F943,2)</f>
        <v>6.97</v>
      </c>
      <c r="H943" s="32"/>
      <c r="I943" s="33"/>
      <c r="J943" s="33"/>
      <c r="K943" s="44"/>
    </row>
    <row r="944" spans="1:11" s="34" customFormat="1" ht="15">
      <c r="A944" s="30"/>
      <c r="B944" s="43"/>
      <c r="C944" s="45"/>
      <c r="D944" s="46"/>
      <c r="E944" s="44" t="s">
        <v>5</v>
      </c>
      <c r="F944" s="31"/>
      <c r="G944" s="32">
        <f>TRUNC(SUM(G939:G943),2)</f>
        <v>122.54</v>
      </c>
      <c r="H944" s="32"/>
      <c r="I944" s="33"/>
      <c r="J944" s="33"/>
      <c r="K944" s="44"/>
    </row>
    <row r="945" spans="1:11" s="107" customFormat="1" ht="74.25">
      <c r="A945" s="99" t="s">
        <v>1636</v>
      </c>
      <c r="B945" s="100" t="s">
        <v>2217</v>
      </c>
      <c r="C945" s="101" t="s">
        <v>2218</v>
      </c>
      <c r="D945" s="102" t="s">
        <v>0</v>
      </c>
      <c r="E945" s="103">
        <v>5.76</v>
      </c>
      <c r="F945" s="104">
        <f>TRUNC(G951,2)</f>
        <v>130.66</v>
      </c>
      <c r="G945" s="105">
        <f>TRUNC(F945*1.2247,2)</f>
        <v>160.01</v>
      </c>
      <c r="H945" s="105">
        <f>TRUNC(F945*E945,2)</f>
        <v>752.6</v>
      </c>
      <c r="I945" s="106">
        <f>TRUNC(E945*G945,2)</f>
        <v>921.65</v>
      </c>
      <c r="J945" s="106"/>
      <c r="K945" s="103"/>
    </row>
    <row r="946" spans="1:11" s="34" customFormat="1" ht="15">
      <c r="A946" s="30"/>
      <c r="B946" s="43" t="s">
        <v>1579</v>
      </c>
      <c r="C946" s="45" t="s">
        <v>1580</v>
      </c>
      <c r="D946" s="46" t="s">
        <v>10</v>
      </c>
      <c r="E946" s="44">
        <v>13</v>
      </c>
      <c r="F946" s="31">
        <f>TRUNC(3.25,2)</f>
        <v>3.25</v>
      </c>
      <c r="G946" s="32">
        <f>TRUNC(E946*F946,2)</f>
        <v>42.25</v>
      </c>
      <c r="H946" s="32"/>
      <c r="I946" s="33"/>
      <c r="J946" s="33"/>
      <c r="K946" s="44"/>
    </row>
    <row r="947" spans="1:11" s="34" customFormat="1" ht="30">
      <c r="A947" s="30"/>
      <c r="B947" s="43" t="s">
        <v>33</v>
      </c>
      <c r="C947" s="45" t="s">
        <v>34</v>
      </c>
      <c r="D947" s="46" t="s">
        <v>4</v>
      </c>
      <c r="E947" s="44">
        <v>1.236</v>
      </c>
      <c r="F947" s="31">
        <f>TRUNC(16.55,2)</f>
        <v>16.55</v>
      </c>
      <c r="G947" s="32">
        <f>TRUNC(E947*F947,2)</f>
        <v>20.45</v>
      </c>
      <c r="H947" s="32"/>
      <c r="I947" s="33"/>
      <c r="J947" s="33"/>
      <c r="K947" s="44"/>
    </row>
    <row r="948" spans="1:11" s="34" customFormat="1" ht="15">
      <c r="A948" s="30"/>
      <c r="B948" s="43" t="s">
        <v>35</v>
      </c>
      <c r="C948" s="45" t="s">
        <v>36</v>
      </c>
      <c r="D948" s="46" t="s">
        <v>4</v>
      </c>
      <c r="E948" s="44">
        <v>1.236</v>
      </c>
      <c r="F948" s="31">
        <f>TRUNC(22.86,2)</f>
        <v>22.86</v>
      </c>
      <c r="G948" s="32">
        <f>TRUNC(E948*F948,2)</f>
        <v>28.25</v>
      </c>
      <c r="H948" s="32"/>
      <c r="I948" s="33"/>
      <c r="J948" s="33"/>
      <c r="K948" s="44"/>
    </row>
    <row r="949" spans="1:11" s="34" customFormat="1" ht="15">
      <c r="A949" s="30"/>
      <c r="B949" s="43" t="s">
        <v>2213</v>
      </c>
      <c r="C949" s="45" t="s">
        <v>2214</v>
      </c>
      <c r="D949" s="46" t="s">
        <v>1</v>
      </c>
      <c r="E949" s="44">
        <v>0.11</v>
      </c>
      <c r="F949" s="31">
        <f>TRUNC(297.6517,2)</f>
        <v>297.65</v>
      </c>
      <c r="G949" s="32">
        <f>TRUNC(E949*F949,2)</f>
        <v>32.74</v>
      </c>
      <c r="H949" s="32"/>
      <c r="I949" s="33"/>
      <c r="J949" s="33"/>
      <c r="K949" s="44"/>
    </row>
    <row r="950" spans="1:11" s="34" customFormat="1" ht="15">
      <c r="A950" s="30"/>
      <c r="B950" s="43" t="s">
        <v>2215</v>
      </c>
      <c r="C950" s="45" t="s">
        <v>2216</v>
      </c>
      <c r="D950" s="46" t="s">
        <v>1</v>
      </c>
      <c r="E950" s="44">
        <v>0.02</v>
      </c>
      <c r="F950" s="31">
        <f>TRUNC(348.842,2)</f>
        <v>348.84</v>
      </c>
      <c r="G950" s="32">
        <f>TRUNC(E950*F950,2)</f>
        <v>6.97</v>
      </c>
      <c r="H950" s="32"/>
      <c r="I950" s="33"/>
      <c r="J950" s="33"/>
      <c r="K950" s="44"/>
    </row>
    <row r="951" spans="1:11" s="34" customFormat="1" ht="15">
      <c r="A951" s="30"/>
      <c r="B951" s="43"/>
      <c r="C951" s="45"/>
      <c r="D951" s="46"/>
      <c r="E951" s="44" t="s">
        <v>5</v>
      </c>
      <c r="F951" s="31"/>
      <c r="G951" s="32">
        <f>TRUNC(SUM(G946:G950),2)</f>
        <v>130.66</v>
      </c>
      <c r="H951" s="32"/>
      <c r="I951" s="33"/>
      <c r="J951" s="33"/>
      <c r="K951" s="44"/>
    </row>
    <row r="952" spans="1:11" s="107" customFormat="1" ht="74.25">
      <c r="A952" s="99" t="s">
        <v>1637</v>
      </c>
      <c r="B952" s="100" t="s">
        <v>2217</v>
      </c>
      <c r="C952" s="101" t="s">
        <v>2219</v>
      </c>
      <c r="D952" s="102" t="s">
        <v>0</v>
      </c>
      <c r="E952" s="103">
        <v>5.29</v>
      </c>
      <c r="F952" s="104">
        <f>TRUNC(G958,2)</f>
        <v>130.66</v>
      </c>
      <c r="G952" s="105">
        <f>TRUNC(F952*1.2247,2)</f>
        <v>160.01</v>
      </c>
      <c r="H952" s="105">
        <f>TRUNC(F952*E952,2)</f>
        <v>691.19</v>
      </c>
      <c r="I952" s="106">
        <f>TRUNC(E952*G952,2)</f>
        <v>846.45</v>
      </c>
      <c r="J952" s="106"/>
      <c r="K952" s="103"/>
    </row>
    <row r="953" spans="1:11" s="34" customFormat="1" ht="15">
      <c r="A953" s="30"/>
      <c r="B953" s="43" t="s">
        <v>1579</v>
      </c>
      <c r="C953" s="45" t="s">
        <v>1580</v>
      </c>
      <c r="D953" s="46" t="s">
        <v>10</v>
      </c>
      <c r="E953" s="44">
        <v>13</v>
      </c>
      <c r="F953" s="31">
        <f>TRUNC(3.25,2)</f>
        <v>3.25</v>
      </c>
      <c r="G953" s="32">
        <f>TRUNC(E953*F953,2)</f>
        <v>42.25</v>
      </c>
      <c r="H953" s="32"/>
      <c r="I953" s="33"/>
      <c r="J953" s="33"/>
      <c r="K953" s="44"/>
    </row>
    <row r="954" spans="1:11" s="34" customFormat="1" ht="30">
      <c r="A954" s="30"/>
      <c r="B954" s="43" t="s">
        <v>33</v>
      </c>
      <c r="C954" s="45" t="s">
        <v>34</v>
      </c>
      <c r="D954" s="46" t="s">
        <v>4</v>
      </c>
      <c r="E954" s="44">
        <v>1.236</v>
      </c>
      <c r="F954" s="31">
        <f>TRUNC(16.55,2)</f>
        <v>16.55</v>
      </c>
      <c r="G954" s="32">
        <f>TRUNC(E954*F954,2)</f>
        <v>20.45</v>
      </c>
      <c r="H954" s="32"/>
      <c r="I954" s="33"/>
      <c r="J954" s="33"/>
      <c r="K954" s="44"/>
    </row>
    <row r="955" spans="1:11" s="34" customFormat="1" ht="15">
      <c r="A955" s="30"/>
      <c r="B955" s="43" t="s">
        <v>35</v>
      </c>
      <c r="C955" s="45" t="s">
        <v>36</v>
      </c>
      <c r="D955" s="46" t="s">
        <v>4</v>
      </c>
      <c r="E955" s="44">
        <v>1.236</v>
      </c>
      <c r="F955" s="31">
        <f>TRUNC(22.86,2)</f>
        <v>22.86</v>
      </c>
      <c r="G955" s="32">
        <f>TRUNC(E955*F955,2)</f>
        <v>28.25</v>
      </c>
      <c r="H955" s="32"/>
      <c r="I955" s="33"/>
      <c r="J955" s="33"/>
      <c r="K955" s="44"/>
    </row>
    <row r="956" spans="1:11" s="34" customFormat="1" ht="15">
      <c r="A956" s="30"/>
      <c r="B956" s="43" t="s">
        <v>2213</v>
      </c>
      <c r="C956" s="45" t="s">
        <v>2214</v>
      </c>
      <c r="D956" s="46" t="s">
        <v>1</v>
      </c>
      <c r="E956" s="44">
        <v>0.11</v>
      </c>
      <c r="F956" s="31">
        <f>TRUNC(297.6517,2)</f>
        <v>297.65</v>
      </c>
      <c r="G956" s="32">
        <f>TRUNC(E956*F956,2)</f>
        <v>32.74</v>
      </c>
      <c r="H956" s="32"/>
      <c r="I956" s="33"/>
      <c r="J956" s="33"/>
      <c r="K956" s="44"/>
    </row>
    <row r="957" spans="1:11" s="34" customFormat="1" ht="15">
      <c r="A957" s="30"/>
      <c r="B957" s="43" t="s">
        <v>2215</v>
      </c>
      <c r="C957" s="45" t="s">
        <v>2216</v>
      </c>
      <c r="D957" s="46" t="s">
        <v>1</v>
      </c>
      <c r="E957" s="44">
        <v>0.02</v>
      </c>
      <c r="F957" s="31">
        <f>TRUNC(348.842,2)</f>
        <v>348.84</v>
      </c>
      <c r="G957" s="32">
        <f>TRUNC(E957*F957,2)</f>
        <v>6.97</v>
      </c>
      <c r="H957" s="32"/>
      <c r="I957" s="33"/>
      <c r="J957" s="33"/>
      <c r="K957" s="44"/>
    </row>
    <row r="958" spans="1:11" s="34" customFormat="1" ht="15">
      <c r="A958" s="30"/>
      <c r="B958" s="43"/>
      <c r="C958" s="45"/>
      <c r="D958" s="46"/>
      <c r="E958" s="44" t="s">
        <v>5</v>
      </c>
      <c r="F958" s="31"/>
      <c r="G958" s="32">
        <f>TRUNC(SUM(G953:G957),2)</f>
        <v>130.66</v>
      </c>
      <c r="H958" s="32"/>
      <c r="I958" s="33"/>
      <c r="J958" s="33"/>
      <c r="K958" s="44"/>
    </row>
    <row r="959" spans="1:11" s="107" customFormat="1" ht="74.25">
      <c r="A959" s="99" t="s">
        <v>1638</v>
      </c>
      <c r="B959" s="100" t="s">
        <v>2217</v>
      </c>
      <c r="C959" s="101" t="s">
        <v>2220</v>
      </c>
      <c r="D959" s="102" t="s">
        <v>0</v>
      </c>
      <c r="E959" s="103">
        <v>5.29</v>
      </c>
      <c r="F959" s="104">
        <f>TRUNC(G965,2)</f>
        <v>130.66</v>
      </c>
      <c r="G959" s="105">
        <f>TRUNC(F959*1.2247,2)</f>
        <v>160.01</v>
      </c>
      <c r="H959" s="105">
        <f>TRUNC(F959*E959,2)</f>
        <v>691.19</v>
      </c>
      <c r="I959" s="106">
        <f>TRUNC(E959*G959,2)</f>
        <v>846.45</v>
      </c>
      <c r="J959" s="106"/>
      <c r="K959" s="103"/>
    </row>
    <row r="960" spans="1:11" s="34" customFormat="1" ht="15">
      <c r="A960" s="30"/>
      <c r="B960" s="43" t="s">
        <v>1579</v>
      </c>
      <c r="C960" s="45" t="s">
        <v>1580</v>
      </c>
      <c r="D960" s="46" t="s">
        <v>10</v>
      </c>
      <c r="E960" s="44">
        <v>13</v>
      </c>
      <c r="F960" s="31">
        <f>TRUNC(3.25,2)</f>
        <v>3.25</v>
      </c>
      <c r="G960" s="32">
        <f>TRUNC(E960*F960,2)</f>
        <v>42.25</v>
      </c>
      <c r="H960" s="32"/>
      <c r="I960" s="33"/>
      <c r="J960" s="33"/>
      <c r="K960" s="44"/>
    </row>
    <row r="961" spans="1:11" s="34" customFormat="1" ht="30">
      <c r="A961" s="30"/>
      <c r="B961" s="43" t="s">
        <v>33</v>
      </c>
      <c r="C961" s="45" t="s">
        <v>34</v>
      </c>
      <c r="D961" s="46" t="s">
        <v>4</v>
      </c>
      <c r="E961" s="44">
        <v>1.236</v>
      </c>
      <c r="F961" s="31">
        <f>TRUNC(16.55,2)</f>
        <v>16.55</v>
      </c>
      <c r="G961" s="32">
        <f>TRUNC(E961*F961,2)</f>
        <v>20.45</v>
      </c>
      <c r="H961" s="32"/>
      <c r="I961" s="33"/>
      <c r="J961" s="33"/>
      <c r="K961" s="44"/>
    </row>
    <row r="962" spans="1:11" s="34" customFormat="1" ht="15">
      <c r="A962" s="30"/>
      <c r="B962" s="43" t="s">
        <v>35</v>
      </c>
      <c r="C962" s="45" t="s">
        <v>36</v>
      </c>
      <c r="D962" s="46" t="s">
        <v>4</v>
      </c>
      <c r="E962" s="44">
        <v>1.236</v>
      </c>
      <c r="F962" s="31">
        <f>TRUNC(22.86,2)</f>
        <v>22.86</v>
      </c>
      <c r="G962" s="32">
        <f>TRUNC(E962*F962,2)</f>
        <v>28.25</v>
      </c>
      <c r="H962" s="32"/>
      <c r="I962" s="33"/>
      <c r="J962" s="33"/>
      <c r="K962" s="44"/>
    </row>
    <row r="963" spans="1:11" s="34" customFormat="1" ht="15">
      <c r="A963" s="30"/>
      <c r="B963" s="43" t="s">
        <v>2213</v>
      </c>
      <c r="C963" s="45" t="s">
        <v>2214</v>
      </c>
      <c r="D963" s="46" t="s">
        <v>1</v>
      </c>
      <c r="E963" s="44">
        <v>0.11</v>
      </c>
      <c r="F963" s="31">
        <f>TRUNC(297.6517,2)</f>
        <v>297.65</v>
      </c>
      <c r="G963" s="32">
        <f>TRUNC(E963*F963,2)</f>
        <v>32.74</v>
      </c>
      <c r="H963" s="32"/>
      <c r="I963" s="33"/>
      <c r="J963" s="33"/>
      <c r="K963" s="44"/>
    </row>
    <row r="964" spans="1:11" s="34" customFormat="1" ht="15">
      <c r="A964" s="30"/>
      <c r="B964" s="43" t="s">
        <v>2215</v>
      </c>
      <c r="C964" s="45" t="s">
        <v>2216</v>
      </c>
      <c r="D964" s="46" t="s">
        <v>1</v>
      </c>
      <c r="E964" s="44">
        <v>0.02</v>
      </c>
      <c r="F964" s="31">
        <f>TRUNC(348.842,2)</f>
        <v>348.84</v>
      </c>
      <c r="G964" s="32">
        <f>TRUNC(E964*F964,2)</f>
        <v>6.97</v>
      </c>
      <c r="H964" s="32"/>
      <c r="I964" s="33"/>
      <c r="J964" s="33"/>
      <c r="K964" s="44"/>
    </row>
    <row r="965" spans="1:11" s="34" customFormat="1" ht="15">
      <c r="A965" s="30"/>
      <c r="B965" s="43"/>
      <c r="C965" s="45"/>
      <c r="D965" s="46"/>
      <c r="E965" s="44" t="s">
        <v>5</v>
      </c>
      <c r="F965" s="31"/>
      <c r="G965" s="32">
        <f>TRUNC(SUM(G960:G964),2)</f>
        <v>130.66</v>
      </c>
      <c r="H965" s="32"/>
      <c r="I965" s="33"/>
      <c r="J965" s="33"/>
      <c r="K965" s="44"/>
    </row>
    <row r="966" spans="1:11" s="107" customFormat="1" ht="45">
      <c r="A966" s="99" t="s">
        <v>1639</v>
      </c>
      <c r="B966" s="100" t="s">
        <v>2029</v>
      </c>
      <c r="C966" s="101" t="s">
        <v>670</v>
      </c>
      <c r="D966" s="102" t="s">
        <v>0</v>
      </c>
      <c r="E966" s="103">
        <v>24.18</v>
      </c>
      <c r="F966" s="104">
        <f>TRUNC(G974,2)</f>
        <v>176.19</v>
      </c>
      <c r="G966" s="105">
        <f>TRUNC(F966*1.2247,2)</f>
        <v>215.77</v>
      </c>
      <c r="H966" s="105">
        <f>TRUNC(F966*E966,2)</f>
        <v>4260.27</v>
      </c>
      <c r="I966" s="106">
        <f>TRUNC(E966*G966,2)</f>
        <v>5217.31</v>
      </c>
      <c r="J966" s="106"/>
      <c r="K966" s="103"/>
    </row>
    <row r="967" spans="1:11" s="34" customFormat="1" ht="30">
      <c r="A967" s="30"/>
      <c r="B967" s="43" t="s">
        <v>33</v>
      </c>
      <c r="C967" s="45" t="s">
        <v>34</v>
      </c>
      <c r="D967" s="46" t="s">
        <v>4</v>
      </c>
      <c r="E967" s="44">
        <v>1.03</v>
      </c>
      <c r="F967" s="31">
        <f>TRUNC(16.55,2)</f>
        <v>16.55</v>
      </c>
      <c r="G967" s="32">
        <f aca="true" t="shared" si="47" ref="G967:G973">TRUNC(E967*F967,2)</f>
        <v>17.04</v>
      </c>
      <c r="H967" s="32"/>
      <c r="I967" s="33"/>
      <c r="J967" s="33"/>
      <c r="K967" s="44"/>
    </row>
    <row r="968" spans="1:11" s="34" customFormat="1" ht="15">
      <c r="A968" s="30"/>
      <c r="B968" s="43" t="s">
        <v>2030</v>
      </c>
      <c r="C968" s="45" t="s">
        <v>2031</v>
      </c>
      <c r="D968" s="46" t="s">
        <v>1</v>
      </c>
      <c r="E968" s="44">
        <v>0.06</v>
      </c>
      <c r="F968" s="31">
        <f>TRUNC(86.6563,2)</f>
        <v>86.65</v>
      </c>
      <c r="G968" s="32">
        <f t="shared" si="47"/>
        <v>5.19</v>
      </c>
      <c r="H968" s="32"/>
      <c r="I968" s="33"/>
      <c r="J968" s="33"/>
      <c r="K968" s="44"/>
    </row>
    <row r="969" spans="1:11" s="34" customFormat="1" ht="15">
      <c r="A969" s="30"/>
      <c r="B969" s="43" t="s">
        <v>2032</v>
      </c>
      <c r="C969" s="45" t="s">
        <v>2033</v>
      </c>
      <c r="D969" s="46" t="s">
        <v>3</v>
      </c>
      <c r="E969" s="44">
        <v>3.6</v>
      </c>
      <c r="F969" s="31">
        <f>TRUNC(4.2621,2)</f>
        <v>4.26</v>
      </c>
      <c r="G969" s="32">
        <f t="shared" si="47"/>
        <v>15.33</v>
      </c>
      <c r="H969" s="32"/>
      <c r="I969" s="33"/>
      <c r="J969" s="33"/>
      <c r="K969" s="44"/>
    </row>
    <row r="970" spans="1:11" s="34" customFormat="1" ht="15">
      <c r="A970" s="30"/>
      <c r="B970" s="43" t="s">
        <v>2034</v>
      </c>
      <c r="C970" s="45" t="s">
        <v>2035</v>
      </c>
      <c r="D970" s="46" t="s">
        <v>3</v>
      </c>
      <c r="E970" s="44">
        <v>3.6</v>
      </c>
      <c r="F970" s="31">
        <f>TRUNC(8.6734,2)</f>
        <v>8.67</v>
      </c>
      <c r="G970" s="32">
        <f t="shared" si="47"/>
        <v>31.21</v>
      </c>
      <c r="H970" s="32"/>
      <c r="I970" s="33"/>
      <c r="J970" s="33"/>
      <c r="K970" s="44"/>
    </row>
    <row r="971" spans="1:11" s="34" customFormat="1" ht="15">
      <c r="A971" s="30"/>
      <c r="B971" s="43" t="s">
        <v>1764</v>
      </c>
      <c r="C971" s="45" t="s">
        <v>1765</v>
      </c>
      <c r="D971" s="46" t="s">
        <v>1</v>
      </c>
      <c r="E971" s="44">
        <v>0.06</v>
      </c>
      <c r="F971" s="31">
        <f>TRUNC(82.5898,2)</f>
        <v>82.58</v>
      </c>
      <c r="G971" s="32">
        <f t="shared" si="47"/>
        <v>4.95</v>
      </c>
      <c r="H971" s="32"/>
      <c r="I971" s="33"/>
      <c r="J971" s="33"/>
      <c r="K971" s="44"/>
    </row>
    <row r="972" spans="1:11" s="34" customFormat="1" ht="15">
      <c r="A972" s="30"/>
      <c r="B972" s="43" t="s">
        <v>2036</v>
      </c>
      <c r="C972" s="45" t="s">
        <v>2037</v>
      </c>
      <c r="D972" s="46" t="s">
        <v>0</v>
      </c>
      <c r="E972" s="44">
        <v>1.24</v>
      </c>
      <c r="F972" s="31">
        <f>TRUNC(69.2212,2)</f>
        <v>69.22</v>
      </c>
      <c r="G972" s="32">
        <f t="shared" si="47"/>
        <v>85.83</v>
      </c>
      <c r="H972" s="32"/>
      <c r="I972" s="33"/>
      <c r="J972" s="33"/>
      <c r="K972" s="44"/>
    </row>
    <row r="973" spans="1:11" s="34" customFormat="1" ht="15">
      <c r="A973" s="30"/>
      <c r="B973" s="43" t="s">
        <v>1762</v>
      </c>
      <c r="C973" s="45" t="s">
        <v>1763</v>
      </c>
      <c r="D973" s="46" t="s">
        <v>1</v>
      </c>
      <c r="E973" s="44">
        <v>0.06</v>
      </c>
      <c r="F973" s="31">
        <f>TRUNC(277.3833,2)</f>
        <v>277.38</v>
      </c>
      <c r="G973" s="32">
        <f t="shared" si="47"/>
        <v>16.64</v>
      </c>
      <c r="H973" s="32"/>
      <c r="I973" s="33"/>
      <c r="J973" s="33"/>
      <c r="K973" s="44"/>
    </row>
    <row r="974" spans="1:11" s="34" customFormat="1" ht="15">
      <c r="A974" s="30"/>
      <c r="B974" s="43"/>
      <c r="C974" s="45"/>
      <c r="D974" s="46"/>
      <c r="E974" s="44" t="s">
        <v>5</v>
      </c>
      <c r="F974" s="31"/>
      <c r="G974" s="32">
        <f>TRUNC(SUM(G967:G973),2)</f>
        <v>176.19</v>
      </c>
      <c r="H974" s="32"/>
      <c r="I974" s="33"/>
      <c r="J974" s="33"/>
      <c r="K974" s="44"/>
    </row>
    <row r="975" spans="1:11" s="107" customFormat="1" ht="45">
      <c r="A975" s="99" t="s">
        <v>1640</v>
      </c>
      <c r="B975" s="100" t="s">
        <v>2221</v>
      </c>
      <c r="C975" s="101" t="s">
        <v>1105</v>
      </c>
      <c r="D975" s="102" t="s">
        <v>10</v>
      </c>
      <c r="E975" s="103">
        <v>2</v>
      </c>
      <c r="F975" s="104">
        <f>TRUNC(G979,1)</f>
        <v>450.8</v>
      </c>
      <c r="G975" s="105">
        <f>TRUNC(F975*1.2247,2)</f>
        <v>552.09</v>
      </c>
      <c r="H975" s="105">
        <f>TRUNC(F975*E975,2)</f>
        <v>901.6</v>
      </c>
      <c r="I975" s="106">
        <f>TRUNC(E975*G975,2)</f>
        <v>1104.18</v>
      </c>
      <c r="J975" s="106"/>
      <c r="K975" s="103"/>
    </row>
    <row r="976" spans="1:11" s="34" customFormat="1" ht="30">
      <c r="A976" s="30"/>
      <c r="B976" s="43" t="s">
        <v>165</v>
      </c>
      <c r="C976" s="45" t="s">
        <v>166</v>
      </c>
      <c r="D976" s="46" t="s">
        <v>10</v>
      </c>
      <c r="E976" s="44">
        <v>1</v>
      </c>
      <c r="F976" s="31">
        <f>TRUNC(6.7,2)</f>
        <v>6.7</v>
      </c>
      <c r="G976" s="32">
        <f>TRUNC(E976*F976,2)</f>
        <v>6.7</v>
      </c>
      <c r="H976" s="32"/>
      <c r="I976" s="33"/>
      <c r="J976" s="33"/>
      <c r="K976" s="44"/>
    </row>
    <row r="977" spans="1:11" s="34" customFormat="1" ht="30">
      <c r="A977" s="30"/>
      <c r="B977" s="43" t="s">
        <v>1106</v>
      </c>
      <c r="C977" s="45" t="s">
        <v>1107</v>
      </c>
      <c r="D977" s="46" t="s">
        <v>10</v>
      </c>
      <c r="E977" s="44">
        <v>1</v>
      </c>
      <c r="F977" s="31">
        <f>TRUNC(442.16,2)</f>
        <v>442.16</v>
      </c>
      <c r="G977" s="32">
        <f>TRUNC(E977*F977,2)</f>
        <v>442.16</v>
      </c>
      <c r="H977" s="32"/>
      <c r="I977" s="33"/>
      <c r="J977" s="33"/>
      <c r="K977" s="44"/>
    </row>
    <row r="978" spans="1:11" s="34" customFormat="1" ht="15">
      <c r="A978" s="30"/>
      <c r="B978" s="43" t="s">
        <v>207</v>
      </c>
      <c r="C978" s="45" t="s">
        <v>208</v>
      </c>
      <c r="D978" s="46" t="s">
        <v>10</v>
      </c>
      <c r="E978" s="44">
        <v>1</v>
      </c>
      <c r="F978" s="31">
        <f>TRUNC(1.95,2)</f>
        <v>1.95</v>
      </c>
      <c r="G978" s="32">
        <f>TRUNC(E978*F978,2)</f>
        <v>1.95</v>
      </c>
      <c r="H978" s="32"/>
      <c r="I978" s="33"/>
      <c r="J978" s="33"/>
      <c r="K978" s="44"/>
    </row>
    <row r="979" spans="1:11" s="34" customFormat="1" ht="15">
      <c r="A979" s="30"/>
      <c r="B979" s="43"/>
      <c r="C979" s="45"/>
      <c r="D979" s="46"/>
      <c r="E979" s="44" t="s">
        <v>5</v>
      </c>
      <c r="F979" s="31"/>
      <c r="G979" s="32">
        <f>TRUNC(SUM(G976:G978),2)</f>
        <v>450.81</v>
      </c>
      <c r="H979" s="32"/>
      <c r="I979" s="33"/>
      <c r="J979" s="33"/>
      <c r="K979" s="44"/>
    </row>
    <row r="980" spans="1:11" s="107" customFormat="1" ht="60">
      <c r="A980" s="99" t="s">
        <v>1641</v>
      </c>
      <c r="B980" s="100" t="s">
        <v>2223</v>
      </c>
      <c r="C980" s="101" t="s">
        <v>1104</v>
      </c>
      <c r="D980" s="102" t="s">
        <v>10</v>
      </c>
      <c r="E980" s="103">
        <v>9</v>
      </c>
      <c r="F980" s="104">
        <f>TRUNC(G986,2)</f>
        <v>297.1</v>
      </c>
      <c r="G980" s="105">
        <f>TRUNC(F980*1.2247,2)</f>
        <v>363.85</v>
      </c>
      <c r="H980" s="105">
        <f>TRUNC(F980*E980,2)</f>
        <v>2673.9</v>
      </c>
      <c r="I980" s="106">
        <f>TRUNC(E980*G980,2)</f>
        <v>3274.65</v>
      </c>
      <c r="J980" s="106"/>
      <c r="K980" s="103"/>
    </row>
    <row r="981" spans="1:11" s="34" customFormat="1" ht="30">
      <c r="A981" s="30"/>
      <c r="B981" s="43" t="s">
        <v>165</v>
      </c>
      <c r="C981" s="45" t="s">
        <v>166</v>
      </c>
      <c r="D981" s="46" t="s">
        <v>10</v>
      </c>
      <c r="E981" s="44">
        <v>1</v>
      </c>
      <c r="F981" s="31">
        <f>TRUNC(6.7,2)</f>
        <v>6.7</v>
      </c>
      <c r="G981" s="32">
        <f>TRUNC(E981*F981,2)</f>
        <v>6.7</v>
      </c>
      <c r="H981" s="32"/>
      <c r="I981" s="33"/>
      <c r="J981" s="33"/>
      <c r="K981" s="44"/>
    </row>
    <row r="982" spans="1:11" s="34" customFormat="1" ht="15">
      <c r="A982" s="30"/>
      <c r="B982" s="43" t="s">
        <v>207</v>
      </c>
      <c r="C982" s="45" t="s">
        <v>208</v>
      </c>
      <c r="D982" s="46" t="s">
        <v>10</v>
      </c>
      <c r="E982" s="44">
        <v>1</v>
      </c>
      <c r="F982" s="31">
        <f>TRUNC(1.95,2)</f>
        <v>1.95</v>
      </c>
      <c r="G982" s="32">
        <f>TRUNC(E982*F982,2)</f>
        <v>1.95</v>
      </c>
      <c r="H982" s="32"/>
      <c r="I982" s="33"/>
      <c r="J982" s="33"/>
      <c r="K982" s="44"/>
    </row>
    <row r="983" spans="1:11" s="34" customFormat="1" ht="15">
      <c r="A983" s="30"/>
      <c r="B983" s="52" t="s">
        <v>1101</v>
      </c>
      <c r="C983" s="55" t="s">
        <v>1102</v>
      </c>
      <c r="D983" s="56" t="s">
        <v>10</v>
      </c>
      <c r="E983" s="57">
        <v>1</v>
      </c>
      <c r="F983" s="53">
        <v>47.38</v>
      </c>
      <c r="G983" s="50">
        <f>TRUNC(E983*F983,2)</f>
        <v>47.38</v>
      </c>
      <c r="H983" s="32"/>
      <c r="I983" s="33"/>
      <c r="J983" s="33"/>
      <c r="K983" s="44"/>
    </row>
    <row r="984" spans="1:11" s="34" customFormat="1" ht="15">
      <c r="A984" s="30"/>
      <c r="B984" s="43" t="s">
        <v>1099</v>
      </c>
      <c r="C984" s="45" t="s">
        <v>1100</v>
      </c>
      <c r="D984" s="46" t="s">
        <v>10</v>
      </c>
      <c r="E984" s="44">
        <v>1</v>
      </c>
      <c r="F984" s="31">
        <v>237.39</v>
      </c>
      <c r="G984" s="32">
        <f>TRUNC(E984*F984,2)</f>
        <v>237.39</v>
      </c>
      <c r="H984" s="32"/>
      <c r="I984" s="33"/>
      <c r="J984" s="33"/>
      <c r="K984" s="44"/>
    </row>
    <row r="985" spans="1:11" s="34" customFormat="1" ht="15">
      <c r="A985" s="30"/>
      <c r="B985" s="43" t="s">
        <v>203</v>
      </c>
      <c r="C985" s="45" t="s">
        <v>204</v>
      </c>
      <c r="D985" s="46" t="s">
        <v>10</v>
      </c>
      <c r="E985" s="44">
        <v>1</v>
      </c>
      <c r="F985" s="31">
        <f>TRUNC(3.68,2)</f>
        <v>3.68</v>
      </c>
      <c r="G985" s="32">
        <f>TRUNC(E985*F985,2)</f>
        <v>3.68</v>
      </c>
      <c r="H985" s="32"/>
      <c r="I985" s="33"/>
      <c r="J985" s="33"/>
      <c r="K985" s="44"/>
    </row>
    <row r="986" spans="1:11" s="34" customFormat="1" ht="15">
      <c r="A986" s="30"/>
      <c r="B986" s="43"/>
      <c r="C986" s="45"/>
      <c r="D986" s="46"/>
      <c r="E986" s="44" t="s">
        <v>5</v>
      </c>
      <c r="F986" s="31"/>
      <c r="G986" s="32">
        <f>TRUNC(SUM(G981:G985),2)</f>
        <v>297.1</v>
      </c>
      <c r="H986" s="32"/>
      <c r="I986" s="33"/>
      <c r="J986" s="33"/>
      <c r="K986" s="44"/>
    </row>
    <row r="987" spans="1:11" s="107" customFormat="1" ht="60">
      <c r="A987" s="99" t="s">
        <v>1642</v>
      </c>
      <c r="B987" s="100" t="s">
        <v>2222</v>
      </c>
      <c r="C987" s="101" t="s">
        <v>727</v>
      </c>
      <c r="D987" s="102" t="s">
        <v>10</v>
      </c>
      <c r="E987" s="103">
        <v>3</v>
      </c>
      <c r="F987" s="104">
        <f>TRUNC(G993,2)</f>
        <v>274.17</v>
      </c>
      <c r="G987" s="105">
        <f>TRUNC(F987*1.2247,2)</f>
        <v>335.77</v>
      </c>
      <c r="H987" s="105">
        <f>TRUNC(F987*E987,2)</f>
        <v>822.51</v>
      </c>
      <c r="I987" s="106">
        <f>TRUNC(E987*G987,2)</f>
        <v>1007.31</v>
      </c>
      <c r="J987" s="106"/>
      <c r="K987" s="103"/>
    </row>
    <row r="988" spans="1:11" s="34" customFormat="1" ht="30">
      <c r="A988" s="30"/>
      <c r="B988" s="43" t="s">
        <v>165</v>
      </c>
      <c r="C988" s="45" t="s">
        <v>166</v>
      </c>
      <c r="D988" s="46" t="s">
        <v>10</v>
      </c>
      <c r="E988" s="44">
        <v>1</v>
      </c>
      <c r="F988" s="31">
        <f>TRUNC(6.7,2)</f>
        <v>6.7</v>
      </c>
      <c r="G988" s="32">
        <f>TRUNC(E988*F988,2)</f>
        <v>6.7</v>
      </c>
      <c r="H988" s="32"/>
      <c r="I988" s="33"/>
      <c r="J988" s="33"/>
      <c r="K988" s="44"/>
    </row>
    <row r="989" spans="1:11" s="34" customFormat="1" ht="15">
      <c r="A989" s="30"/>
      <c r="B989" s="43" t="s">
        <v>207</v>
      </c>
      <c r="C989" s="45" t="s">
        <v>208</v>
      </c>
      <c r="D989" s="46" t="s">
        <v>10</v>
      </c>
      <c r="E989" s="44">
        <v>1</v>
      </c>
      <c r="F989" s="31">
        <f>TRUNC(1.95,2)</f>
        <v>1.95</v>
      </c>
      <c r="G989" s="32">
        <f>TRUNC(E989*F989,2)</f>
        <v>1.95</v>
      </c>
      <c r="H989" s="32"/>
      <c r="I989" s="33"/>
      <c r="J989" s="33"/>
      <c r="K989" s="44"/>
    </row>
    <row r="990" spans="1:11" s="34" customFormat="1" ht="15">
      <c r="A990" s="30"/>
      <c r="B990" s="43" t="s">
        <v>197</v>
      </c>
      <c r="C990" s="45" t="s">
        <v>198</v>
      </c>
      <c r="D990" s="46" t="s">
        <v>10</v>
      </c>
      <c r="E990" s="44">
        <v>1</v>
      </c>
      <c r="F990" s="31">
        <f>TRUNC(13.34,2)</f>
        <v>13.34</v>
      </c>
      <c r="G990" s="32">
        <f>TRUNC(E990*F990,2)</f>
        <v>13.34</v>
      </c>
      <c r="H990" s="32"/>
      <c r="I990" s="33"/>
      <c r="J990" s="33"/>
      <c r="K990" s="44"/>
    </row>
    <row r="991" spans="1:11" s="34" customFormat="1" ht="30">
      <c r="A991" s="30"/>
      <c r="B991" s="43" t="s">
        <v>728</v>
      </c>
      <c r="C991" s="45" t="s">
        <v>729</v>
      </c>
      <c r="D991" s="46" t="s">
        <v>10</v>
      </c>
      <c r="E991" s="44">
        <v>1</v>
      </c>
      <c r="F991" s="31">
        <f>TRUNC(248.5,2)</f>
        <v>248.5</v>
      </c>
      <c r="G991" s="32">
        <f>TRUNC(E991*F991,2)</f>
        <v>248.5</v>
      </c>
      <c r="H991" s="32"/>
      <c r="I991" s="33"/>
      <c r="J991" s="33"/>
      <c r="K991" s="44"/>
    </row>
    <row r="992" spans="1:11" s="34" customFormat="1" ht="15">
      <c r="A992" s="30"/>
      <c r="B992" s="43" t="s">
        <v>203</v>
      </c>
      <c r="C992" s="45" t="s">
        <v>204</v>
      </c>
      <c r="D992" s="46" t="s">
        <v>10</v>
      </c>
      <c r="E992" s="44">
        <v>1</v>
      </c>
      <c r="F992" s="31">
        <f>TRUNC(3.68,2)</f>
        <v>3.68</v>
      </c>
      <c r="G992" s="32">
        <f>TRUNC(E992*F992,2)</f>
        <v>3.68</v>
      </c>
      <c r="H992" s="32"/>
      <c r="I992" s="33"/>
      <c r="J992" s="33"/>
      <c r="K992" s="44"/>
    </row>
    <row r="993" spans="1:11" s="34" customFormat="1" ht="15">
      <c r="A993" s="30"/>
      <c r="B993" s="43"/>
      <c r="C993" s="45"/>
      <c r="D993" s="46"/>
      <c r="E993" s="44" t="s">
        <v>5</v>
      </c>
      <c r="F993" s="31"/>
      <c r="G993" s="32">
        <f>TRUNC(SUM(G988:G992),2)</f>
        <v>274.17</v>
      </c>
      <c r="H993" s="32"/>
      <c r="I993" s="33"/>
      <c r="J993" s="33"/>
      <c r="K993" s="44"/>
    </row>
    <row r="994" spans="1:11" s="107" customFormat="1" ht="30">
      <c r="A994" s="99" t="s">
        <v>1643</v>
      </c>
      <c r="B994" s="100" t="s">
        <v>1993</v>
      </c>
      <c r="C994" s="101" t="s">
        <v>465</v>
      </c>
      <c r="D994" s="102" t="s">
        <v>10</v>
      </c>
      <c r="E994" s="103">
        <v>11</v>
      </c>
      <c r="F994" s="104">
        <f>TRUNC(G999,2)</f>
        <v>279.1</v>
      </c>
      <c r="G994" s="105">
        <f>TRUNC(F994*1.2247,2)</f>
        <v>341.81</v>
      </c>
      <c r="H994" s="105">
        <f>TRUNC(F994*E994,2)</f>
        <v>3070.1</v>
      </c>
      <c r="I994" s="106">
        <f>TRUNC(E994*G994,2)</f>
        <v>3759.91</v>
      </c>
      <c r="J994" s="106"/>
      <c r="K994" s="103"/>
    </row>
    <row r="995" spans="1:11" s="34" customFormat="1" ht="30">
      <c r="A995" s="30"/>
      <c r="B995" s="43" t="s">
        <v>1994</v>
      </c>
      <c r="C995" s="45" t="s">
        <v>467</v>
      </c>
      <c r="D995" s="46" t="s">
        <v>10</v>
      </c>
      <c r="E995" s="44">
        <v>1</v>
      </c>
      <c r="F995" s="31">
        <f>TRUNC(237.8,2)</f>
        <v>237.8</v>
      </c>
      <c r="G995" s="32">
        <f>TRUNC(E995*F995,2)</f>
        <v>237.8</v>
      </c>
      <c r="H995" s="32"/>
      <c r="I995" s="33"/>
      <c r="J995" s="33"/>
      <c r="K995" s="44"/>
    </row>
    <row r="996" spans="1:11" s="34" customFormat="1" ht="15">
      <c r="A996" s="30"/>
      <c r="B996" s="43" t="s">
        <v>1973</v>
      </c>
      <c r="C996" s="45" t="s">
        <v>415</v>
      </c>
      <c r="D996" s="46" t="s">
        <v>10</v>
      </c>
      <c r="E996" s="44">
        <v>0.019</v>
      </c>
      <c r="F996" s="31">
        <f>TRUNC(14.38,2)</f>
        <v>14.38</v>
      </c>
      <c r="G996" s="32">
        <f>TRUNC(E996*F996,2)</f>
        <v>0.27</v>
      </c>
      <c r="H996" s="32"/>
      <c r="I996" s="33"/>
      <c r="J996" s="33"/>
      <c r="K996" s="44"/>
    </row>
    <row r="997" spans="1:11" s="34" customFormat="1" ht="15">
      <c r="A997" s="30"/>
      <c r="B997" s="43" t="s">
        <v>1933</v>
      </c>
      <c r="C997" s="45" t="s">
        <v>417</v>
      </c>
      <c r="D997" s="46" t="s">
        <v>4</v>
      </c>
      <c r="E997" s="44">
        <v>0.789</v>
      </c>
      <c r="F997" s="31">
        <f>TRUNC(29.32,2)</f>
        <v>29.32</v>
      </c>
      <c r="G997" s="32">
        <f>TRUNC(E997*F997,2)</f>
        <v>23.13</v>
      </c>
      <c r="H997" s="32"/>
      <c r="I997" s="33"/>
      <c r="J997" s="33"/>
      <c r="K997" s="44"/>
    </row>
    <row r="998" spans="1:11" s="34" customFormat="1" ht="30">
      <c r="A998" s="30"/>
      <c r="B998" s="43" t="s">
        <v>1974</v>
      </c>
      <c r="C998" s="45" t="s">
        <v>419</v>
      </c>
      <c r="D998" s="46" t="s">
        <v>4</v>
      </c>
      <c r="E998" s="44">
        <v>0.789</v>
      </c>
      <c r="F998" s="31">
        <f>TRUNC(22.69,2)</f>
        <v>22.69</v>
      </c>
      <c r="G998" s="32">
        <f>TRUNC(E998*F998,2)</f>
        <v>17.9</v>
      </c>
      <c r="H998" s="32"/>
      <c r="I998" s="33"/>
      <c r="J998" s="33"/>
      <c r="K998" s="44"/>
    </row>
    <row r="999" spans="1:11" s="34" customFormat="1" ht="15">
      <c r="A999" s="30"/>
      <c r="B999" s="43"/>
      <c r="C999" s="45"/>
      <c r="D999" s="46"/>
      <c r="E999" s="44" t="s">
        <v>5</v>
      </c>
      <c r="F999" s="31"/>
      <c r="G999" s="32">
        <f>TRUNC(SUM(G995:G998),2)</f>
        <v>279.1</v>
      </c>
      <c r="H999" s="32"/>
      <c r="I999" s="33"/>
      <c r="J999" s="33"/>
      <c r="K999" s="44"/>
    </row>
    <row r="1000" spans="1:11" s="107" customFormat="1" ht="30">
      <c r="A1000" s="99" t="s">
        <v>1644</v>
      </c>
      <c r="B1000" s="100" t="s">
        <v>2224</v>
      </c>
      <c r="C1000" s="101" t="s">
        <v>1551</v>
      </c>
      <c r="D1000" s="102" t="s">
        <v>10</v>
      </c>
      <c r="E1000" s="103">
        <v>14</v>
      </c>
      <c r="F1000" s="104">
        <f>TRUNC(G1003,2)</f>
        <v>35.23</v>
      </c>
      <c r="G1000" s="105">
        <f>TRUNC(F1000*1.2247,2)</f>
        <v>43.14</v>
      </c>
      <c r="H1000" s="105">
        <f>TRUNC(F1000*E1000,2)</f>
        <v>493.22</v>
      </c>
      <c r="I1000" s="106">
        <f>TRUNC(E1000*G1000,2)</f>
        <v>603.96</v>
      </c>
      <c r="J1000" s="106"/>
      <c r="K1000" s="103"/>
    </row>
    <row r="1001" spans="1:11" s="34" customFormat="1" ht="15">
      <c r="A1001" s="30"/>
      <c r="B1001" s="43" t="s">
        <v>1552</v>
      </c>
      <c r="C1001" s="45" t="s">
        <v>1553</v>
      </c>
      <c r="D1001" s="46" t="s">
        <v>10</v>
      </c>
      <c r="E1001" s="44">
        <v>1</v>
      </c>
      <c r="F1001" s="31">
        <f>TRUNC(22.56,2)</f>
        <v>22.56</v>
      </c>
      <c r="G1001" s="32">
        <f>TRUNC(E1001*F1001,2)</f>
        <v>22.56</v>
      </c>
      <c r="H1001" s="32"/>
      <c r="I1001" s="33"/>
      <c r="J1001" s="33"/>
      <c r="K1001" s="44"/>
    </row>
    <row r="1002" spans="1:11" s="34" customFormat="1" ht="15">
      <c r="A1002" s="30"/>
      <c r="B1002" s="43" t="s">
        <v>1882</v>
      </c>
      <c r="C1002" s="45" t="s">
        <v>1883</v>
      </c>
      <c r="D1002" s="46" t="s">
        <v>4</v>
      </c>
      <c r="E1002" s="44">
        <v>0.515</v>
      </c>
      <c r="F1002" s="31">
        <f>TRUNC(24.61,2)</f>
        <v>24.61</v>
      </c>
      <c r="G1002" s="32">
        <f>TRUNC(E1002*F1002,2)</f>
        <v>12.67</v>
      </c>
      <c r="H1002" s="32"/>
      <c r="I1002" s="33"/>
      <c r="J1002" s="33"/>
      <c r="K1002" s="44"/>
    </row>
    <row r="1003" spans="1:11" s="34" customFormat="1" ht="15">
      <c r="A1003" s="30"/>
      <c r="B1003" s="43"/>
      <c r="C1003" s="45"/>
      <c r="D1003" s="46"/>
      <c r="E1003" s="44" t="s">
        <v>5</v>
      </c>
      <c r="F1003" s="31"/>
      <c r="G1003" s="32">
        <f>TRUNC(SUM(G1001:G1002),2)</f>
        <v>35.23</v>
      </c>
      <c r="H1003" s="32"/>
      <c r="I1003" s="33"/>
      <c r="J1003" s="33"/>
      <c r="K1003" s="44"/>
    </row>
    <row r="1004" spans="1:11" s="107" customFormat="1" ht="45">
      <c r="A1004" s="99" t="s">
        <v>1645</v>
      </c>
      <c r="B1004" s="100" t="s">
        <v>1109</v>
      </c>
      <c r="C1004" s="101" t="s">
        <v>1110</v>
      </c>
      <c r="D1004" s="102" t="s">
        <v>10</v>
      </c>
      <c r="E1004" s="103">
        <v>3</v>
      </c>
      <c r="F1004" s="104">
        <f>TRUNC(G1006,2)</f>
        <v>45.22</v>
      </c>
      <c r="G1004" s="105">
        <f>TRUNC(F1004*1.2247,2)</f>
        <v>55.38</v>
      </c>
      <c r="H1004" s="105">
        <f>TRUNC(F1004*E1004,2)</f>
        <v>135.66</v>
      </c>
      <c r="I1004" s="106">
        <f>TRUNC(E1004*G1004,2)</f>
        <v>166.14</v>
      </c>
      <c r="J1004" s="106"/>
      <c r="K1004" s="103"/>
    </row>
    <row r="1005" spans="1:11" s="34" customFormat="1" ht="15">
      <c r="A1005" s="30"/>
      <c r="B1005" s="43" t="s">
        <v>1111</v>
      </c>
      <c r="C1005" s="45" t="s">
        <v>1112</v>
      </c>
      <c r="D1005" s="46" t="s">
        <v>10</v>
      </c>
      <c r="E1005" s="44">
        <v>1</v>
      </c>
      <c r="F1005" s="31">
        <f>TRUNC(45.22,2)</f>
        <v>45.22</v>
      </c>
      <c r="G1005" s="32">
        <f>TRUNC(E1005*F1005,2)</f>
        <v>45.22</v>
      </c>
      <c r="H1005" s="32"/>
      <c r="I1005" s="33"/>
      <c r="J1005" s="33"/>
      <c r="K1005" s="44"/>
    </row>
    <row r="1006" spans="1:11" s="34" customFormat="1" ht="15">
      <c r="A1006" s="30"/>
      <c r="B1006" s="43"/>
      <c r="C1006" s="45"/>
      <c r="D1006" s="46"/>
      <c r="E1006" s="44" t="s">
        <v>5</v>
      </c>
      <c r="F1006" s="31"/>
      <c r="G1006" s="32">
        <f>TRUNC(SUM(G1005:G1005),2)</f>
        <v>45.22</v>
      </c>
      <c r="H1006" s="32"/>
      <c r="I1006" s="33"/>
      <c r="J1006" s="33"/>
      <c r="K1006" s="44"/>
    </row>
    <row r="1007" spans="1:11" s="107" customFormat="1" ht="30">
      <c r="A1007" s="99" t="s">
        <v>1646</v>
      </c>
      <c r="B1007" s="100" t="s">
        <v>2226</v>
      </c>
      <c r="C1007" s="101" t="s">
        <v>1114</v>
      </c>
      <c r="D1007" s="102" t="s">
        <v>10</v>
      </c>
      <c r="E1007" s="103">
        <v>4</v>
      </c>
      <c r="F1007" s="104">
        <f>TRUNC(G1013,2)</f>
        <v>155.26</v>
      </c>
      <c r="G1007" s="105">
        <f>TRUNC(F1007*1.2247,2)</f>
        <v>190.14</v>
      </c>
      <c r="H1007" s="105">
        <f>TRUNC(F1007*E1007,2)</f>
        <v>621.04</v>
      </c>
      <c r="I1007" s="106">
        <f>TRUNC(E1007*G1007,2)</f>
        <v>760.56</v>
      </c>
      <c r="J1007" s="106"/>
      <c r="K1007" s="103"/>
    </row>
    <row r="1008" spans="1:11" s="34" customFormat="1" ht="15">
      <c r="A1008" s="30"/>
      <c r="B1008" s="43" t="s">
        <v>2227</v>
      </c>
      <c r="C1008" s="45" t="s">
        <v>734</v>
      </c>
      <c r="D1008" s="46" t="s">
        <v>3</v>
      </c>
      <c r="E1008" s="44">
        <v>0.0304</v>
      </c>
      <c r="F1008" s="31">
        <f>TRUNC(72.96,2)</f>
        <v>72.96</v>
      </c>
      <c r="G1008" s="32">
        <f>TRUNC(E1008*F1008,2)</f>
        <v>2.21</v>
      </c>
      <c r="H1008" s="32"/>
      <c r="I1008" s="33"/>
      <c r="J1008" s="33"/>
      <c r="K1008" s="44"/>
    </row>
    <row r="1009" spans="1:11" s="34" customFormat="1" ht="30">
      <c r="A1009" s="30"/>
      <c r="B1009" s="43" t="s">
        <v>2228</v>
      </c>
      <c r="C1009" s="45" t="s">
        <v>1116</v>
      </c>
      <c r="D1009" s="46" t="s">
        <v>10</v>
      </c>
      <c r="E1009" s="44">
        <v>1</v>
      </c>
      <c r="F1009" s="31">
        <f>TRUNC(99.56,2)</f>
        <v>99.56</v>
      </c>
      <c r="G1009" s="32">
        <f>TRUNC(E1009*F1009,2)</f>
        <v>99.56</v>
      </c>
      <c r="H1009" s="32"/>
      <c r="I1009" s="33"/>
      <c r="J1009" s="33"/>
      <c r="K1009" s="44"/>
    </row>
    <row r="1010" spans="1:11" s="34" customFormat="1" ht="30">
      <c r="A1010" s="30"/>
      <c r="B1010" s="43" t="s">
        <v>1932</v>
      </c>
      <c r="C1010" s="45" t="s">
        <v>736</v>
      </c>
      <c r="D1010" s="46" t="s">
        <v>10</v>
      </c>
      <c r="E1010" s="44">
        <v>2</v>
      </c>
      <c r="F1010" s="31">
        <f>TRUNC(18.87,2)</f>
        <v>18.87</v>
      </c>
      <c r="G1010" s="32">
        <f>TRUNC(E1010*F1010,2)</f>
        <v>37.74</v>
      </c>
      <c r="H1010" s="32"/>
      <c r="I1010" s="33"/>
      <c r="J1010" s="33"/>
      <c r="K1010" s="44"/>
    </row>
    <row r="1011" spans="1:11" s="34" customFormat="1" ht="15">
      <c r="A1011" s="30"/>
      <c r="B1011" s="43" t="s">
        <v>43</v>
      </c>
      <c r="C1011" s="45" t="s">
        <v>32</v>
      </c>
      <c r="D1011" s="46" t="s">
        <v>4</v>
      </c>
      <c r="E1011" s="44">
        <v>0.1886</v>
      </c>
      <c r="F1011" s="31">
        <f>TRUNC(23.42,2)</f>
        <v>23.42</v>
      </c>
      <c r="G1011" s="32">
        <f>TRUNC(E1011*F1011,2)</f>
        <v>4.41</v>
      </c>
      <c r="H1011" s="32"/>
      <c r="I1011" s="33"/>
      <c r="J1011" s="33"/>
      <c r="K1011" s="44"/>
    </row>
    <row r="1012" spans="1:11" s="34" customFormat="1" ht="15">
      <c r="A1012" s="30"/>
      <c r="B1012" s="43" t="s">
        <v>1933</v>
      </c>
      <c r="C1012" s="45" t="s">
        <v>417</v>
      </c>
      <c r="D1012" s="46" t="s">
        <v>4</v>
      </c>
      <c r="E1012" s="44">
        <v>0.387</v>
      </c>
      <c r="F1012" s="31">
        <f>TRUNC(29.32,2)</f>
        <v>29.32</v>
      </c>
      <c r="G1012" s="32">
        <f>TRUNC(E1012*F1012,2)</f>
        <v>11.34</v>
      </c>
      <c r="H1012" s="32"/>
      <c r="I1012" s="33"/>
      <c r="J1012" s="33"/>
      <c r="K1012" s="44"/>
    </row>
    <row r="1013" spans="1:11" s="34" customFormat="1" ht="15">
      <c r="A1013" s="30"/>
      <c r="B1013" s="43"/>
      <c r="C1013" s="45"/>
      <c r="D1013" s="46"/>
      <c r="E1013" s="44" t="s">
        <v>5</v>
      </c>
      <c r="F1013" s="31"/>
      <c r="G1013" s="32">
        <f>TRUNC(SUM(G1008:G1012),2)</f>
        <v>155.26</v>
      </c>
      <c r="H1013" s="32"/>
      <c r="I1013" s="33"/>
      <c r="J1013" s="33"/>
      <c r="K1013" s="44"/>
    </row>
    <row r="1014" spans="1:11" s="107" customFormat="1" ht="45">
      <c r="A1014" s="99" t="s">
        <v>1647</v>
      </c>
      <c r="B1014" s="100" t="s">
        <v>2229</v>
      </c>
      <c r="C1014" s="101" t="s">
        <v>1130</v>
      </c>
      <c r="D1014" s="102" t="s">
        <v>10</v>
      </c>
      <c r="E1014" s="103">
        <v>17</v>
      </c>
      <c r="F1014" s="104">
        <f>TRUNC(G1018,2)</f>
        <v>191.08</v>
      </c>
      <c r="G1014" s="105">
        <f>TRUNC(F1014*1.2247,2)</f>
        <v>234.01</v>
      </c>
      <c r="H1014" s="105">
        <f>TRUNC(F1014*E1014,2)</f>
        <v>3248.36</v>
      </c>
      <c r="I1014" s="106">
        <f>TRUNC(E1014*G1014,2)</f>
        <v>3978.17</v>
      </c>
      <c r="J1014" s="106"/>
      <c r="K1014" s="103"/>
    </row>
    <row r="1015" spans="1:11" s="34" customFormat="1" ht="30">
      <c r="A1015" s="30"/>
      <c r="B1015" s="43" t="s">
        <v>2230</v>
      </c>
      <c r="C1015" s="45" t="s">
        <v>2231</v>
      </c>
      <c r="D1015" s="46" t="s">
        <v>10</v>
      </c>
      <c r="E1015" s="44">
        <v>1</v>
      </c>
      <c r="F1015" s="31">
        <f>TRUNC(150.93,2)</f>
        <v>150.93</v>
      </c>
      <c r="G1015" s="32">
        <f>TRUNC(E1015*F1015,2)</f>
        <v>150.93</v>
      </c>
      <c r="H1015" s="32"/>
      <c r="I1015" s="33"/>
      <c r="J1015" s="33"/>
      <c r="K1015" s="44"/>
    </row>
    <row r="1016" spans="1:11" s="34" customFormat="1" ht="30">
      <c r="A1016" s="30"/>
      <c r="B1016" s="43" t="s">
        <v>2232</v>
      </c>
      <c r="C1016" s="45" t="s">
        <v>2233</v>
      </c>
      <c r="D1016" s="46" t="s">
        <v>10</v>
      </c>
      <c r="E1016" s="44">
        <v>1</v>
      </c>
      <c r="F1016" s="31">
        <f>TRUNC(14.66,2)</f>
        <v>14.66</v>
      </c>
      <c r="G1016" s="32">
        <f>TRUNC(E1016*F1016,2)</f>
        <v>14.66</v>
      </c>
      <c r="H1016" s="32"/>
      <c r="I1016" s="33"/>
      <c r="J1016" s="33"/>
      <c r="K1016" s="44"/>
    </row>
    <row r="1017" spans="1:11" s="34" customFormat="1" ht="30">
      <c r="A1017" s="30"/>
      <c r="B1017" s="43" t="s">
        <v>2234</v>
      </c>
      <c r="C1017" s="45" t="s">
        <v>2235</v>
      </c>
      <c r="D1017" s="46" t="s">
        <v>10</v>
      </c>
      <c r="E1017" s="44">
        <v>1</v>
      </c>
      <c r="F1017" s="31">
        <f>TRUNC(25.49,2)</f>
        <v>25.49</v>
      </c>
      <c r="G1017" s="32">
        <f>TRUNC(E1017*F1017,2)</f>
        <v>25.49</v>
      </c>
      <c r="H1017" s="32"/>
      <c r="I1017" s="33"/>
      <c r="J1017" s="33"/>
      <c r="K1017" s="44"/>
    </row>
    <row r="1018" spans="1:11" s="34" customFormat="1" ht="15">
      <c r="A1018" s="30"/>
      <c r="B1018" s="43"/>
      <c r="C1018" s="45"/>
      <c r="D1018" s="46"/>
      <c r="E1018" s="44" t="s">
        <v>5</v>
      </c>
      <c r="F1018" s="31"/>
      <c r="G1018" s="32">
        <f>TRUNC(SUM(G1015:G1017),2)</f>
        <v>191.08</v>
      </c>
      <c r="H1018" s="32"/>
      <c r="I1018" s="33"/>
      <c r="J1018" s="33"/>
      <c r="K1018" s="44"/>
    </row>
    <row r="1019" spans="1:11" s="107" customFormat="1" ht="30">
      <c r="A1019" s="99" t="s">
        <v>1648</v>
      </c>
      <c r="B1019" s="100" t="s">
        <v>2236</v>
      </c>
      <c r="C1019" s="101" t="s">
        <v>738</v>
      </c>
      <c r="D1019" s="102" t="s">
        <v>10</v>
      </c>
      <c r="E1019" s="103">
        <v>21</v>
      </c>
      <c r="F1019" s="104">
        <f>TRUNC(G1024,2)</f>
        <v>45.49</v>
      </c>
      <c r="G1019" s="105">
        <f>TRUNC(F1019*1.2247,2)</f>
        <v>55.71</v>
      </c>
      <c r="H1019" s="105">
        <f>TRUNC(F1019*E1019,2)</f>
        <v>955.29</v>
      </c>
      <c r="I1019" s="106">
        <f>TRUNC(E1019*G1019,2)</f>
        <v>1169.91</v>
      </c>
      <c r="J1019" s="106"/>
      <c r="K1019" s="103"/>
    </row>
    <row r="1020" spans="1:11" s="34" customFormat="1" ht="30">
      <c r="A1020" s="30"/>
      <c r="B1020" s="43" t="s">
        <v>2237</v>
      </c>
      <c r="C1020" s="45" t="s">
        <v>740</v>
      </c>
      <c r="D1020" s="46" t="s">
        <v>10</v>
      </c>
      <c r="E1020" s="44">
        <v>1</v>
      </c>
      <c r="F1020" s="31">
        <f>TRUNC(41.9,2)</f>
        <v>41.9</v>
      </c>
      <c r="G1020" s="32">
        <f>TRUNC(E1020*F1020,2)</f>
        <v>41.9</v>
      </c>
      <c r="H1020" s="32"/>
      <c r="I1020" s="33"/>
      <c r="J1020" s="33"/>
      <c r="K1020" s="44"/>
    </row>
    <row r="1021" spans="1:11" s="34" customFormat="1" ht="15">
      <c r="A1021" s="30"/>
      <c r="B1021" s="43" t="s">
        <v>2238</v>
      </c>
      <c r="C1021" s="45" t="s">
        <v>732</v>
      </c>
      <c r="D1021" s="46" t="s">
        <v>10</v>
      </c>
      <c r="E1021" s="44">
        <v>0.021</v>
      </c>
      <c r="F1021" s="31">
        <f>TRUNC(3.9,2)</f>
        <v>3.9</v>
      </c>
      <c r="G1021" s="32">
        <f>TRUNC(E1021*F1021,2)</f>
        <v>0.08</v>
      </c>
      <c r="H1021" s="32"/>
      <c r="I1021" s="33"/>
      <c r="J1021" s="33"/>
      <c r="K1021" s="44"/>
    </row>
    <row r="1022" spans="1:11" s="34" customFormat="1" ht="15">
      <c r="A1022" s="30"/>
      <c r="B1022" s="43" t="s">
        <v>43</v>
      </c>
      <c r="C1022" s="45" t="s">
        <v>32</v>
      </c>
      <c r="D1022" s="46" t="s">
        <v>4</v>
      </c>
      <c r="E1022" s="44">
        <v>0.0303</v>
      </c>
      <c r="F1022" s="31">
        <f>TRUNC(23.42,2)</f>
        <v>23.42</v>
      </c>
      <c r="G1022" s="32">
        <f>TRUNC(E1022*F1022,2)</f>
        <v>0.7</v>
      </c>
      <c r="H1022" s="32"/>
      <c r="I1022" s="33"/>
      <c r="J1022" s="33"/>
      <c r="K1022" s="44"/>
    </row>
    <row r="1023" spans="1:11" s="34" customFormat="1" ht="15">
      <c r="A1023" s="30"/>
      <c r="B1023" s="43" t="s">
        <v>1933</v>
      </c>
      <c r="C1023" s="45" t="s">
        <v>417</v>
      </c>
      <c r="D1023" s="46" t="s">
        <v>4</v>
      </c>
      <c r="E1023" s="44">
        <v>0.096</v>
      </c>
      <c r="F1023" s="31">
        <f>TRUNC(29.32,2)</f>
        <v>29.32</v>
      </c>
      <c r="G1023" s="32">
        <f>TRUNC(E1023*F1023,2)</f>
        <v>2.81</v>
      </c>
      <c r="H1023" s="32"/>
      <c r="I1023" s="33"/>
      <c r="J1023" s="33"/>
      <c r="K1023" s="44"/>
    </row>
    <row r="1024" spans="1:11" s="34" customFormat="1" ht="15">
      <c r="A1024" s="30"/>
      <c r="B1024" s="43"/>
      <c r="C1024" s="45"/>
      <c r="D1024" s="46"/>
      <c r="E1024" s="44" t="s">
        <v>5</v>
      </c>
      <c r="F1024" s="31"/>
      <c r="G1024" s="32">
        <f>TRUNC(SUM(G1020:G1023),2)</f>
        <v>45.49</v>
      </c>
      <c r="H1024" s="32"/>
      <c r="I1024" s="33"/>
      <c r="J1024" s="33"/>
      <c r="K1024" s="44"/>
    </row>
    <row r="1025" spans="1:11" s="107" customFormat="1" ht="15">
      <c r="A1025" s="99" t="s">
        <v>1649</v>
      </c>
      <c r="B1025" s="100" t="s">
        <v>2239</v>
      </c>
      <c r="C1025" s="101" t="s">
        <v>742</v>
      </c>
      <c r="D1025" s="102" t="s">
        <v>10</v>
      </c>
      <c r="E1025" s="103">
        <v>5</v>
      </c>
      <c r="F1025" s="104">
        <f>TRUNC(G1029,2)</f>
        <v>47</v>
      </c>
      <c r="G1025" s="105">
        <f>TRUNC(F1025*1.2247,2)</f>
        <v>57.56</v>
      </c>
      <c r="H1025" s="105">
        <f>TRUNC(F1025*E1025,2)</f>
        <v>235</v>
      </c>
      <c r="I1025" s="106">
        <f>TRUNC(E1025*G1025,2)</f>
        <v>287.8</v>
      </c>
      <c r="J1025" s="106"/>
      <c r="K1025" s="103"/>
    </row>
    <row r="1026" spans="1:11" s="34" customFormat="1" ht="15">
      <c r="A1026" s="30"/>
      <c r="B1026" s="43" t="s">
        <v>2240</v>
      </c>
      <c r="C1026" s="45" t="s">
        <v>744</v>
      </c>
      <c r="D1026" s="46" t="s">
        <v>10</v>
      </c>
      <c r="E1026" s="44">
        <v>1</v>
      </c>
      <c r="F1026" s="31">
        <f>TRUNC(35.4,2)</f>
        <v>35.4</v>
      </c>
      <c r="G1026" s="32">
        <f>TRUNC(E1026*F1026,2)</f>
        <v>35.4</v>
      </c>
      <c r="H1026" s="32"/>
      <c r="I1026" s="33"/>
      <c r="J1026" s="33"/>
      <c r="K1026" s="44"/>
    </row>
    <row r="1027" spans="1:11" s="34" customFormat="1" ht="15">
      <c r="A1027" s="30"/>
      <c r="B1027" s="43" t="s">
        <v>43</v>
      </c>
      <c r="C1027" s="45" t="s">
        <v>32</v>
      </c>
      <c r="D1027" s="46" t="s">
        <v>4</v>
      </c>
      <c r="E1027" s="44">
        <v>0.0996</v>
      </c>
      <c r="F1027" s="31">
        <f>TRUNC(23.42,2)</f>
        <v>23.42</v>
      </c>
      <c r="G1027" s="32">
        <f>TRUNC(E1027*F1027,2)</f>
        <v>2.33</v>
      </c>
      <c r="H1027" s="32"/>
      <c r="I1027" s="33"/>
      <c r="J1027" s="33"/>
      <c r="K1027" s="44"/>
    </row>
    <row r="1028" spans="1:11" s="34" customFormat="1" ht="15">
      <c r="A1028" s="30"/>
      <c r="B1028" s="43" t="s">
        <v>1933</v>
      </c>
      <c r="C1028" s="45" t="s">
        <v>417</v>
      </c>
      <c r="D1028" s="46" t="s">
        <v>4</v>
      </c>
      <c r="E1028" s="44">
        <v>0.3162</v>
      </c>
      <c r="F1028" s="31">
        <f>TRUNC(29.32,2)</f>
        <v>29.32</v>
      </c>
      <c r="G1028" s="32">
        <f>TRUNC(E1028*F1028,2)</f>
        <v>9.27</v>
      </c>
      <c r="H1028" s="32"/>
      <c r="I1028" s="33"/>
      <c r="J1028" s="33"/>
      <c r="K1028" s="44"/>
    </row>
    <row r="1029" spans="1:11" s="34" customFormat="1" ht="15">
      <c r="A1029" s="30"/>
      <c r="B1029" s="43"/>
      <c r="C1029" s="45"/>
      <c r="D1029" s="46"/>
      <c r="E1029" s="44" t="s">
        <v>5</v>
      </c>
      <c r="F1029" s="31"/>
      <c r="G1029" s="32">
        <f>TRUNC(SUM(G1026:G1028),2)</f>
        <v>47</v>
      </c>
      <c r="H1029" s="32"/>
      <c r="I1029" s="33"/>
      <c r="J1029" s="33"/>
      <c r="K1029" s="44"/>
    </row>
    <row r="1030" spans="1:11" s="107" customFormat="1" ht="60">
      <c r="A1030" s="99" t="s">
        <v>1650</v>
      </c>
      <c r="B1030" s="100" t="s">
        <v>2241</v>
      </c>
      <c r="C1030" s="101" t="s">
        <v>746</v>
      </c>
      <c r="D1030" s="102" t="s">
        <v>10</v>
      </c>
      <c r="E1030" s="103">
        <v>6</v>
      </c>
      <c r="F1030" s="104">
        <f>TRUNC(G1034,2)</f>
        <v>110.01</v>
      </c>
      <c r="G1030" s="105">
        <f>TRUNC(F1030*1.2247,2)</f>
        <v>134.72</v>
      </c>
      <c r="H1030" s="105">
        <f>TRUNC(F1030*E1030,2)</f>
        <v>660.06</v>
      </c>
      <c r="I1030" s="106">
        <f>TRUNC(E1030*G1030,2)</f>
        <v>808.32</v>
      </c>
      <c r="J1030" s="106"/>
      <c r="K1030" s="103"/>
    </row>
    <row r="1031" spans="1:11" s="34" customFormat="1" ht="15">
      <c r="A1031" s="30"/>
      <c r="B1031" s="43" t="s">
        <v>747</v>
      </c>
      <c r="C1031" s="45" t="s">
        <v>748</v>
      </c>
      <c r="D1031" s="46" t="s">
        <v>10</v>
      </c>
      <c r="E1031" s="44">
        <v>1</v>
      </c>
      <c r="F1031" s="31">
        <f>TRUNC(69.43,2)</f>
        <v>69.43</v>
      </c>
      <c r="G1031" s="32">
        <f>TRUNC(E1031*F1031,2)</f>
        <v>69.43</v>
      </c>
      <c r="H1031" s="32"/>
      <c r="I1031" s="33"/>
      <c r="J1031" s="33"/>
      <c r="K1031" s="44"/>
    </row>
    <row r="1032" spans="1:11" s="34" customFormat="1" ht="30">
      <c r="A1032" s="30"/>
      <c r="B1032" s="43" t="s">
        <v>33</v>
      </c>
      <c r="C1032" s="45" t="s">
        <v>34</v>
      </c>
      <c r="D1032" s="46" t="s">
        <v>4</v>
      </c>
      <c r="E1032" s="44">
        <v>1.03</v>
      </c>
      <c r="F1032" s="31">
        <f>TRUNC(16.55,2)</f>
        <v>16.55</v>
      </c>
      <c r="G1032" s="32">
        <f>TRUNC(E1032*F1032,2)</f>
        <v>17.04</v>
      </c>
      <c r="H1032" s="32"/>
      <c r="I1032" s="33"/>
      <c r="J1032" s="33"/>
      <c r="K1032" s="44"/>
    </row>
    <row r="1033" spans="1:11" s="34" customFormat="1" ht="15">
      <c r="A1033" s="30"/>
      <c r="B1033" s="43" t="s">
        <v>35</v>
      </c>
      <c r="C1033" s="45" t="s">
        <v>36</v>
      </c>
      <c r="D1033" s="46" t="s">
        <v>4</v>
      </c>
      <c r="E1033" s="44">
        <v>1.03</v>
      </c>
      <c r="F1033" s="31">
        <f>TRUNC(22.86,2)</f>
        <v>22.86</v>
      </c>
      <c r="G1033" s="32">
        <f>TRUNC(E1033*F1033,2)</f>
        <v>23.54</v>
      </c>
      <c r="H1033" s="32"/>
      <c r="I1033" s="33"/>
      <c r="J1033" s="33"/>
      <c r="K1033" s="44"/>
    </row>
    <row r="1034" spans="1:11" s="34" customFormat="1" ht="15">
      <c r="A1034" s="30"/>
      <c r="B1034" s="43"/>
      <c r="C1034" s="45"/>
      <c r="D1034" s="46"/>
      <c r="E1034" s="44" t="s">
        <v>5</v>
      </c>
      <c r="F1034" s="31"/>
      <c r="G1034" s="32">
        <f>TRUNC(SUM(G1031:G1033),2)</f>
        <v>110.01</v>
      </c>
      <c r="H1034" s="32"/>
      <c r="I1034" s="33"/>
      <c r="J1034" s="33"/>
      <c r="K1034" s="44"/>
    </row>
    <row r="1035" spans="1:11" s="107" customFormat="1" ht="30">
      <c r="A1035" s="99" t="s">
        <v>1651</v>
      </c>
      <c r="B1035" s="100" t="s">
        <v>2242</v>
      </c>
      <c r="C1035" s="101" t="s">
        <v>1134</v>
      </c>
      <c r="D1035" s="102" t="s">
        <v>10</v>
      </c>
      <c r="E1035" s="103">
        <v>20</v>
      </c>
      <c r="F1035" s="104">
        <f>TRUNC(G1039,2)</f>
        <v>50.5</v>
      </c>
      <c r="G1035" s="105">
        <f>TRUNC(F1035*1.2247,2)</f>
        <v>61.84</v>
      </c>
      <c r="H1035" s="105">
        <f>TRUNC(F1035*E1035,2)</f>
        <v>1010</v>
      </c>
      <c r="I1035" s="106">
        <f>TRUNC(E1035*G1035,2)</f>
        <v>1236.8</v>
      </c>
      <c r="J1035" s="106"/>
      <c r="K1035" s="103"/>
    </row>
    <row r="1036" spans="1:11" s="34" customFormat="1" ht="30">
      <c r="A1036" s="30"/>
      <c r="B1036" s="43" t="s">
        <v>2243</v>
      </c>
      <c r="C1036" s="45" t="s">
        <v>1136</v>
      </c>
      <c r="D1036" s="46" t="s">
        <v>10</v>
      </c>
      <c r="E1036" s="44">
        <v>1</v>
      </c>
      <c r="F1036" s="31">
        <f>TRUNC(38.9,2)</f>
        <v>38.9</v>
      </c>
      <c r="G1036" s="32">
        <f>TRUNC(E1036*F1036,2)</f>
        <v>38.9</v>
      </c>
      <c r="H1036" s="32"/>
      <c r="I1036" s="33"/>
      <c r="J1036" s="33"/>
      <c r="K1036" s="44"/>
    </row>
    <row r="1037" spans="1:11" s="34" customFormat="1" ht="15">
      <c r="A1037" s="30"/>
      <c r="B1037" s="43" t="s">
        <v>43</v>
      </c>
      <c r="C1037" s="45" t="s">
        <v>32</v>
      </c>
      <c r="D1037" s="46" t="s">
        <v>4</v>
      </c>
      <c r="E1037" s="44">
        <v>0.0996</v>
      </c>
      <c r="F1037" s="31">
        <f>TRUNC(23.42,2)</f>
        <v>23.42</v>
      </c>
      <c r="G1037" s="32">
        <f>TRUNC(E1037*F1037,2)</f>
        <v>2.33</v>
      </c>
      <c r="H1037" s="32"/>
      <c r="I1037" s="33"/>
      <c r="J1037" s="33"/>
      <c r="K1037" s="44"/>
    </row>
    <row r="1038" spans="1:11" s="34" customFormat="1" ht="15">
      <c r="A1038" s="30"/>
      <c r="B1038" s="43" t="s">
        <v>1933</v>
      </c>
      <c r="C1038" s="45" t="s">
        <v>417</v>
      </c>
      <c r="D1038" s="46" t="s">
        <v>4</v>
      </c>
      <c r="E1038" s="44">
        <v>0.3162</v>
      </c>
      <c r="F1038" s="31">
        <f>TRUNC(29.32,2)</f>
        <v>29.32</v>
      </c>
      <c r="G1038" s="32">
        <f>TRUNC(E1038*F1038,2)</f>
        <v>9.27</v>
      </c>
      <c r="H1038" s="32"/>
      <c r="I1038" s="33"/>
      <c r="J1038" s="33"/>
      <c r="K1038" s="44"/>
    </row>
    <row r="1039" spans="1:11" s="34" customFormat="1" ht="15">
      <c r="A1039" s="30"/>
      <c r="B1039" s="43"/>
      <c r="C1039" s="45"/>
      <c r="D1039" s="46"/>
      <c r="E1039" s="44" t="s">
        <v>5</v>
      </c>
      <c r="F1039" s="31"/>
      <c r="G1039" s="32">
        <f>TRUNC(SUM(G1036:G1038),2)</f>
        <v>50.5</v>
      </c>
      <c r="H1039" s="32"/>
      <c r="I1039" s="33"/>
      <c r="J1039" s="33"/>
      <c r="K1039" s="44"/>
    </row>
    <row r="1040" spans="1:11" s="107" customFormat="1" ht="45">
      <c r="A1040" s="99" t="s">
        <v>1652</v>
      </c>
      <c r="B1040" s="100" t="s">
        <v>2248</v>
      </c>
      <c r="C1040" s="101" t="s">
        <v>1137</v>
      </c>
      <c r="D1040" s="102" t="s">
        <v>10</v>
      </c>
      <c r="E1040" s="103">
        <v>2</v>
      </c>
      <c r="F1040" s="104">
        <f>TRUNC(G1053+G1057,2)</f>
        <v>224.16</v>
      </c>
      <c r="G1040" s="105">
        <f>TRUNC(F1040*1.2247,2)</f>
        <v>274.52</v>
      </c>
      <c r="H1040" s="105">
        <f>TRUNC(F1040*E1040,2)</f>
        <v>448.32</v>
      </c>
      <c r="I1040" s="106">
        <f>TRUNC(E1040*G1040,2)</f>
        <v>549.04</v>
      </c>
      <c r="J1040" s="106" t="s">
        <v>2244</v>
      </c>
      <c r="K1040" s="103"/>
    </row>
    <row r="1041" spans="1:11" s="34" customFormat="1" ht="15">
      <c r="A1041" s="30"/>
      <c r="B1041" s="43" t="s">
        <v>1138</v>
      </c>
      <c r="C1041" s="45" t="s">
        <v>1139</v>
      </c>
      <c r="D1041" s="46" t="s">
        <v>10</v>
      </c>
      <c r="E1041" s="44">
        <v>1</v>
      </c>
      <c r="F1041" s="31">
        <f>TRUNC(1.3,2)</f>
        <v>1.3</v>
      </c>
      <c r="G1041" s="32">
        <f aca="true" t="shared" si="48" ref="G1041:G1052">TRUNC(E1041*F1041,2)</f>
        <v>1.3</v>
      </c>
      <c r="H1041" s="32"/>
      <c r="I1041" s="33"/>
      <c r="J1041" s="33"/>
      <c r="K1041" s="44"/>
    </row>
    <row r="1042" spans="1:11" s="34" customFormat="1" ht="15">
      <c r="A1042" s="30"/>
      <c r="B1042" s="43" t="s">
        <v>1117</v>
      </c>
      <c r="C1042" s="45" t="s">
        <v>1118</v>
      </c>
      <c r="D1042" s="46" t="s">
        <v>10</v>
      </c>
      <c r="E1042" s="44">
        <v>1</v>
      </c>
      <c r="F1042" s="31">
        <f>TRUNC(4.99,2)</f>
        <v>4.99</v>
      </c>
      <c r="G1042" s="32">
        <f t="shared" si="48"/>
        <v>4.99</v>
      </c>
      <c r="H1042" s="32"/>
      <c r="I1042" s="33"/>
      <c r="J1042" s="33"/>
      <c r="K1042" s="44"/>
    </row>
    <row r="1043" spans="1:11" s="34" customFormat="1" ht="15">
      <c r="A1043" s="30"/>
      <c r="B1043" s="43" t="s">
        <v>1119</v>
      </c>
      <c r="C1043" s="45" t="s">
        <v>1120</v>
      </c>
      <c r="D1043" s="46" t="s">
        <v>10</v>
      </c>
      <c r="E1043" s="44">
        <v>1</v>
      </c>
      <c r="F1043" s="31">
        <f>TRUNC(0.5,2)</f>
        <v>0.5</v>
      </c>
      <c r="G1043" s="32">
        <f t="shared" si="48"/>
        <v>0.5</v>
      </c>
      <c r="H1043" s="32"/>
      <c r="I1043" s="33"/>
      <c r="J1043" s="33"/>
      <c r="K1043" s="44"/>
    </row>
    <row r="1044" spans="1:11" s="34" customFormat="1" ht="15">
      <c r="A1044" s="30"/>
      <c r="B1044" s="43" t="s">
        <v>1121</v>
      </c>
      <c r="C1044" s="45" t="s">
        <v>1122</v>
      </c>
      <c r="D1044" s="46" t="s">
        <v>10</v>
      </c>
      <c r="E1044" s="44">
        <v>1</v>
      </c>
      <c r="F1044" s="31">
        <f>TRUNC(0.71,2)</f>
        <v>0.71</v>
      </c>
      <c r="G1044" s="32">
        <f t="shared" si="48"/>
        <v>0.71</v>
      </c>
      <c r="H1044" s="32"/>
      <c r="I1044" s="33"/>
      <c r="J1044" s="33"/>
      <c r="K1044" s="44"/>
    </row>
    <row r="1045" spans="1:11" s="34" customFormat="1" ht="30">
      <c r="A1045" s="30"/>
      <c r="B1045" s="43" t="s">
        <v>1123</v>
      </c>
      <c r="C1045" s="45" t="s">
        <v>1124</v>
      </c>
      <c r="D1045" s="46" t="s">
        <v>10</v>
      </c>
      <c r="E1045" s="44">
        <v>0.09</v>
      </c>
      <c r="F1045" s="31">
        <f>TRUNC(55.69,2)</f>
        <v>55.69</v>
      </c>
      <c r="G1045" s="32">
        <f t="shared" si="48"/>
        <v>5.01</v>
      </c>
      <c r="H1045" s="32"/>
      <c r="I1045" s="33"/>
      <c r="J1045" s="33"/>
      <c r="K1045" s="44"/>
    </row>
    <row r="1046" spans="1:11" s="34" customFormat="1" ht="30">
      <c r="A1046" s="30"/>
      <c r="B1046" s="43" t="s">
        <v>442</v>
      </c>
      <c r="C1046" s="45" t="s">
        <v>443</v>
      </c>
      <c r="D1046" s="46" t="s">
        <v>10</v>
      </c>
      <c r="E1046" s="44">
        <v>0</v>
      </c>
      <c r="F1046" s="31">
        <f>TRUNC(17.95,2)</f>
        <v>17.95</v>
      </c>
      <c r="G1046" s="32">
        <f t="shared" si="48"/>
        <v>0</v>
      </c>
      <c r="H1046" s="32"/>
      <c r="I1046" s="33"/>
      <c r="J1046" s="33"/>
      <c r="K1046" s="44"/>
    </row>
    <row r="1047" spans="1:11" s="34" customFormat="1" ht="30">
      <c r="A1047" s="30"/>
      <c r="B1047" s="43" t="s">
        <v>1125</v>
      </c>
      <c r="C1047" s="45" t="s">
        <v>1126</v>
      </c>
      <c r="D1047" s="46" t="s">
        <v>10</v>
      </c>
      <c r="E1047" s="44">
        <v>0</v>
      </c>
      <c r="F1047" s="31">
        <f>TRUNC(6.87,2)</f>
        <v>6.87</v>
      </c>
      <c r="G1047" s="32">
        <f t="shared" si="48"/>
        <v>0</v>
      </c>
      <c r="H1047" s="32"/>
      <c r="I1047" s="33"/>
      <c r="J1047" s="33"/>
      <c r="K1047" s="44"/>
    </row>
    <row r="1048" spans="1:11" s="34" customFormat="1" ht="30">
      <c r="A1048" s="30"/>
      <c r="B1048" s="43" t="s">
        <v>109</v>
      </c>
      <c r="C1048" s="45" t="s">
        <v>110</v>
      </c>
      <c r="D1048" s="46" t="s">
        <v>10</v>
      </c>
      <c r="E1048" s="44">
        <v>0</v>
      </c>
      <c r="F1048" s="31">
        <f>TRUNC(28.23,2)</f>
        <v>28.23</v>
      </c>
      <c r="G1048" s="32">
        <f t="shared" si="48"/>
        <v>0</v>
      </c>
      <c r="H1048" s="32"/>
      <c r="I1048" s="33"/>
      <c r="J1048" s="33"/>
      <c r="K1048" s="44"/>
    </row>
    <row r="1049" spans="1:11" s="34" customFormat="1" ht="15">
      <c r="A1049" s="30"/>
      <c r="B1049" s="43" t="s">
        <v>1127</v>
      </c>
      <c r="C1049" s="45" t="s">
        <v>1128</v>
      </c>
      <c r="D1049" s="46" t="s">
        <v>10</v>
      </c>
      <c r="E1049" s="44">
        <v>0.5</v>
      </c>
      <c r="F1049" s="31">
        <f>TRUNC(1.21,2)</f>
        <v>1.21</v>
      </c>
      <c r="G1049" s="32">
        <f t="shared" si="48"/>
        <v>0.6</v>
      </c>
      <c r="H1049" s="32"/>
      <c r="I1049" s="33"/>
      <c r="J1049" s="33"/>
      <c r="K1049" s="44"/>
    </row>
    <row r="1050" spans="1:11" s="34" customFormat="1" ht="15">
      <c r="A1050" s="30"/>
      <c r="B1050" s="43" t="s">
        <v>141</v>
      </c>
      <c r="C1050" s="45" t="s">
        <v>142</v>
      </c>
      <c r="D1050" s="46" t="s">
        <v>10</v>
      </c>
      <c r="E1050" s="44">
        <v>0.67</v>
      </c>
      <c r="F1050" s="31">
        <f>TRUNC(5.35,2)</f>
        <v>5.35</v>
      </c>
      <c r="G1050" s="32">
        <f t="shared" si="48"/>
        <v>3.58</v>
      </c>
      <c r="H1050" s="32"/>
      <c r="I1050" s="33"/>
      <c r="J1050" s="33"/>
      <c r="K1050" s="44"/>
    </row>
    <row r="1051" spans="1:11" s="34" customFormat="1" ht="30">
      <c r="A1051" s="30"/>
      <c r="B1051" s="43" t="s">
        <v>33</v>
      </c>
      <c r="C1051" s="45" t="s">
        <v>34</v>
      </c>
      <c r="D1051" s="46" t="s">
        <v>4</v>
      </c>
      <c r="E1051" s="44">
        <v>3.09</v>
      </c>
      <c r="F1051" s="31">
        <f>TRUNC(16.55,2)</f>
        <v>16.55</v>
      </c>
      <c r="G1051" s="32">
        <f t="shared" si="48"/>
        <v>51.13</v>
      </c>
      <c r="H1051" s="32"/>
      <c r="I1051" s="33"/>
      <c r="J1051" s="33"/>
      <c r="K1051" s="44"/>
    </row>
    <row r="1052" spans="1:11" s="34" customFormat="1" ht="30">
      <c r="A1052" s="30"/>
      <c r="B1052" s="43" t="s">
        <v>1754</v>
      </c>
      <c r="C1052" s="45" t="s">
        <v>1755</v>
      </c>
      <c r="D1052" s="46" t="s">
        <v>4</v>
      </c>
      <c r="E1052" s="44">
        <v>4</v>
      </c>
      <c r="F1052" s="31">
        <f>TRUNC(22.86,2)</f>
        <v>22.86</v>
      </c>
      <c r="G1052" s="32">
        <f t="shared" si="48"/>
        <v>91.44</v>
      </c>
      <c r="H1052" s="32"/>
      <c r="I1052" s="33"/>
      <c r="J1052" s="33"/>
      <c r="K1052" s="44"/>
    </row>
    <row r="1053" spans="1:11" s="34" customFormat="1" ht="15">
      <c r="A1053" s="30"/>
      <c r="B1053" s="43"/>
      <c r="C1053" s="45"/>
      <c r="D1053" s="46"/>
      <c r="E1053" s="44" t="s">
        <v>5</v>
      </c>
      <c r="F1053" s="31"/>
      <c r="G1053" s="32">
        <f>TRUNC(SUM(G1041:G1052),2)</f>
        <v>159.26</v>
      </c>
      <c r="H1053" s="32"/>
      <c r="I1053" s="33"/>
      <c r="J1053" s="33"/>
      <c r="K1053" s="44"/>
    </row>
    <row r="1054" spans="1:11" s="34" customFormat="1" ht="24.75" customHeight="1">
      <c r="A1054" s="30"/>
      <c r="B1054" s="52" t="s">
        <v>827</v>
      </c>
      <c r="C1054" s="55" t="s">
        <v>1141</v>
      </c>
      <c r="D1054" s="46" t="s">
        <v>10</v>
      </c>
      <c r="E1054" s="44">
        <v>1</v>
      </c>
      <c r="F1054" s="31">
        <v>50.99</v>
      </c>
      <c r="G1054" s="32">
        <f>TRUNC(E1054*F1054,2)</f>
        <v>50.99</v>
      </c>
      <c r="H1054" s="32"/>
      <c r="I1054" s="33"/>
      <c r="J1054" s="33"/>
      <c r="K1054" s="44"/>
    </row>
    <row r="1055" spans="1:11" s="34" customFormat="1" ht="24.75" customHeight="1">
      <c r="A1055" s="30"/>
      <c r="B1055" s="52" t="s">
        <v>827</v>
      </c>
      <c r="C1055" s="55" t="s">
        <v>1140</v>
      </c>
      <c r="D1055" s="46" t="s">
        <v>10</v>
      </c>
      <c r="E1055" s="44">
        <v>1</v>
      </c>
      <c r="F1055" s="31">
        <v>102.98</v>
      </c>
      <c r="G1055" s="32">
        <f>TRUNC(E1055*F1055,2)</f>
        <v>102.98</v>
      </c>
      <c r="H1055" s="32"/>
      <c r="I1055" s="33"/>
      <c r="J1055" s="33"/>
      <c r="K1055" s="44"/>
    </row>
    <row r="1056" spans="1:11" s="34" customFormat="1" ht="23.25" customHeight="1">
      <c r="A1056" s="30"/>
      <c r="B1056" s="52" t="s">
        <v>827</v>
      </c>
      <c r="C1056" s="55" t="s">
        <v>1143</v>
      </c>
      <c r="D1056" s="46" t="s">
        <v>10</v>
      </c>
      <c r="E1056" s="44">
        <v>1</v>
      </c>
      <c r="F1056" s="31">
        <v>64.9</v>
      </c>
      <c r="G1056" s="32">
        <f>TRUNC(E1056*F1056,2)</f>
        <v>64.9</v>
      </c>
      <c r="H1056" s="32"/>
      <c r="I1056" s="33"/>
      <c r="J1056" s="33"/>
      <c r="K1056" s="44"/>
    </row>
    <row r="1057" spans="1:11" s="34" customFormat="1" ht="15">
      <c r="A1057" s="30"/>
      <c r="B1057" s="43"/>
      <c r="C1057" s="45"/>
      <c r="D1057" s="46"/>
      <c r="E1057" s="44" t="s">
        <v>5</v>
      </c>
      <c r="F1057" s="59" t="s">
        <v>1142</v>
      </c>
      <c r="G1057" s="32">
        <v>64.9</v>
      </c>
      <c r="H1057" s="32"/>
      <c r="I1057" s="33"/>
      <c r="J1057" s="33"/>
      <c r="K1057" s="44"/>
    </row>
    <row r="1058" spans="1:11" s="107" customFormat="1" ht="30">
      <c r="A1058" s="99" t="s">
        <v>1653</v>
      </c>
      <c r="B1058" s="100" t="s">
        <v>2249</v>
      </c>
      <c r="C1058" s="101" t="s">
        <v>1145</v>
      </c>
      <c r="D1058" s="102" t="s">
        <v>10</v>
      </c>
      <c r="E1058" s="103">
        <v>8</v>
      </c>
      <c r="F1058" s="104">
        <f>TRUNC(G1063+G1067,2)</f>
        <v>98.86</v>
      </c>
      <c r="G1058" s="105">
        <f>TRUNC(F1058*1.2247,2)</f>
        <v>121.07</v>
      </c>
      <c r="H1058" s="105">
        <f>TRUNC(F1058*E1058,2)</f>
        <v>790.88</v>
      </c>
      <c r="I1058" s="106">
        <f>TRUNC(E1058*G1058,2)</f>
        <v>968.56</v>
      </c>
      <c r="J1058" s="106"/>
      <c r="K1058" s="103"/>
    </row>
    <row r="1059" spans="1:11" s="34" customFormat="1" ht="15">
      <c r="A1059" s="30"/>
      <c r="B1059" s="43" t="s">
        <v>2238</v>
      </c>
      <c r="C1059" s="45" t="s">
        <v>732</v>
      </c>
      <c r="D1059" s="46" t="s">
        <v>10</v>
      </c>
      <c r="E1059" s="44">
        <v>0.021</v>
      </c>
      <c r="F1059" s="31">
        <f>TRUNC(3.9,2)</f>
        <v>3.9</v>
      </c>
      <c r="G1059" s="32">
        <f>TRUNC(E1059*F1059,2)</f>
        <v>0.08</v>
      </c>
      <c r="H1059" s="32"/>
      <c r="I1059" s="33"/>
      <c r="J1059" s="33"/>
      <c r="K1059" s="44"/>
    </row>
    <row r="1060" spans="1:11" s="34" customFormat="1" ht="30">
      <c r="A1060" s="30"/>
      <c r="B1060" s="43" t="s">
        <v>2247</v>
      </c>
      <c r="C1060" s="45" t="s">
        <v>1147</v>
      </c>
      <c r="D1060" s="46" t="s">
        <v>10</v>
      </c>
      <c r="E1060" s="44">
        <v>1</v>
      </c>
      <c r="F1060" s="31">
        <f>TRUNC(68.45,2)</f>
        <v>68.45</v>
      </c>
      <c r="G1060" s="32">
        <f>TRUNC(E1060*F1060,2)</f>
        <v>68.45</v>
      </c>
      <c r="H1060" s="32"/>
      <c r="I1060" s="33"/>
      <c r="J1060" s="33"/>
      <c r="K1060" s="44"/>
    </row>
    <row r="1061" spans="1:11" s="34" customFormat="1" ht="15">
      <c r="A1061" s="30"/>
      <c r="B1061" s="43" t="s">
        <v>43</v>
      </c>
      <c r="C1061" s="45" t="s">
        <v>32</v>
      </c>
      <c r="D1061" s="46" t="s">
        <v>4</v>
      </c>
      <c r="E1061" s="44">
        <v>0.1407</v>
      </c>
      <c r="F1061" s="31">
        <f>TRUNC(23.42,2)</f>
        <v>23.42</v>
      </c>
      <c r="G1061" s="32">
        <f>TRUNC(E1061*F1061,2)</f>
        <v>3.29</v>
      </c>
      <c r="H1061" s="32"/>
      <c r="I1061" s="33"/>
      <c r="J1061" s="33"/>
      <c r="K1061" s="44"/>
    </row>
    <row r="1062" spans="1:11" s="34" customFormat="1" ht="15">
      <c r="A1062" s="30"/>
      <c r="B1062" s="43" t="s">
        <v>1933</v>
      </c>
      <c r="C1062" s="45" t="s">
        <v>417</v>
      </c>
      <c r="D1062" s="46" t="s">
        <v>4</v>
      </c>
      <c r="E1062" s="44">
        <v>0.4467</v>
      </c>
      <c r="F1062" s="31">
        <f>TRUNC(29.32,2)</f>
        <v>29.32</v>
      </c>
      <c r="G1062" s="32">
        <f>TRUNC(E1062*F1062,2)</f>
        <v>13.09</v>
      </c>
      <c r="H1062" s="32"/>
      <c r="I1062" s="33"/>
      <c r="J1062" s="33"/>
      <c r="K1062" s="44"/>
    </row>
    <row r="1063" spans="1:11" s="34" customFormat="1" ht="15">
      <c r="A1063" s="30"/>
      <c r="B1063" s="43"/>
      <c r="C1063" s="45"/>
      <c r="D1063" s="46"/>
      <c r="E1063" s="44" t="s">
        <v>5</v>
      </c>
      <c r="F1063" s="31"/>
      <c r="G1063" s="32">
        <f>TRUNC(SUM(G1059:G1062),2)</f>
        <v>84.91</v>
      </c>
      <c r="H1063" s="32"/>
      <c r="I1063" s="33"/>
      <c r="J1063" s="33"/>
      <c r="K1063" s="44"/>
    </row>
    <row r="1064" spans="1:11" s="34" customFormat="1" ht="15">
      <c r="A1064" s="30"/>
      <c r="B1064" s="52" t="s">
        <v>827</v>
      </c>
      <c r="C1064" s="55" t="s">
        <v>1148</v>
      </c>
      <c r="D1064" s="46" t="s">
        <v>10</v>
      </c>
      <c r="E1064" s="44">
        <v>1</v>
      </c>
      <c r="F1064" s="31">
        <v>13.95</v>
      </c>
      <c r="G1064" s="32">
        <f>TRUNC(E1064*F1064,2)</f>
        <v>13.95</v>
      </c>
      <c r="H1064" s="32"/>
      <c r="I1064" s="33"/>
      <c r="J1064" s="33"/>
      <c r="K1064" s="44"/>
    </row>
    <row r="1065" spans="1:11" s="34" customFormat="1" ht="30" customHeight="1">
      <c r="A1065" s="30"/>
      <c r="B1065" s="52" t="s">
        <v>827</v>
      </c>
      <c r="C1065" s="55" t="s">
        <v>1149</v>
      </c>
      <c r="D1065" s="46" t="s">
        <v>10</v>
      </c>
      <c r="E1065" s="44">
        <v>1</v>
      </c>
      <c r="F1065" s="31">
        <v>17.87</v>
      </c>
      <c r="G1065" s="32">
        <f>TRUNC(E1065*F1065,2)</f>
        <v>17.87</v>
      </c>
      <c r="H1065" s="32"/>
      <c r="I1065" s="33"/>
      <c r="J1065" s="33"/>
      <c r="K1065" s="44"/>
    </row>
    <row r="1066" spans="1:11" s="34" customFormat="1" ht="31.5" customHeight="1">
      <c r="A1066" s="30"/>
      <c r="B1066" s="52" t="s">
        <v>827</v>
      </c>
      <c r="C1066" s="55" t="s">
        <v>1150</v>
      </c>
      <c r="D1066" s="46" t="s">
        <v>10</v>
      </c>
      <c r="E1066" s="44">
        <v>1</v>
      </c>
      <c r="F1066" s="31">
        <v>12.5</v>
      </c>
      <c r="G1066" s="32">
        <f>TRUNC(E1066*F1066,2)</f>
        <v>12.5</v>
      </c>
      <c r="H1066" s="32"/>
      <c r="I1066" s="33"/>
      <c r="J1066" s="33"/>
      <c r="K1066" s="44"/>
    </row>
    <row r="1067" spans="1:11" s="34" customFormat="1" ht="15">
      <c r="A1067" s="30"/>
      <c r="B1067" s="43"/>
      <c r="C1067" s="45"/>
      <c r="D1067" s="46"/>
      <c r="E1067" s="44" t="s">
        <v>5</v>
      </c>
      <c r="F1067" s="59" t="s">
        <v>1142</v>
      </c>
      <c r="G1067" s="32">
        <f>G1064</f>
        <v>13.95</v>
      </c>
      <c r="H1067" s="32"/>
      <c r="I1067" s="33"/>
      <c r="J1067" s="33"/>
      <c r="K1067" s="44"/>
    </row>
    <row r="1068" spans="1:11" s="107" customFormat="1" ht="60">
      <c r="A1068" s="99" t="s">
        <v>1654</v>
      </c>
      <c r="B1068" s="100" t="s">
        <v>2250</v>
      </c>
      <c r="C1068" s="101" t="s">
        <v>1152</v>
      </c>
      <c r="D1068" s="102" t="s">
        <v>10</v>
      </c>
      <c r="E1068" s="103">
        <v>2</v>
      </c>
      <c r="F1068" s="104">
        <f>TRUNC(G1071+G1078,2)</f>
        <v>135.11</v>
      </c>
      <c r="G1068" s="105">
        <f>TRUNC(F1068*1.2247,2)</f>
        <v>165.46</v>
      </c>
      <c r="H1068" s="105">
        <f>TRUNC(F1068*E1068,2)</f>
        <v>270.22</v>
      </c>
      <c r="I1068" s="106">
        <f>TRUNC(E1068*G1068,2)</f>
        <v>330.92</v>
      </c>
      <c r="J1068" s="106"/>
      <c r="K1068" s="103"/>
    </row>
    <row r="1069" spans="1:11" s="34" customFormat="1" ht="30">
      <c r="A1069" s="30"/>
      <c r="B1069" s="43" t="s">
        <v>33</v>
      </c>
      <c r="C1069" s="45" t="s">
        <v>34</v>
      </c>
      <c r="D1069" s="46" t="s">
        <v>4</v>
      </c>
      <c r="E1069" s="44">
        <v>1</v>
      </c>
      <c r="F1069" s="31">
        <f>TRUNC(16.55,2)</f>
        <v>16.55</v>
      </c>
      <c r="G1069" s="32">
        <f>TRUNC(E1069*F1069,2)</f>
        <v>16.55</v>
      </c>
      <c r="H1069" s="32"/>
      <c r="I1069" s="33"/>
      <c r="J1069" s="33"/>
      <c r="K1069" s="44"/>
    </row>
    <row r="1070" spans="1:11" s="34" customFormat="1" ht="30">
      <c r="A1070" s="30"/>
      <c r="B1070" s="43" t="s">
        <v>1754</v>
      </c>
      <c r="C1070" s="45" t="s">
        <v>1755</v>
      </c>
      <c r="D1070" s="46" t="s">
        <v>4</v>
      </c>
      <c r="E1070" s="44">
        <v>1</v>
      </c>
      <c r="F1070" s="31">
        <f>TRUNC(22.86,2)</f>
        <v>22.86</v>
      </c>
      <c r="G1070" s="32">
        <f>TRUNC(E1070*F1070,2)</f>
        <v>22.86</v>
      </c>
      <c r="H1070" s="32"/>
      <c r="I1070" s="33"/>
      <c r="J1070" s="33"/>
      <c r="K1070" s="44"/>
    </row>
    <row r="1071" spans="1:11" s="34" customFormat="1" ht="15">
      <c r="A1071" s="30"/>
      <c r="B1071" s="43"/>
      <c r="C1071" s="45"/>
      <c r="D1071" s="46"/>
      <c r="E1071" s="44" t="s">
        <v>5</v>
      </c>
      <c r="F1071" s="31"/>
      <c r="G1071" s="32">
        <f>TRUNC(SUM(G1069:G1070),2)</f>
        <v>39.41</v>
      </c>
      <c r="H1071" s="32"/>
      <c r="I1071" s="33"/>
      <c r="J1071" s="33"/>
      <c r="K1071" s="44"/>
    </row>
    <row r="1072" spans="1:11" s="34" customFormat="1" ht="30">
      <c r="A1072" s="30"/>
      <c r="B1072" s="43" t="s">
        <v>26</v>
      </c>
      <c r="C1072" s="45" t="s">
        <v>27</v>
      </c>
      <c r="D1072" s="46" t="s">
        <v>4</v>
      </c>
      <c r="E1072" s="44">
        <v>1</v>
      </c>
      <c r="F1072" s="59">
        <f>TRUNC(14.34,2)</f>
        <v>14.34</v>
      </c>
      <c r="G1072" s="32">
        <f>TRUNC(E1072*F1072,2)</f>
        <v>14.34</v>
      </c>
      <c r="H1072" s="32"/>
      <c r="I1072" s="33"/>
      <c r="J1072" s="33"/>
      <c r="K1072" s="44"/>
    </row>
    <row r="1073" spans="1:11" s="34" customFormat="1" ht="30">
      <c r="A1073" s="30"/>
      <c r="B1073" s="43" t="s">
        <v>209</v>
      </c>
      <c r="C1073" s="45" t="s">
        <v>210</v>
      </c>
      <c r="D1073" s="46" t="s">
        <v>4</v>
      </c>
      <c r="E1073" s="44">
        <v>1</v>
      </c>
      <c r="F1073" s="59">
        <f>TRUNC(19.81,2)</f>
        <v>19.81</v>
      </c>
      <c r="G1073" s="32">
        <f>TRUNC(E1073*F1073,2)</f>
        <v>19.81</v>
      </c>
      <c r="H1073" s="32"/>
      <c r="I1073" s="33"/>
      <c r="J1073" s="33"/>
      <c r="K1073" s="44"/>
    </row>
    <row r="1074" spans="1:11" s="34" customFormat="1" ht="15">
      <c r="A1074" s="30"/>
      <c r="B1074" s="43"/>
      <c r="C1074" s="45"/>
      <c r="D1074" s="46"/>
      <c r="E1074" s="44" t="s">
        <v>5</v>
      </c>
      <c r="F1074" s="59"/>
      <c r="G1074" s="32">
        <f>TRUNC(SUM(G1072:G1073),2)</f>
        <v>34.15</v>
      </c>
      <c r="H1074" s="32"/>
      <c r="I1074" s="33"/>
      <c r="J1074" s="33"/>
      <c r="K1074" s="44"/>
    </row>
    <row r="1075" spans="1:11" s="34" customFormat="1" ht="15">
      <c r="A1075" s="30"/>
      <c r="B1075" s="52" t="s">
        <v>827</v>
      </c>
      <c r="C1075" s="55" t="s">
        <v>1153</v>
      </c>
      <c r="D1075" s="46" t="s">
        <v>10</v>
      </c>
      <c r="E1075" s="44">
        <v>1</v>
      </c>
      <c r="F1075" s="31">
        <v>98.9</v>
      </c>
      <c r="G1075" s="32">
        <f>TRUNC(E1075*F1075,2)</f>
        <v>98.9</v>
      </c>
      <c r="H1075" s="32"/>
      <c r="I1075" s="33"/>
      <c r="J1075" s="33"/>
      <c r="K1075" s="44"/>
    </row>
    <row r="1076" spans="1:11" s="34" customFormat="1" ht="30" customHeight="1">
      <c r="A1076" s="30"/>
      <c r="B1076" s="52" t="s">
        <v>827</v>
      </c>
      <c r="C1076" s="55" t="s">
        <v>1154</v>
      </c>
      <c r="D1076" s="46" t="s">
        <v>10</v>
      </c>
      <c r="E1076" s="44">
        <v>1</v>
      </c>
      <c r="F1076" s="31">
        <v>95.7</v>
      </c>
      <c r="G1076" s="32">
        <f>TRUNC(E1076*F1076,2)</f>
        <v>95.7</v>
      </c>
      <c r="H1076" s="32"/>
      <c r="I1076" s="33"/>
      <c r="J1076" s="33"/>
      <c r="K1076" s="44"/>
    </row>
    <row r="1077" spans="1:11" s="34" customFormat="1" ht="31.5" customHeight="1">
      <c r="A1077" s="30"/>
      <c r="B1077" s="52" t="s">
        <v>827</v>
      </c>
      <c r="C1077" s="55" t="s">
        <v>1155</v>
      </c>
      <c r="D1077" s="46" t="s">
        <v>10</v>
      </c>
      <c r="E1077" s="44">
        <v>1</v>
      </c>
      <c r="F1077" s="31">
        <v>233.91</v>
      </c>
      <c r="G1077" s="32">
        <f>TRUNC(E1077*F1077,2)</f>
        <v>233.91</v>
      </c>
      <c r="H1077" s="32"/>
      <c r="I1077" s="33"/>
      <c r="J1077" s="33"/>
      <c r="K1077" s="44"/>
    </row>
    <row r="1078" spans="1:11" s="34" customFormat="1" ht="15">
      <c r="A1078" s="30"/>
      <c r="B1078" s="43"/>
      <c r="C1078" s="45"/>
      <c r="D1078" s="46"/>
      <c r="E1078" s="44" t="s">
        <v>5</v>
      </c>
      <c r="F1078" s="59" t="s">
        <v>1142</v>
      </c>
      <c r="G1078" s="32">
        <f>G1076</f>
        <v>95.7</v>
      </c>
      <c r="H1078" s="32"/>
      <c r="I1078" s="33"/>
      <c r="J1078" s="33"/>
      <c r="K1078" s="44"/>
    </row>
    <row r="1079" spans="1:11" s="107" customFormat="1" ht="30">
      <c r="A1079" s="99" t="s">
        <v>1655</v>
      </c>
      <c r="B1079" s="100" t="s">
        <v>2236</v>
      </c>
      <c r="C1079" s="101" t="s">
        <v>738</v>
      </c>
      <c r="D1079" s="102" t="s">
        <v>10</v>
      </c>
      <c r="E1079" s="103">
        <v>9</v>
      </c>
      <c r="F1079" s="104">
        <f>TRUNC(G1084,2)</f>
        <v>45.49</v>
      </c>
      <c r="G1079" s="105">
        <f>TRUNC(F1079*1.2247,2)</f>
        <v>55.71</v>
      </c>
      <c r="H1079" s="105">
        <f>TRUNC(F1079*E1079,2)</f>
        <v>409.41</v>
      </c>
      <c r="I1079" s="106">
        <f>TRUNC(E1079*G1079,2)</f>
        <v>501.39</v>
      </c>
      <c r="J1079" s="106"/>
      <c r="K1079" s="103"/>
    </row>
    <row r="1080" spans="1:11" s="34" customFormat="1" ht="30">
      <c r="A1080" s="30"/>
      <c r="B1080" s="43" t="s">
        <v>2237</v>
      </c>
      <c r="C1080" s="45" t="s">
        <v>740</v>
      </c>
      <c r="D1080" s="46" t="s">
        <v>10</v>
      </c>
      <c r="E1080" s="44">
        <v>1</v>
      </c>
      <c r="F1080" s="31">
        <f>TRUNC(41.9,2)</f>
        <v>41.9</v>
      </c>
      <c r="G1080" s="32">
        <f>TRUNC(E1080*F1080,2)</f>
        <v>41.9</v>
      </c>
      <c r="H1080" s="32"/>
      <c r="I1080" s="33"/>
      <c r="J1080" s="33"/>
      <c r="K1080" s="44"/>
    </row>
    <row r="1081" spans="1:11" s="34" customFormat="1" ht="15">
      <c r="A1081" s="30"/>
      <c r="B1081" s="43" t="s">
        <v>2238</v>
      </c>
      <c r="C1081" s="45" t="s">
        <v>732</v>
      </c>
      <c r="D1081" s="46" t="s">
        <v>10</v>
      </c>
      <c r="E1081" s="44">
        <v>0.021</v>
      </c>
      <c r="F1081" s="31">
        <f>TRUNC(3.9,2)</f>
        <v>3.9</v>
      </c>
      <c r="G1081" s="32">
        <f>TRUNC(E1081*F1081,2)</f>
        <v>0.08</v>
      </c>
      <c r="H1081" s="32"/>
      <c r="I1081" s="33"/>
      <c r="J1081" s="33"/>
      <c r="K1081" s="44"/>
    </row>
    <row r="1082" spans="1:11" s="34" customFormat="1" ht="15">
      <c r="A1082" s="30"/>
      <c r="B1082" s="43" t="s">
        <v>43</v>
      </c>
      <c r="C1082" s="45" t="s">
        <v>32</v>
      </c>
      <c r="D1082" s="46" t="s">
        <v>4</v>
      </c>
      <c r="E1082" s="44">
        <v>0.0303</v>
      </c>
      <c r="F1082" s="31">
        <f>TRUNC(23.42,2)</f>
        <v>23.42</v>
      </c>
      <c r="G1082" s="32">
        <f>TRUNC(E1082*F1082,2)</f>
        <v>0.7</v>
      </c>
      <c r="H1082" s="32"/>
      <c r="I1082" s="33"/>
      <c r="J1082" s="33"/>
      <c r="K1082" s="44"/>
    </row>
    <row r="1083" spans="1:11" s="34" customFormat="1" ht="15">
      <c r="A1083" s="30"/>
      <c r="B1083" s="43" t="s">
        <v>1933</v>
      </c>
      <c r="C1083" s="45" t="s">
        <v>417</v>
      </c>
      <c r="D1083" s="46" t="s">
        <v>4</v>
      </c>
      <c r="E1083" s="44">
        <v>0.096</v>
      </c>
      <c r="F1083" s="31">
        <f>TRUNC(29.32,2)</f>
        <v>29.32</v>
      </c>
      <c r="G1083" s="32">
        <f>TRUNC(E1083*F1083,2)</f>
        <v>2.81</v>
      </c>
      <c r="H1083" s="32"/>
      <c r="I1083" s="33"/>
      <c r="J1083" s="33"/>
      <c r="K1083" s="44"/>
    </row>
    <row r="1084" spans="1:11" s="34" customFormat="1" ht="15">
      <c r="A1084" s="30"/>
      <c r="B1084" s="43"/>
      <c r="C1084" s="45"/>
      <c r="D1084" s="46"/>
      <c r="E1084" s="44" t="s">
        <v>5</v>
      </c>
      <c r="F1084" s="31"/>
      <c r="G1084" s="32">
        <f>TRUNC(SUM(G1080:G1083),2)</f>
        <v>45.49</v>
      </c>
      <c r="H1084" s="32"/>
      <c r="I1084" s="33"/>
      <c r="J1084" s="33"/>
      <c r="K1084" s="44"/>
    </row>
    <row r="1085" spans="1:11" s="107" customFormat="1" ht="45">
      <c r="A1085" s="99" t="s">
        <v>1656</v>
      </c>
      <c r="B1085" s="100" t="s">
        <v>2251</v>
      </c>
      <c r="C1085" s="101" t="s">
        <v>750</v>
      </c>
      <c r="D1085" s="102" t="s">
        <v>10</v>
      </c>
      <c r="E1085" s="103">
        <v>2</v>
      </c>
      <c r="F1085" s="104">
        <f>TRUNC(G1090,2)</f>
        <v>836.91</v>
      </c>
      <c r="G1085" s="105">
        <f>TRUNC(F1085*1.2247,2)</f>
        <v>1024.96</v>
      </c>
      <c r="H1085" s="105">
        <f>TRUNC(F1085*E1085,2)</f>
        <v>1673.82</v>
      </c>
      <c r="I1085" s="106">
        <f>TRUNC(E1085*G1085,2)</f>
        <v>2049.92</v>
      </c>
      <c r="J1085" s="106"/>
      <c r="K1085" s="103"/>
    </row>
    <row r="1086" spans="1:11" s="34" customFormat="1" ht="30">
      <c r="A1086" s="30"/>
      <c r="B1086" s="43" t="s">
        <v>2252</v>
      </c>
      <c r="C1086" s="45" t="s">
        <v>2253</v>
      </c>
      <c r="D1086" s="46" t="s">
        <v>10</v>
      </c>
      <c r="E1086" s="44">
        <v>1</v>
      </c>
      <c r="F1086" s="31">
        <f>TRUNC(36.28,2)</f>
        <v>36.28</v>
      </c>
      <c r="G1086" s="32">
        <f>TRUNC(E1086*F1086,2)</f>
        <v>36.28</v>
      </c>
      <c r="H1086" s="32"/>
      <c r="I1086" s="33"/>
      <c r="J1086" s="33"/>
      <c r="K1086" s="44"/>
    </row>
    <row r="1087" spans="1:11" s="34" customFormat="1" ht="30">
      <c r="A1087" s="30"/>
      <c r="B1087" s="43" t="s">
        <v>2232</v>
      </c>
      <c r="C1087" s="45" t="s">
        <v>2233</v>
      </c>
      <c r="D1087" s="46" t="s">
        <v>10</v>
      </c>
      <c r="E1087" s="44">
        <v>1</v>
      </c>
      <c r="F1087" s="31">
        <f>TRUNC(14.66,2)</f>
        <v>14.66</v>
      </c>
      <c r="G1087" s="32">
        <f>TRUNC(E1087*F1087,2)</f>
        <v>14.66</v>
      </c>
      <c r="H1087" s="32"/>
      <c r="I1087" s="33"/>
      <c r="J1087" s="33"/>
      <c r="K1087" s="44"/>
    </row>
    <row r="1088" spans="1:11" s="34" customFormat="1" ht="30">
      <c r="A1088" s="30"/>
      <c r="B1088" s="43" t="s">
        <v>2234</v>
      </c>
      <c r="C1088" s="45" t="s">
        <v>2235</v>
      </c>
      <c r="D1088" s="46" t="s">
        <v>10</v>
      </c>
      <c r="E1088" s="44">
        <v>1</v>
      </c>
      <c r="F1088" s="31">
        <f>TRUNC(25.49,2)</f>
        <v>25.49</v>
      </c>
      <c r="G1088" s="32">
        <f>TRUNC(E1088*F1088,2)</f>
        <v>25.49</v>
      </c>
      <c r="H1088" s="32"/>
      <c r="I1088" s="33"/>
      <c r="J1088" s="33"/>
      <c r="K1088" s="44"/>
    </row>
    <row r="1089" spans="1:11" s="34" customFormat="1" ht="30">
      <c r="A1089" s="30"/>
      <c r="B1089" s="43" t="s">
        <v>2254</v>
      </c>
      <c r="C1089" s="45" t="s">
        <v>2255</v>
      </c>
      <c r="D1089" s="46" t="s">
        <v>10</v>
      </c>
      <c r="E1089" s="44">
        <v>1</v>
      </c>
      <c r="F1089" s="31">
        <f>TRUNC(760.48,2)</f>
        <v>760.48</v>
      </c>
      <c r="G1089" s="32">
        <f>TRUNC(E1089*F1089,2)</f>
        <v>760.48</v>
      </c>
      <c r="H1089" s="32"/>
      <c r="I1089" s="33"/>
      <c r="J1089" s="33"/>
      <c r="K1089" s="44"/>
    </row>
    <row r="1090" spans="1:11" s="34" customFormat="1" ht="15">
      <c r="A1090" s="30"/>
      <c r="B1090" s="43"/>
      <c r="C1090" s="45"/>
      <c r="D1090" s="46"/>
      <c r="E1090" s="44" t="s">
        <v>5</v>
      </c>
      <c r="F1090" s="31"/>
      <c r="G1090" s="32">
        <f>TRUNC(SUM(G1086:G1089),2)</f>
        <v>836.91</v>
      </c>
      <c r="H1090" s="32"/>
      <c r="I1090" s="33"/>
      <c r="J1090" s="33"/>
      <c r="K1090" s="44"/>
    </row>
    <row r="1091" spans="1:11" s="107" customFormat="1" ht="30">
      <c r="A1091" s="99" t="s">
        <v>1657</v>
      </c>
      <c r="B1091" s="100" t="s">
        <v>2256</v>
      </c>
      <c r="C1091" s="101" t="s">
        <v>759</v>
      </c>
      <c r="D1091" s="102" t="s">
        <v>10</v>
      </c>
      <c r="E1091" s="103">
        <v>3</v>
      </c>
      <c r="F1091" s="104">
        <f>TRUNC(G1096,2)</f>
        <v>84.99</v>
      </c>
      <c r="G1091" s="105">
        <f>TRUNC(F1091*1.2247,2)</f>
        <v>104.08</v>
      </c>
      <c r="H1091" s="105">
        <f>TRUNC(F1091*E1091,2)</f>
        <v>254.97</v>
      </c>
      <c r="I1091" s="106">
        <f>TRUNC(E1091*G1091,2)</f>
        <v>312.24</v>
      </c>
      <c r="J1091" s="106"/>
      <c r="K1091" s="103"/>
    </row>
    <row r="1092" spans="1:11" s="34" customFormat="1" ht="30">
      <c r="A1092" s="30"/>
      <c r="B1092" s="43" t="s">
        <v>2257</v>
      </c>
      <c r="C1092" s="45" t="s">
        <v>761</v>
      </c>
      <c r="D1092" s="46" t="s">
        <v>10</v>
      </c>
      <c r="E1092" s="44">
        <v>1</v>
      </c>
      <c r="F1092" s="31">
        <f>TRUNC(80.65,2)</f>
        <v>80.65</v>
      </c>
      <c r="G1092" s="32">
        <f>TRUNC(E1092*F1092,2)</f>
        <v>80.65</v>
      </c>
      <c r="H1092" s="32"/>
      <c r="I1092" s="33"/>
      <c r="J1092" s="33"/>
      <c r="K1092" s="44"/>
    </row>
    <row r="1093" spans="1:11" s="34" customFormat="1" ht="15">
      <c r="A1093" s="30"/>
      <c r="B1093" s="43" t="s">
        <v>2238</v>
      </c>
      <c r="C1093" s="45" t="s">
        <v>732</v>
      </c>
      <c r="D1093" s="46" t="s">
        <v>10</v>
      </c>
      <c r="E1093" s="44">
        <v>0.021</v>
      </c>
      <c r="F1093" s="31">
        <f>TRUNC(3.9,2)</f>
        <v>3.9</v>
      </c>
      <c r="G1093" s="32">
        <f>TRUNC(E1093*F1093,2)</f>
        <v>0.08</v>
      </c>
      <c r="H1093" s="32"/>
      <c r="I1093" s="33"/>
      <c r="J1093" s="33"/>
      <c r="K1093" s="44"/>
    </row>
    <row r="1094" spans="1:11" s="34" customFormat="1" ht="15">
      <c r="A1094" s="30"/>
      <c r="B1094" s="43" t="s">
        <v>43</v>
      </c>
      <c r="C1094" s="45" t="s">
        <v>32</v>
      </c>
      <c r="D1094" s="46" t="s">
        <v>4</v>
      </c>
      <c r="E1094" s="44">
        <v>0.0367</v>
      </c>
      <c r="F1094" s="31">
        <f>TRUNC(23.42,2)</f>
        <v>23.42</v>
      </c>
      <c r="G1094" s="32">
        <f>TRUNC(E1094*F1094,2)</f>
        <v>0.85</v>
      </c>
      <c r="H1094" s="32"/>
      <c r="I1094" s="33"/>
      <c r="J1094" s="33"/>
      <c r="K1094" s="44"/>
    </row>
    <row r="1095" spans="1:11" s="34" customFormat="1" ht="15">
      <c r="A1095" s="30"/>
      <c r="B1095" s="43" t="s">
        <v>1933</v>
      </c>
      <c r="C1095" s="45" t="s">
        <v>417</v>
      </c>
      <c r="D1095" s="46" t="s">
        <v>4</v>
      </c>
      <c r="E1095" s="44">
        <v>0.1164</v>
      </c>
      <c r="F1095" s="31">
        <f>TRUNC(29.32,2)</f>
        <v>29.32</v>
      </c>
      <c r="G1095" s="32">
        <f>TRUNC(E1095*F1095,2)</f>
        <v>3.41</v>
      </c>
      <c r="H1095" s="32"/>
      <c r="I1095" s="33"/>
      <c r="J1095" s="33"/>
      <c r="K1095" s="44"/>
    </row>
    <row r="1096" spans="1:11" s="34" customFormat="1" ht="15">
      <c r="A1096" s="30"/>
      <c r="B1096" s="43"/>
      <c r="C1096" s="45"/>
      <c r="D1096" s="46"/>
      <c r="E1096" s="44" t="s">
        <v>5</v>
      </c>
      <c r="F1096" s="31"/>
      <c r="G1096" s="32">
        <f>TRUNC(SUM(G1092:G1095),2)</f>
        <v>84.99</v>
      </c>
      <c r="H1096" s="32"/>
      <c r="I1096" s="33"/>
      <c r="J1096" s="33"/>
      <c r="K1096" s="44"/>
    </row>
    <row r="1097" spans="1:11" s="107" customFormat="1" ht="15">
      <c r="A1097" s="99" t="s">
        <v>1658</v>
      </c>
      <c r="B1097" s="100" t="s">
        <v>2258</v>
      </c>
      <c r="C1097" s="101" t="s">
        <v>763</v>
      </c>
      <c r="D1097" s="102" t="s">
        <v>10</v>
      </c>
      <c r="E1097" s="103">
        <v>11</v>
      </c>
      <c r="F1097" s="104">
        <f>TRUNC(G1102,2)</f>
        <v>35.34</v>
      </c>
      <c r="G1097" s="105">
        <f>TRUNC(F1097*1.2247,2)</f>
        <v>43.28</v>
      </c>
      <c r="H1097" s="105">
        <f>TRUNC(F1097*E1097,2)</f>
        <v>388.74</v>
      </c>
      <c r="I1097" s="106">
        <f>TRUNC(E1097*G1097,2)</f>
        <v>476.08</v>
      </c>
      <c r="J1097" s="106"/>
      <c r="K1097" s="103"/>
    </row>
    <row r="1098" spans="1:11" s="34" customFormat="1" ht="15">
      <c r="A1098" s="30"/>
      <c r="B1098" s="43" t="s">
        <v>2259</v>
      </c>
      <c r="C1098" s="45" t="s">
        <v>765</v>
      </c>
      <c r="D1098" s="46" t="s">
        <v>10</v>
      </c>
      <c r="E1098" s="44">
        <v>1</v>
      </c>
      <c r="F1098" s="31">
        <f>TRUNC(29.61,2)</f>
        <v>29.61</v>
      </c>
      <c r="G1098" s="32">
        <f>TRUNC(E1098*F1098,2)</f>
        <v>29.61</v>
      </c>
      <c r="H1098" s="32"/>
      <c r="I1098" s="33"/>
      <c r="J1098" s="33"/>
      <c r="K1098" s="44"/>
    </row>
    <row r="1099" spans="1:11" s="34" customFormat="1" ht="15">
      <c r="A1099" s="30"/>
      <c r="B1099" s="43" t="s">
        <v>2238</v>
      </c>
      <c r="C1099" s="45" t="s">
        <v>732</v>
      </c>
      <c r="D1099" s="46" t="s">
        <v>10</v>
      </c>
      <c r="E1099" s="44">
        <v>0.0365</v>
      </c>
      <c r="F1099" s="31">
        <f>TRUNC(3.9,2)</f>
        <v>3.9</v>
      </c>
      <c r="G1099" s="32">
        <f>TRUNC(E1099*F1099,2)</f>
        <v>0.14</v>
      </c>
      <c r="H1099" s="32"/>
      <c r="I1099" s="33"/>
      <c r="J1099" s="33"/>
      <c r="K1099" s="44"/>
    </row>
    <row r="1100" spans="1:11" s="34" customFormat="1" ht="15">
      <c r="A1100" s="30"/>
      <c r="B1100" s="43" t="s">
        <v>43</v>
      </c>
      <c r="C1100" s="45" t="s">
        <v>32</v>
      </c>
      <c r="D1100" s="46" t="s">
        <v>4</v>
      </c>
      <c r="E1100" s="44">
        <v>0.0481</v>
      </c>
      <c r="F1100" s="31">
        <f>TRUNC(23.42,2)</f>
        <v>23.42</v>
      </c>
      <c r="G1100" s="32">
        <f>TRUNC(E1100*F1100,2)</f>
        <v>1.12</v>
      </c>
      <c r="H1100" s="32"/>
      <c r="I1100" s="33"/>
      <c r="J1100" s="33"/>
      <c r="K1100" s="44"/>
    </row>
    <row r="1101" spans="1:11" s="34" customFormat="1" ht="15">
      <c r="A1101" s="30"/>
      <c r="B1101" s="43" t="s">
        <v>1933</v>
      </c>
      <c r="C1101" s="45" t="s">
        <v>417</v>
      </c>
      <c r="D1101" s="46" t="s">
        <v>4</v>
      </c>
      <c r="E1101" s="44">
        <v>0.1525</v>
      </c>
      <c r="F1101" s="31">
        <f>TRUNC(29.32,2)</f>
        <v>29.32</v>
      </c>
      <c r="G1101" s="32">
        <f>TRUNC(E1101*F1101,2)</f>
        <v>4.47</v>
      </c>
      <c r="H1101" s="32"/>
      <c r="I1101" s="33"/>
      <c r="J1101" s="33"/>
      <c r="K1101" s="44"/>
    </row>
    <row r="1102" spans="1:11" s="34" customFormat="1" ht="15">
      <c r="A1102" s="30"/>
      <c r="B1102" s="43"/>
      <c r="C1102" s="45"/>
      <c r="D1102" s="46"/>
      <c r="E1102" s="44" t="s">
        <v>5</v>
      </c>
      <c r="F1102" s="31"/>
      <c r="G1102" s="32">
        <f>TRUNC(SUM(G1098:G1101),2)</f>
        <v>35.34</v>
      </c>
      <c r="H1102" s="32"/>
      <c r="I1102" s="33"/>
      <c r="J1102" s="33"/>
      <c r="K1102" s="44"/>
    </row>
    <row r="1103" spans="1:11" s="107" customFormat="1" ht="60">
      <c r="A1103" s="99" t="s">
        <v>1659</v>
      </c>
      <c r="B1103" s="100" t="s">
        <v>781</v>
      </c>
      <c r="C1103" s="101" t="s">
        <v>766</v>
      </c>
      <c r="D1103" s="102" t="s">
        <v>10</v>
      </c>
      <c r="E1103" s="103">
        <v>2</v>
      </c>
      <c r="F1103" s="104">
        <f>TRUNC(G1109,2)</f>
        <v>656.34</v>
      </c>
      <c r="G1103" s="105">
        <f>TRUNC(F1103*1.2247,2)</f>
        <v>803.81</v>
      </c>
      <c r="H1103" s="105">
        <f>TRUNC(F1103*E1103,2)</f>
        <v>1312.68</v>
      </c>
      <c r="I1103" s="106">
        <f>TRUNC(E1103*G1103,2)</f>
        <v>1607.62</v>
      </c>
      <c r="J1103" s="106"/>
      <c r="K1103" s="103"/>
    </row>
    <row r="1104" spans="1:11" s="34" customFormat="1" ht="30">
      <c r="A1104" s="30"/>
      <c r="B1104" s="43" t="s">
        <v>767</v>
      </c>
      <c r="C1104" s="45" t="s">
        <v>768</v>
      </c>
      <c r="D1104" s="46" t="s">
        <v>10</v>
      </c>
      <c r="E1104" s="44">
        <v>1</v>
      </c>
      <c r="F1104" s="31">
        <f>TRUNC(35.95,2)</f>
        <v>35.95</v>
      </c>
      <c r="G1104" s="32">
        <f>TRUNC(E1104*F1104,2)</f>
        <v>35.95</v>
      </c>
      <c r="H1104" s="32"/>
      <c r="I1104" s="33"/>
      <c r="J1104" s="33"/>
      <c r="K1104" s="44"/>
    </row>
    <row r="1105" spans="1:11" s="34" customFormat="1" ht="30">
      <c r="A1105" s="30"/>
      <c r="B1105" s="43" t="s">
        <v>769</v>
      </c>
      <c r="C1105" s="45" t="s">
        <v>770</v>
      </c>
      <c r="D1105" s="46" t="s">
        <v>10</v>
      </c>
      <c r="E1105" s="44">
        <v>1</v>
      </c>
      <c r="F1105" s="31">
        <f>TRUNC(500.88,2)</f>
        <v>500.88</v>
      </c>
      <c r="G1105" s="32">
        <f>TRUNC(E1105*F1105,2)</f>
        <v>500.88</v>
      </c>
      <c r="H1105" s="32"/>
      <c r="I1105" s="33"/>
      <c r="J1105" s="33"/>
      <c r="K1105" s="44"/>
    </row>
    <row r="1106" spans="1:11" s="34" customFormat="1" ht="15">
      <c r="A1106" s="30"/>
      <c r="B1106" s="43" t="s">
        <v>771</v>
      </c>
      <c r="C1106" s="45" t="s">
        <v>772</v>
      </c>
      <c r="D1106" s="46" t="s">
        <v>10</v>
      </c>
      <c r="E1106" s="44">
        <v>1</v>
      </c>
      <c r="F1106" s="31">
        <f>TRUNC(91.1,2)</f>
        <v>91.1</v>
      </c>
      <c r="G1106" s="32">
        <f>TRUNC(E1106*F1106,2)</f>
        <v>91.1</v>
      </c>
      <c r="H1106" s="32"/>
      <c r="I1106" s="33"/>
      <c r="J1106" s="33"/>
      <c r="K1106" s="44"/>
    </row>
    <row r="1107" spans="1:11" s="34" customFormat="1" ht="30">
      <c r="A1107" s="30"/>
      <c r="B1107" s="43" t="s">
        <v>33</v>
      </c>
      <c r="C1107" s="45" t="s">
        <v>34</v>
      </c>
      <c r="D1107" s="46" t="s">
        <v>4</v>
      </c>
      <c r="E1107" s="44">
        <v>0.721</v>
      </c>
      <c r="F1107" s="31">
        <f>TRUNC(16.55,2)</f>
        <v>16.55</v>
      </c>
      <c r="G1107" s="32">
        <f>TRUNC(E1107*F1107,2)</f>
        <v>11.93</v>
      </c>
      <c r="H1107" s="32"/>
      <c r="I1107" s="33"/>
      <c r="J1107" s="33"/>
      <c r="K1107" s="44"/>
    </row>
    <row r="1108" spans="1:11" s="34" customFormat="1" ht="15">
      <c r="A1108" s="30"/>
      <c r="B1108" s="43" t="s">
        <v>35</v>
      </c>
      <c r="C1108" s="45" t="s">
        <v>36</v>
      </c>
      <c r="D1108" s="46" t="s">
        <v>4</v>
      </c>
      <c r="E1108" s="44">
        <v>0.721</v>
      </c>
      <c r="F1108" s="31">
        <f>TRUNC(22.86,2)</f>
        <v>22.86</v>
      </c>
      <c r="G1108" s="32">
        <f>TRUNC(E1108*F1108,2)</f>
        <v>16.48</v>
      </c>
      <c r="H1108" s="32"/>
      <c r="I1108" s="33"/>
      <c r="J1108" s="33"/>
      <c r="K1108" s="44"/>
    </row>
    <row r="1109" spans="1:11" s="34" customFormat="1" ht="15">
      <c r="A1109" s="30"/>
      <c r="B1109" s="43"/>
      <c r="C1109" s="45"/>
      <c r="D1109" s="46"/>
      <c r="E1109" s="44" t="s">
        <v>5</v>
      </c>
      <c r="F1109" s="31"/>
      <c r="G1109" s="32">
        <f>TRUNC(SUM(G1104:G1108),2)</f>
        <v>656.34</v>
      </c>
      <c r="H1109" s="32"/>
      <c r="I1109" s="33"/>
      <c r="J1109" s="33"/>
      <c r="K1109" s="44"/>
    </row>
    <row r="1110" spans="1:11" s="107" customFormat="1" ht="30">
      <c r="A1110" s="99" t="s">
        <v>1660</v>
      </c>
      <c r="B1110" s="100" t="s">
        <v>2261</v>
      </c>
      <c r="C1110" s="101" t="s">
        <v>774</v>
      </c>
      <c r="D1110" s="102" t="s">
        <v>10</v>
      </c>
      <c r="E1110" s="103">
        <v>11</v>
      </c>
      <c r="F1110" s="104">
        <f>TRUNC(G1115,2)</f>
        <v>193.58</v>
      </c>
      <c r="G1110" s="105">
        <f>TRUNC(F1110*1.2247,2)</f>
        <v>237.07</v>
      </c>
      <c r="H1110" s="105">
        <f>TRUNC(F1110*E1110,2)</f>
        <v>2129.38</v>
      </c>
      <c r="I1110" s="106">
        <f>TRUNC(E1110*G1110,2)</f>
        <v>2607.77</v>
      </c>
      <c r="J1110" s="106"/>
      <c r="K1110" s="103"/>
    </row>
    <row r="1111" spans="1:11" s="34" customFormat="1" ht="15">
      <c r="A1111" s="30"/>
      <c r="B1111" s="43" t="s">
        <v>2262</v>
      </c>
      <c r="C1111" s="45" t="s">
        <v>776</v>
      </c>
      <c r="D1111" s="46" t="s">
        <v>3</v>
      </c>
      <c r="E1111" s="44">
        <v>0.2974</v>
      </c>
      <c r="F1111" s="31">
        <f>TRUNC(36.01,2)</f>
        <v>36.01</v>
      </c>
      <c r="G1111" s="32">
        <f>TRUNC(E1111*F1111,2)</f>
        <v>10.7</v>
      </c>
      <c r="H1111" s="32"/>
      <c r="I1111" s="33"/>
      <c r="J1111" s="33"/>
      <c r="K1111" s="44"/>
    </row>
    <row r="1112" spans="1:11" s="34" customFormat="1" ht="15">
      <c r="A1112" s="30"/>
      <c r="B1112" s="43" t="s">
        <v>2263</v>
      </c>
      <c r="C1112" s="45" t="s">
        <v>778</v>
      </c>
      <c r="D1112" s="46" t="s">
        <v>10</v>
      </c>
      <c r="E1112" s="44">
        <v>1</v>
      </c>
      <c r="F1112" s="31">
        <f>TRUNC(166.8,2)</f>
        <v>166.8</v>
      </c>
      <c r="G1112" s="32">
        <f>TRUNC(E1112*F1112,2)</f>
        <v>166.8</v>
      </c>
      <c r="H1112" s="32"/>
      <c r="I1112" s="33"/>
      <c r="J1112" s="33"/>
      <c r="K1112" s="44"/>
    </row>
    <row r="1113" spans="1:11" s="34" customFormat="1" ht="15">
      <c r="A1113" s="30"/>
      <c r="B1113" s="43" t="s">
        <v>43</v>
      </c>
      <c r="C1113" s="45" t="s">
        <v>32</v>
      </c>
      <c r="D1113" s="46" t="s">
        <v>4</v>
      </c>
      <c r="E1113" s="44">
        <v>0.1504</v>
      </c>
      <c r="F1113" s="31">
        <f>TRUNC(23.42,2)</f>
        <v>23.42</v>
      </c>
      <c r="G1113" s="32">
        <f>TRUNC(E1113*F1113,2)</f>
        <v>3.52</v>
      </c>
      <c r="H1113" s="32"/>
      <c r="I1113" s="33"/>
      <c r="J1113" s="33"/>
      <c r="K1113" s="44"/>
    </row>
    <row r="1114" spans="1:11" s="34" customFormat="1" ht="15">
      <c r="A1114" s="30"/>
      <c r="B1114" s="43" t="s">
        <v>2264</v>
      </c>
      <c r="C1114" s="45" t="s">
        <v>780</v>
      </c>
      <c r="D1114" s="46" t="s">
        <v>4</v>
      </c>
      <c r="E1114" s="44">
        <v>0.4774</v>
      </c>
      <c r="F1114" s="31">
        <f>TRUNC(26.33,2)</f>
        <v>26.33</v>
      </c>
      <c r="G1114" s="32">
        <f>TRUNC(E1114*F1114,2)</f>
        <v>12.56</v>
      </c>
      <c r="H1114" s="32"/>
      <c r="I1114" s="33"/>
      <c r="J1114" s="33"/>
      <c r="K1114" s="44"/>
    </row>
    <row r="1115" spans="1:11" s="34" customFormat="1" ht="15">
      <c r="A1115" s="30"/>
      <c r="B1115" s="43"/>
      <c r="C1115" s="45"/>
      <c r="D1115" s="46"/>
      <c r="E1115" s="44" t="s">
        <v>5</v>
      </c>
      <c r="F1115" s="31"/>
      <c r="G1115" s="32">
        <f>TRUNC(SUM(G1111:G1114),2)</f>
        <v>193.58</v>
      </c>
      <c r="H1115" s="32"/>
      <c r="I1115" s="33"/>
      <c r="J1115" s="33"/>
      <c r="K1115" s="44"/>
    </row>
    <row r="1116" spans="1:11" s="107" customFormat="1" ht="60">
      <c r="A1116" s="99" t="s">
        <v>1661</v>
      </c>
      <c r="B1116" s="100" t="s">
        <v>2265</v>
      </c>
      <c r="C1116" s="101" t="s">
        <v>783</v>
      </c>
      <c r="D1116" s="102" t="s">
        <v>2</v>
      </c>
      <c r="E1116" s="103">
        <v>54.68</v>
      </c>
      <c r="F1116" s="104">
        <f>TRUNC(G1122,2)</f>
        <v>264.59</v>
      </c>
      <c r="G1116" s="105">
        <f>TRUNC(F1116*1.2247,2)</f>
        <v>324.04</v>
      </c>
      <c r="H1116" s="105">
        <f>TRUNC(F1116*E1116,2)</f>
        <v>14467.78</v>
      </c>
      <c r="I1116" s="106">
        <f>TRUNC(E1116*G1116,2)</f>
        <v>17718.5</v>
      </c>
      <c r="J1116" s="106"/>
      <c r="K1116" s="103"/>
    </row>
    <row r="1117" spans="1:11" s="34" customFormat="1" ht="30">
      <c r="A1117" s="30"/>
      <c r="B1117" s="43" t="s">
        <v>784</v>
      </c>
      <c r="C1117" s="45" t="s">
        <v>785</v>
      </c>
      <c r="D1117" s="46" t="s">
        <v>2</v>
      </c>
      <c r="E1117" s="44">
        <v>1</v>
      </c>
      <c r="F1117" s="31">
        <f>TRUNC(160.68,2)</f>
        <v>160.68</v>
      </c>
      <c r="G1117" s="32">
        <f>TRUNC(E1117*F1117,2)</f>
        <v>160.68</v>
      </c>
      <c r="H1117" s="32"/>
      <c r="I1117" s="33"/>
      <c r="J1117" s="33"/>
      <c r="K1117" s="44"/>
    </row>
    <row r="1118" spans="1:11" s="34" customFormat="1" ht="30">
      <c r="A1118" s="30"/>
      <c r="B1118" s="43" t="s">
        <v>33</v>
      </c>
      <c r="C1118" s="45" t="s">
        <v>34</v>
      </c>
      <c r="D1118" s="46" t="s">
        <v>4</v>
      </c>
      <c r="E1118" s="44">
        <v>0.4326</v>
      </c>
      <c r="F1118" s="31">
        <f>TRUNC(16.55,2)</f>
        <v>16.55</v>
      </c>
      <c r="G1118" s="32">
        <f>TRUNC(E1118*F1118,2)</f>
        <v>7.15</v>
      </c>
      <c r="H1118" s="32"/>
      <c r="I1118" s="33"/>
      <c r="J1118" s="33"/>
      <c r="K1118" s="44"/>
    </row>
    <row r="1119" spans="1:11" s="34" customFormat="1" ht="15">
      <c r="A1119" s="30"/>
      <c r="B1119" s="43" t="s">
        <v>35</v>
      </c>
      <c r="C1119" s="45" t="s">
        <v>36</v>
      </c>
      <c r="D1119" s="46" t="s">
        <v>4</v>
      </c>
      <c r="E1119" s="44">
        <v>0.4326</v>
      </c>
      <c r="F1119" s="31">
        <f>TRUNC(22.86,2)</f>
        <v>22.86</v>
      </c>
      <c r="G1119" s="32">
        <f>TRUNC(E1119*F1119,2)</f>
        <v>9.88</v>
      </c>
      <c r="H1119" s="32"/>
      <c r="I1119" s="33"/>
      <c r="J1119" s="33"/>
      <c r="K1119" s="44"/>
    </row>
    <row r="1120" spans="1:11" s="34" customFormat="1" ht="15">
      <c r="A1120" s="30"/>
      <c r="B1120" s="43" t="s">
        <v>2209</v>
      </c>
      <c r="C1120" s="45" t="s">
        <v>2210</v>
      </c>
      <c r="D1120" s="46" t="s">
        <v>1</v>
      </c>
      <c r="E1120" s="44">
        <v>0.02</v>
      </c>
      <c r="F1120" s="31">
        <f>TRUNC(2221.1218,2)</f>
        <v>2221.12</v>
      </c>
      <c r="G1120" s="32">
        <f>TRUNC(E1120*F1120,2)</f>
        <v>44.42</v>
      </c>
      <c r="H1120" s="32"/>
      <c r="I1120" s="33"/>
      <c r="J1120" s="33"/>
      <c r="K1120" s="44"/>
    </row>
    <row r="1121" spans="1:11" s="34" customFormat="1" ht="15">
      <c r="A1121" s="30"/>
      <c r="B1121" s="43" t="s">
        <v>2266</v>
      </c>
      <c r="C1121" s="45" t="s">
        <v>2267</v>
      </c>
      <c r="D1121" s="46" t="s">
        <v>0</v>
      </c>
      <c r="E1121" s="44">
        <v>0.72</v>
      </c>
      <c r="F1121" s="31">
        <f>TRUNC(58.9882,2)</f>
        <v>58.98</v>
      </c>
      <c r="G1121" s="32">
        <f>TRUNC(E1121*F1121,2)</f>
        <v>42.46</v>
      </c>
      <c r="H1121" s="32"/>
      <c r="I1121" s="33"/>
      <c r="J1121" s="33"/>
      <c r="K1121" s="44"/>
    </row>
    <row r="1122" spans="1:11" s="34" customFormat="1" ht="15">
      <c r="A1122" s="30"/>
      <c r="B1122" s="43"/>
      <c r="C1122" s="45"/>
      <c r="D1122" s="46"/>
      <c r="E1122" s="44" t="s">
        <v>5</v>
      </c>
      <c r="F1122" s="31"/>
      <c r="G1122" s="32">
        <f>TRUNC(SUM(G1117:G1121),2)</f>
        <v>264.59</v>
      </c>
      <c r="H1122" s="32"/>
      <c r="I1122" s="33"/>
      <c r="J1122" s="33"/>
      <c r="K1122" s="44"/>
    </row>
    <row r="1123" spans="1:11" s="107" customFormat="1" ht="45">
      <c r="A1123" s="99" t="s">
        <v>1662</v>
      </c>
      <c r="B1123" s="100" t="s">
        <v>2268</v>
      </c>
      <c r="C1123" s="101" t="s">
        <v>789</v>
      </c>
      <c r="D1123" s="102" t="s">
        <v>2</v>
      </c>
      <c r="E1123" s="103">
        <v>37</v>
      </c>
      <c r="F1123" s="104">
        <f>TRUNC(G1128,2)</f>
        <v>95.91</v>
      </c>
      <c r="G1123" s="105">
        <f>TRUNC(F1123*1.2247,2)</f>
        <v>117.46</v>
      </c>
      <c r="H1123" s="105">
        <f>TRUNC(F1123*E1123,2)</f>
        <v>3548.67</v>
      </c>
      <c r="I1123" s="106">
        <f>TRUNC(E1123*G1123,2)</f>
        <v>4346.02</v>
      </c>
      <c r="J1123" s="106"/>
      <c r="K1123" s="103"/>
    </row>
    <row r="1124" spans="1:11" s="34" customFormat="1" ht="15">
      <c r="A1124" s="30"/>
      <c r="B1124" s="43" t="s">
        <v>790</v>
      </c>
      <c r="C1124" s="45" t="s">
        <v>791</v>
      </c>
      <c r="D1124" s="46" t="s">
        <v>0</v>
      </c>
      <c r="E1124" s="44">
        <v>0.3</v>
      </c>
      <c r="F1124" s="31">
        <f>TRUNC(198,2)</f>
        <v>198</v>
      </c>
      <c r="G1124" s="32">
        <f>TRUNC(E1124*F1124,2)</f>
        <v>59.4</v>
      </c>
      <c r="H1124" s="32"/>
      <c r="I1124" s="33"/>
      <c r="J1124" s="33"/>
      <c r="K1124" s="44"/>
    </row>
    <row r="1125" spans="1:11" s="34" customFormat="1" ht="30">
      <c r="A1125" s="30"/>
      <c r="B1125" s="43" t="s">
        <v>111</v>
      </c>
      <c r="C1125" s="45" t="s">
        <v>112</v>
      </c>
      <c r="D1125" s="46" t="s">
        <v>3</v>
      </c>
      <c r="E1125" s="44">
        <v>2</v>
      </c>
      <c r="F1125" s="31">
        <f>TRUNC(8.11,2)</f>
        <v>8.11</v>
      </c>
      <c r="G1125" s="32">
        <f>TRUNC(E1125*F1125,2)</f>
        <v>16.22</v>
      </c>
      <c r="H1125" s="32"/>
      <c r="I1125" s="33"/>
      <c r="J1125" s="33"/>
      <c r="K1125" s="44"/>
    </row>
    <row r="1126" spans="1:11" s="34" customFormat="1" ht="30">
      <c r="A1126" s="30"/>
      <c r="B1126" s="43" t="s">
        <v>33</v>
      </c>
      <c r="C1126" s="45" t="s">
        <v>34</v>
      </c>
      <c r="D1126" s="46" t="s">
        <v>4</v>
      </c>
      <c r="E1126" s="44">
        <v>0.515</v>
      </c>
      <c r="F1126" s="31">
        <f>TRUNC(16.55,2)</f>
        <v>16.55</v>
      </c>
      <c r="G1126" s="32">
        <f>TRUNC(E1126*F1126,2)</f>
        <v>8.52</v>
      </c>
      <c r="H1126" s="32"/>
      <c r="I1126" s="33"/>
      <c r="J1126" s="33"/>
      <c r="K1126" s="44"/>
    </row>
    <row r="1127" spans="1:11" s="34" customFormat="1" ht="15">
      <c r="A1127" s="30"/>
      <c r="B1127" s="43" t="s">
        <v>35</v>
      </c>
      <c r="C1127" s="45" t="s">
        <v>36</v>
      </c>
      <c r="D1127" s="46" t="s">
        <v>4</v>
      </c>
      <c r="E1127" s="44">
        <v>0.515</v>
      </c>
      <c r="F1127" s="31">
        <f>TRUNC(22.86,2)</f>
        <v>22.86</v>
      </c>
      <c r="G1127" s="32">
        <f>TRUNC(E1127*F1127,2)</f>
        <v>11.77</v>
      </c>
      <c r="H1127" s="32"/>
      <c r="I1127" s="33"/>
      <c r="J1127" s="33"/>
      <c r="K1127" s="44"/>
    </row>
    <row r="1128" spans="1:11" s="34" customFormat="1" ht="15">
      <c r="A1128" s="30"/>
      <c r="B1128" s="43"/>
      <c r="C1128" s="45"/>
      <c r="D1128" s="46"/>
      <c r="E1128" s="44" t="s">
        <v>5</v>
      </c>
      <c r="F1128" s="31"/>
      <c r="G1128" s="32">
        <f>TRUNC(SUM(G1124:G1127),2)</f>
        <v>95.91</v>
      </c>
      <c r="H1128" s="32"/>
      <c r="I1128" s="33"/>
      <c r="J1128" s="33"/>
      <c r="K1128" s="44"/>
    </row>
    <row r="1129" spans="1:11" s="107" customFormat="1" ht="60">
      <c r="A1129" s="99" t="s">
        <v>1663</v>
      </c>
      <c r="B1129" s="100" t="s">
        <v>2265</v>
      </c>
      <c r="C1129" s="101" t="s">
        <v>783</v>
      </c>
      <c r="D1129" s="102" t="s">
        <v>2</v>
      </c>
      <c r="E1129" s="103">
        <v>4.5</v>
      </c>
      <c r="F1129" s="104">
        <f>TRUNC(G1135,2)</f>
        <v>264.59</v>
      </c>
      <c r="G1129" s="105">
        <f>TRUNC(F1129*1.2247,2)</f>
        <v>324.04</v>
      </c>
      <c r="H1129" s="105">
        <f>TRUNC(F1129*E1129,2)</f>
        <v>1190.65</v>
      </c>
      <c r="I1129" s="106">
        <f>TRUNC(E1129*G1129,2)</f>
        <v>1458.18</v>
      </c>
      <c r="J1129" s="106"/>
      <c r="K1129" s="103"/>
    </row>
    <row r="1130" spans="1:11" s="34" customFormat="1" ht="30">
      <c r="A1130" s="30"/>
      <c r="B1130" s="43" t="s">
        <v>784</v>
      </c>
      <c r="C1130" s="45" t="s">
        <v>785</v>
      </c>
      <c r="D1130" s="46" t="s">
        <v>2</v>
      </c>
      <c r="E1130" s="44">
        <v>1</v>
      </c>
      <c r="F1130" s="31">
        <f>TRUNC(160.68,2)</f>
        <v>160.68</v>
      </c>
      <c r="G1130" s="32">
        <f>TRUNC(E1130*F1130,2)</f>
        <v>160.68</v>
      </c>
      <c r="H1130" s="32"/>
      <c r="I1130" s="33"/>
      <c r="J1130" s="33"/>
      <c r="K1130" s="44"/>
    </row>
    <row r="1131" spans="1:11" s="34" customFormat="1" ht="30">
      <c r="A1131" s="30"/>
      <c r="B1131" s="43" t="s">
        <v>33</v>
      </c>
      <c r="C1131" s="45" t="s">
        <v>34</v>
      </c>
      <c r="D1131" s="46" t="s">
        <v>4</v>
      </c>
      <c r="E1131" s="44">
        <v>0.4326</v>
      </c>
      <c r="F1131" s="31">
        <f>TRUNC(16.55,2)</f>
        <v>16.55</v>
      </c>
      <c r="G1131" s="32">
        <f>TRUNC(E1131*F1131,2)</f>
        <v>7.15</v>
      </c>
      <c r="H1131" s="32"/>
      <c r="I1131" s="33"/>
      <c r="J1131" s="33"/>
      <c r="K1131" s="44"/>
    </row>
    <row r="1132" spans="1:11" s="34" customFormat="1" ht="15">
      <c r="A1132" s="30"/>
      <c r="B1132" s="43" t="s">
        <v>35</v>
      </c>
      <c r="C1132" s="45" t="s">
        <v>36</v>
      </c>
      <c r="D1132" s="46" t="s">
        <v>4</v>
      </c>
      <c r="E1132" s="44">
        <v>0.4326</v>
      </c>
      <c r="F1132" s="31">
        <f>TRUNC(22.86,2)</f>
        <v>22.86</v>
      </c>
      <c r="G1132" s="32">
        <f>TRUNC(E1132*F1132,2)</f>
        <v>9.88</v>
      </c>
      <c r="H1132" s="32"/>
      <c r="I1132" s="33"/>
      <c r="J1132" s="33"/>
      <c r="K1132" s="44"/>
    </row>
    <row r="1133" spans="1:11" s="34" customFormat="1" ht="15">
      <c r="A1133" s="30"/>
      <c r="B1133" s="43" t="s">
        <v>2209</v>
      </c>
      <c r="C1133" s="45" t="s">
        <v>2210</v>
      </c>
      <c r="D1133" s="46" t="s">
        <v>1</v>
      </c>
      <c r="E1133" s="44">
        <v>0.02</v>
      </c>
      <c r="F1133" s="31">
        <f>TRUNC(2221.1218,2)</f>
        <v>2221.12</v>
      </c>
      <c r="G1133" s="32">
        <f>TRUNC(E1133*F1133,2)</f>
        <v>44.42</v>
      </c>
      <c r="H1133" s="32"/>
      <c r="I1133" s="33"/>
      <c r="J1133" s="33"/>
      <c r="K1133" s="44"/>
    </row>
    <row r="1134" spans="1:11" s="34" customFormat="1" ht="15">
      <c r="A1134" s="30"/>
      <c r="B1134" s="43" t="s">
        <v>2266</v>
      </c>
      <c r="C1134" s="45" t="s">
        <v>2267</v>
      </c>
      <c r="D1134" s="46" t="s">
        <v>0</v>
      </c>
      <c r="E1134" s="44">
        <v>0.72</v>
      </c>
      <c r="F1134" s="31">
        <f>TRUNC(58.9882,2)</f>
        <v>58.98</v>
      </c>
      <c r="G1134" s="32">
        <f>TRUNC(E1134*F1134,2)</f>
        <v>42.46</v>
      </c>
      <c r="H1134" s="32"/>
      <c r="I1134" s="33"/>
      <c r="J1134" s="33"/>
      <c r="K1134" s="44"/>
    </row>
    <row r="1135" spans="1:11" s="34" customFormat="1" ht="15">
      <c r="A1135" s="30"/>
      <c r="B1135" s="43"/>
      <c r="C1135" s="45"/>
      <c r="D1135" s="46"/>
      <c r="E1135" s="44" t="s">
        <v>5</v>
      </c>
      <c r="F1135" s="31"/>
      <c r="G1135" s="32">
        <f>TRUNC(SUM(G1130:G1134),2)</f>
        <v>264.59</v>
      </c>
      <c r="H1135" s="32"/>
      <c r="I1135" s="33"/>
      <c r="J1135" s="33"/>
      <c r="K1135" s="44"/>
    </row>
    <row r="1136" spans="1:11" s="107" customFormat="1" ht="30">
      <c r="A1136" s="99" t="s">
        <v>2479</v>
      </c>
      <c r="B1136" s="100" t="s">
        <v>2073</v>
      </c>
      <c r="C1136" s="101" t="s">
        <v>705</v>
      </c>
      <c r="D1136" s="102" t="s">
        <v>10</v>
      </c>
      <c r="E1136" s="103">
        <v>1</v>
      </c>
      <c r="F1136" s="104">
        <f>TRUNC(G1143,2)</f>
        <v>11.25</v>
      </c>
      <c r="G1136" s="105">
        <f>TRUNC(F1136*1.2247,2)</f>
        <v>13.77</v>
      </c>
      <c r="H1136" s="105">
        <f>TRUNC(F1136*E1136,2)</f>
        <v>11.25</v>
      </c>
      <c r="I1136" s="106">
        <f>TRUNC(E1136*G1136,2)</f>
        <v>13.77</v>
      </c>
      <c r="J1136" s="106"/>
      <c r="K1136" s="103"/>
    </row>
    <row r="1137" spans="1:11" s="34" customFormat="1" ht="15">
      <c r="A1137" s="30"/>
      <c r="B1137" s="43" t="s">
        <v>2065</v>
      </c>
      <c r="C1137" s="45" t="s">
        <v>642</v>
      </c>
      <c r="D1137" s="46" t="s">
        <v>10</v>
      </c>
      <c r="E1137" s="44">
        <v>0.012</v>
      </c>
      <c r="F1137" s="31">
        <f>TRUNC(1.72,2)</f>
        <v>1.72</v>
      </c>
      <c r="G1137" s="32">
        <f aca="true" t="shared" si="49" ref="G1137:G1142">TRUNC(E1137*F1137,2)</f>
        <v>0.02</v>
      </c>
      <c r="H1137" s="32"/>
      <c r="I1137" s="33"/>
      <c r="J1137" s="33"/>
      <c r="K1137" s="44"/>
    </row>
    <row r="1138" spans="1:11" s="34" customFormat="1" ht="15">
      <c r="A1138" s="30"/>
      <c r="B1138" s="43" t="s">
        <v>2067</v>
      </c>
      <c r="C1138" s="45" t="s">
        <v>644</v>
      </c>
      <c r="D1138" s="46" t="s">
        <v>10</v>
      </c>
      <c r="E1138" s="44">
        <v>0.0075</v>
      </c>
      <c r="F1138" s="31">
        <f>TRUNC(60.64,2)</f>
        <v>60.64</v>
      </c>
      <c r="G1138" s="32">
        <f t="shared" si="49"/>
        <v>0.45</v>
      </c>
      <c r="H1138" s="32"/>
      <c r="I1138" s="33"/>
      <c r="J1138" s="33"/>
      <c r="K1138" s="44"/>
    </row>
    <row r="1139" spans="1:11" s="34" customFormat="1" ht="15">
      <c r="A1139" s="30"/>
      <c r="B1139" s="43" t="s">
        <v>2074</v>
      </c>
      <c r="C1139" s="45" t="s">
        <v>707</v>
      </c>
      <c r="D1139" s="46" t="s">
        <v>10</v>
      </c>
      <c r="E1139" s="44">
        <v>1</v>
      </c>
      <c r="F1139" s="31">
        <f>TRUNC(8.63,2)</f>
        <v>8.63</v>
      </c>
      <c r="G1139" s="32">
        <f t="shared" si="49"/>
        <v>8.63</v>
      </c>
      <c r="H1139" s="32"/>
      <c r="I1139" s="33"/>
      <c r="J1139" s="33"/>
      <c r="K1139" s="44"/>
    </row>
    <row r="1140" spans="1:11" s="34" customFormat="1" ht="15">
      <c r="A1140" s="30"/>
      <c r="B1140" s="43" t="s">
        <v>2069</v>
      </c>
      <c r="C1140" s="45" t="s">
        <v>646</v>
      </c>
      <c r="D1140" s="46" t="s">
        <v>10</v>
      </c>
      <c r="E1140" s="44">
        <v>0.0049</v>
      </c>
      <c r="F1140" s="31">
        <f>TRUNC(69.83,2)</f>
        <v>69.83</v>
      </c>
      <c r="G1140" s="32">
        <f t="shared" si="49"/>
        <v>0.34</v>
      </c>
      <c r="H1140" s="32"/>
      <c r="I1140" s="33"/>
      <c r="J1140" s="33"/>
      <c r="K1140" s="44"/>
    </row>
    <row r="1141" spans="1:11" s="34" customFormat="1" ht="15">
      <c r="A1141" s="30"/>
      <c r="B1141" s="43" t="s">
        <v>1933</v>
      </c>
      <c r="C1141" s="45" t="s">
        <v>417</v>
      </c>
      <c r="D1141" s="46" t="s">
        <v>4</v>
      </c>
      <c r="E1141" s="44">
        <v>0.035</v>
      </c>
      <c r="F1141" s="31">
        <f>TRUNC(29.32,2)</f>
        <v>29.32</v>
      </c>
      <c r="G1141" s="32">
        <f t="shared" si="49"/>
        <v>1.02</v>
      </c>
      <c r="H1141" s="32"/>
      <c r="I1141" s="33"/>
      <c r="J1141" s="33"/>
      <c r="K1141" s="44"/>
    </row>
    <row r="1142" spans="1:11" s="34" customFormat="1" ht="30">
      <c r="A1142" s="30"/>
      <c r="B1142" s="43" t="s">
        <v>1974</v>
      </c>
      <c r="C1142" s="45" t="s">
        <v>419</v>
      </c>
      <c r="D1142" s="46" t="s">
        <v>4</v>
      </c>
      <c r="E1142" s="44">
        <v>0.035</v>
      </c>
      <c r="F1142" s="31">
        <f>TRUNC(22.69,2)</f>
        <v>22.69</v>
      </c>
      <c r="G1142" s="32">
        <f t="shared" si="49"/>
        <v>0.79</v>
      </c>
      <c r="H1142" s="32"/>
      <c r="I1142" s="33"/>
      <c r="J1142" s="33"/>
      <c r="K1142" s="44"/>
    </row>
    <row r="1143" spans="1:11" s="34" customFormat="1" ht="15">
      <c r="A1143" s="30"/>
      <c r="B1143" s="43"/>
      <c r="C1143" s="45"/>
      <c r="D1143" s="46"/>
      <c r="E1143" s="44" t="s">
        <v>5</v>
      </c>
      <c r="F1143" s="31"/>
      <c r="G1143" s="32">
        <f>TRUNC(SUM(G1137:G1142),2)</f>
        <v>11.25</v>
      </c>
      <c r="H1143" s="32"/>
      <c r="I1143" s="33"/>
      <c r="J1143" s="33"/>
      <c r="K1143" s="44"/>
    </row>
    <row r="1144" spans="1:11" s="107" customFormat="1" ht="30">
      <c r="A1144" s="99" t="s">
        <v>2480</v>
      </c>
      <c r="B1144" s="100" t="s">
        <v>2464</v>
      </c>
      <c r="C1144" s="101" t="s">
        <v>2465</v>
      </c>
      <c r="D1144" s="102" t="s">
        <v>2</v>
      </c>
      <c r="E1144" s="103">
        <v>1.6</v>
      </c>
      <c r="F1144" s="104">
        <f>TRUNC(14.82158,2)</f>
        <v>14.82</v>
      </c>
      <c r="G1144" s="105">
        <f>TRUNC(F1144*1.2247,2)</f>
        <v>18.15</v>
      </c>
      <c r="H1144" s="105">
        <f>TRUNC(F1144*E1144,2)</f>
        <v>23.71</v>
      </c>
      <c r="I1144" s="106">
        <f>TRUNC(E1144*G1144,2)</f>
        <v>29.04</v>
      </c>
      <c r="J1144" s="106"/>
      <c r="K1144" s="103"/>
    </row>
    <row r="1145" spans="1:11" s="34" customFormat="1" ht="15">
      <c r="A1145" s="30"/>
      <c r="B1145" s="43" t="s">
        <v>2065</v>
      </c>
      <c r="C1145" s="45" t="s">
        <v>642</v>
      </c>
      <c r="D1145" s="46" t="s">
        <v>10</v>
      </c>
      <c r="E1145" s="44">
        <v>0.008</v>
      </c>
      <c r="F1145" s="31">
        <f>TRUNC(1.72,2)</f>
        <v>1.72</v>
      </c>
      <c r="G1145" s="32">
        <f>TRUNC(E1145*F1145,2)</f>
        <v>0.01</v>
      </c>
      <c r="H1145" s="32"/>
      <c r="I1145" s="33"/>
      <c r="J1145" s="33"/>
      <c r="K1145" s="44"/>
    </row>
    <row r="1146" spans="1:11" s="34" customFormat="1" ht="15">
      <c r="A1146" s="30"/>
      <c r="B1146" s="43" t="s">
        <v>2466</v>
      </c>
      <c r="C1146" s="45" t="s">
        <v>2467</v>
      </c>
      <c r="D1146" s="46" t="s">
        <v>2</v>
      </c>
      <c r="E1146" s="44">
        <v>1.061</v>
      </c>
      <c r="F1146" s="31">
        <f>TRUNC(12.78,2)</f>
        <v>12.78</v>
      </c>
      <c r="G1146" s="32">
        <f>TRUNC(E1146*F1146,2)</f>
        <v>13.55</v>
      </c>
      <c r="H1146" s="32"/>
      <c r="I1146" s="33"/>
      <c r="J1146" s="33"/>
      <c r="K1146" s="44"/>
    </row>
    <row r="1147" spans="1:11" s="34" customFormat="1" ht="15">
      <c r="A1147" s="30"/>
      <c r="B1147" s="43" t="s">
        <v>1933</v>
      </c>
      <c r="C1147" s="45" t="s">
        <v>417</v>
      </c>
      <c r="D1147" s="46" t="s">
        <v>4</v>
      </c>
      <c r="E1147" s="44">
        <v>0.024</v>
      </c>
      <c r="F1147" s="31">
        <f>TRUNC(29.32,2)</f>
        <v>29.32</v>
      </c>
      <c r="G1147" s="32">
        <f>TRUNC(E1147*F1147,2)</f>
        <v>0.7</v>
      </c>
      <c r="H1147" s="32"/>
      <c r="I1147" s="33"/>
      <c r="J1147" s="33"/>
      <c r="K1147" s="44"/>
    </row>
    <row r="1148" spans="1:11" s="34" customFormat="1" ht="30">
      <c r="A1148" s="30"/>
      <c r="B1148" s="43" t="s">
        <v>1974</v>
      </c>
      <c r="C1148" s="45" t="s">
        <v>419</v>
      </c>
      <c r="D1148" s="46" t="s">
        <v>4</v>
      </c>
      <c r="E1148" s="44">
        <v>0.024</v>
      </c>
      <c r="F1148" s="31">
        <f>TRUNC(22.69,2)</f>
        <v>22.69</v>
      </c>
      <c r="G1148" s="32">
        <f>TRUNC(E1148*F1148,2)</f>
        <v>0.54</v>
      </c>
      <c r="H1148" s="32"/>
      <c r="I1148" s="33"/>
      <c r="J1148" s="33"/>
      <c r="K1148" s="44"/>
    </row>
    <row r="1149" spans="1:11" s="34" customFormat="1" ht="15">
      <c r="A1149" s="30"/>
      <c r="B1149" s="43"/>
      <c r="C1149" s="45"/>
      <c r="D1149" s="46"/>
      <c r="E1149" s="44" t="s">
        <v>5</v>
      </c>
      <c r="F1149" s="31"/>
      <c r="G1149" s="32">
        <f>TRUNC(SUM(G1145:G1148),2)</f>
        <v>14.8</v>
      </c>
      <c r="H1149" s="32"/>
      <c r="I1149" s="33"/>
      <c r="J1149" s="33"/>
      <c r="K1149" s="44"/>
    </row>
    <row r="1150" spans="1:11" s="107" customFormat="1" ht="60">
      <c r="A1150" s="99" t="s">
        <v>2481</v>
      </c>
      <c r="B1150" s="100" t="s">
        <v>2241</v>
      </c>
      <c r="C1150" s="101" t="s">
        <v>746</v>
      </c>
      <c r="D1150" s="102" t="s">
        <v>10</v>
      </c>
      <c r="E1150" s="103">
        <v>2</v>
      </c>
      <c r="F1150" s="104">
        <f>TRUNC(110.0223,2)</f>
        <v>110.02</v>
      </c>
      <c r="G1150" s="105">
        <f>TRUNC(F1150*1.2247,2)</f>
        <v>134.74</v>
      </c>
      <c r="H1150" s="105">
        <f>TRUNC(F1150*E1150,2)</f>
        <v>220.04</v>
      </c>
      <c r="I1150" s="106">
        <f>TRUNC(E1150*G1150,2)</f>
        <v>269.48</v>
      </c>
      <c r="J1150" s="106"/>
      <c r="K1150" s="103"/>
    </row>
    <row r="1151" spans="1:11" s="34" customFormat="1" ht="15">
      <c r="A1151" s="30"/>
      <c r="B1151" s="43" t="s">
        <v>747</v>
      </c>
      <c r="C1151" s="45" t="s">
        <v>748</v>
      </c>
      <c r="D1151" s="46" t="s">
        <v>10</v>
      </c>
      <c r="E1151" s="44">
        <v>1</v>
      </c>
      <c r="F1151" s="31">
        <f>TRUNC(69.43,2)</f>
        <v>69.43</v>
      </c>
      <c r="G1151" s="32">
        <f>TRUNC(E1151*F1151,2)</f>
        <v>69.43</v>
      </c>
      <c r="H1151" s="32"/>
      <c r="I1151" s="33"/>
      <c r="J1151" s="33"/>
      <c r="K1151" s="44"/>
    </row>
    <row r="1152" spans="1:11" s="34" customFormat="1" ht="30">
      <c r="A1152" s="30"/>
      <c r="B1152" s="43" t="s">
        <v>33</v>
      </c>
      <c r="C1152" s="45" t="s">
        <v>34</v>
      </c>
      <c r="D1152" s="46" t="s">
        <v>4</v>
      </c>
      <c r="E1152" s="44">
        <v>1.03</v>
      </c>
      <c r="F1152" s="31">
        <f>TRUNC(16.55,2)</f>
        <v>16.55</v>
      </c>
      <c r="G1152" s="32">
        <f>TRUNC(E1152*F1152,2)</f>
        <v>17.04</v>
      </c>
      <c r="H1152" s="32"/>
      <c r="I1152" s="33"/>
      <c r="J1152" s="33"/>
      <c r="K1152" s="44"/>
    </row>
    <row r="1153" spans="1:11" s="34" customFormat="1" ht="15">
      <c r="A1153" s="30"/>
      <c r="B1153" s="43" t="s">
        <v>35</v>
      </c>
      <c r="C1153" s="45" t="s">
        <v>36</v>
      </c>
      <c r="D1153" s="46" t="s">
        <v>4</v>
      </c>
      <c r="E1153" s="44">
        <v>1.03</v>
      </c>
      <c r="F1153" s="31">
        <f>TRUNC(22.86,2)</f>
        <v>22.86</v>
      </c>
      <c r="G1153" s="32">
        <f>TRUNC(E1153*F1153,2)</f>
        <v>23.54</v>
      </c>
      <c r="H1153" s="32"/>
      <c r="I1153" s="33"/>
      <c r="J1153" s="33"/>
      <c r="K1153" s="44"/>
    </row>
    <row r="1154" spans="1:11" s="34" customFormat="1" ht="15">
      <c r="A1154" s="30"/>
      <c r="B1154" s="43"/>
      <c r="C1154" s="45"/>
      <c r="D1154" s="46"/>
      <c r="E1154" s="44" t="s">
        <v>5</v>
      </c>
      <c r="F1154" s="31"/>
      <c r="G1154" s="32">
        <f>TRUNC(SUM(G1151:G1153),2)</f>
        <v>110.01</v>
      </c>
      <c r="H1154" s="32"/>
      <c r="I1154" s="33"/>
      <c r="J1154" s="33"/>
      <c r="K1154" s="44"/>
    </row>
    <row r="1155" spans="1:11" s="107" customFormat="1" ht="30">
      <c r="A1155" s="99" t="s">
        <v>2482</v>
      </c>
      <c r="B1155" s="100" t="s">
        <v>2468</v>
      </c>
      <c r="C1155" s="101" t="s">
        <v>2471</v>
      </c>
      <c r="D1155" s="102" t="s">
        <v>10</v>
      </c>
      <c r="E1155" s="103">
        <v>1</v>
      </c>
      <c r="F1155" s="104">
        <f>TRUNC(G1160+G1164+G1168,2)</f>
        <v>1097.7</v>
      </c>
      <c r="G1155" s="105">
        <f>TRUNC(F1155*1.2247,2)</f>
        <v>1344.35</v>
      </c>
      <c r="H1155" s="105">
        <f>TRUNC(F1155*E1155,2)</f>
        <v>1097.7</v>
      </c>
      <c r="I1155" s="106">
        <f>TRUNC(E1155*G1155,2)</f>
        <v>1344.35</v>
      </c>
      <c r="J1155" s="106"/>
      <c r="K1155" s="103"/>
    </row>
    <row r="1156" spans="1:11" s="34" customFormat="1" ht="15">
      <c r="A1156" s="30"/>
      <c r="B1156" s="43" t="s">
        <v>2469</v>
      </c>
      <c r="C1156" s="45" t="s">
        <v>2470</v>
      </c>
      <c r="D1156" s="46" t="s">
        <v>10</v>
      </c>
      <c r="E1156" s="44">
        <v>1</v>
      </c>
      <c r="F1156" s="31">
        <f>TRUNC(7.21,2)</f>
        <v>7.21</v>
      </c>
      <c r="G1156" s="32">
        <f>TRUNC(E1156*F1156,2)</f>
        <v>7.21</v>
      </c>
      <c r="H1156" s="32"/>
      <c r="I1156" s="33"/>
      <c r="J1156" s="33"/>
      <c r="K1156" s="44"/>
    </row>
    <row r="1157" spans="1:11" s="34" customFormat="1" ht="15">
      <c r="A1157" s="30"/>
      <c r="B1157" s="43" t="s">
        <v>145</v>
      </c>
      <c r="C1157" s="45" t="s">
        <v>146</v>
      </c>
      <c r="D1157" s="46" t="s">
        <v>10</v>
      </c>
      <c r="E1157" s="44">
        <v>0.001</v>
      </c>
      <c r="F1157" s="31">
        <f>TRUNC(4.22,2)</f>
        <v>4.22</v>
      </c>
      <c r="G1157" s="32">
        <f>TRUNC(E1157*F1157,2)</f>
        <v>0</v>
      </c>
      <c r="H1157" s="32"/>
      <c r="I1157" s="33"/>
      <c r="J1157" s="33"/>
      <c r="K1157" s="44"/>
    </row>
    <row r="1158" spans="1:11" s="34" customFormat="1" ht="15">
      <c r="A1158" s="30"/>
      <c r="B1158" s="43" t="s">
        <v>115</v>
      </c>
      <c r="C1158" s="45" t="s">
        <v>116</v>
      </c>
      <c r="D1158" s="46" t="s">
        <v>2</v>
      </c>
      <c r="E1158" s="44">
        <v>1</v>
      </c>
      <c r="F1158" s="31">
        <f>TRUNC(4,2)</f>
        <v>4</v>
      </c>
      <c r="G1158" s="32">
        <f>TRUNC(E1158*F1158,2)</f>
        <v>4</v>
      </c>
      <c r="H1158" s="32"/>
      <c r="I1158" s="33"/>
      <c r="J1158" s="33"/>
      <c r="K1158" s="44"/>
    </row>
    <row r="1159" spans="1:11" s="34" customFormat="1" ht="30">
      <c r="A1159" s="30"/>
      <c r="B1159" s="43" t="s">
        <v>1754</v>
      </c>
      <c r="C1159" s="45" t="s">
        <v>1755</v>
      </c>
      <c r="D1159" s="46" t="s">
        <v>4</v>
      </c>
      <c r="E1159" s="44">
        <v>1.03</v>
      </c>
      <c r="F1159" s="31">
        <f>TRUNC(22.86,2)</f>
        <v>22.86</v>
      </c>
      <c r="G1159" s="32">
        <f>TRUNC(E1159*F1159,2)</f>
        <v>23.54</v>
      </c>
      <c r="H1159" s="32"/>
      <c r="I1159" s="33"/>
      <c r="J1159" s="33"/>
      <c r="K1159" s="44"/>
    </row>
    <row r="1160" spans="1:11" s="34" customFormat="1" ht="15">
      <c r="A1160" s="30"/>
      <c r="B1160" s="43"/>
      <c r="C1160" s="45"/>
      <c r="D1160" s="46"/>
      <c r="E1160" s="44" t="s">
        <v>5</v>
      </c>
      <c r="F1160" s="31"/>
      <c r="G1160" s="32">
        <f>TRUNC(SUM(G1156:G1159),2)</f>
        <v>34.75</v>
      </c>
      <c r="H1160" s="32"/>
      <c r="I1160" s="33"/>
      <c r="J1160" s="33"/>
      <c r="K1160" s="44"/>
    </row>
    <row r="1161" spans="1:11" s="34" customFormat="1" ht="30">
      <c r="A1161" s="30"/>
      <c r="B1161" s="52" t="s">
        <v>827</v>
      </c>
      <c r="C1161" s="45" t="s">
        <v>2472</v>
      </c>
      <c r="D1161" s="46" t="s">
        <v>10</v>
      </c>
      <c r="E1161" s="44">
        <v>1</v>
      </c>
      <c r="F1161" s="31">
        <v>556.13</v>
      </c>
      <c r="G1161" s="32">
        <f>TRUNC(E1161*F1161,2)</f>
        <v>556.13</v>
      </c>
      <c r="H1161" s="32"/>
      <c r="I1161" s="33"/>
      <c r="J1161" s="33"/>
      <c r="K1161" s="44"/>
    </row>
    <row r="1162" spans="1:11" s="34" customFormat="1" ht="15">
      <c r="A1162" s="30"/>
      <c r="B1162" s="52" t="s">
        <v>827</v>
      </c>
      <c r="C1162" s="45" t="s">
        <v>2473</v>
      </c>
      <c r="D1162" s="46" t="s">
        <v>10</v>
      </c>
      <c r="E1162" s="44">
        <v>1</v>
      </c>
      <c r="F1162" s="31">
        <v>591.5</v>
      </c>
      <c r="G1162" s="32">
        <f>TRUNC(E1162*F1162,2)</f>
        <v>591.5</v>
      </c>
      <c r="H1162" s="32"/>
      <c r="I1162" s="33"/>
      <c r="J1162" s="33"/>
      <c r="K1162" s="44"/>
    </row>
    <row r="1163" spans="1:11" s="34" customFormat="1" ht="15">
      <c r="A1163" s="30"/>
      <c r="B1163" s="52" t="s">
        <v>827</v>
      </c>
      <c r="C1163" s="45" t="s">
        <v>2474</v>
      </c>
      <c r="D1163" s="46" t="s">
        <v>10</v>
      </c>
      <c r="E1163" s="44">
        <v>1</v>
      </c>
      <c r="F1163" s="31">
        <v>464.99</v>
      </c>
      <c r="G1163" s="32">
        <f>TRUNC(E1163*F1163,2)</f>
        <v>464.99</v>
      </c>
      <c r="H1163" s="32"/>
      <c r="I1163" s="33"/>
      <c r="J1163" s="33"/>
      <c r="K1163" s="44"/>
    </row>
    <row r="1164" spans="1:11" s="34" customFormat="1" ht="15">
      <c r="A1164" s="30"/>
      <c r="B1164" s="52"/>
      <c r="C1164" s="45"/>
      <c r="D1164" s="46"/>
      <c r="E1164" s="44"/>
      <c r="F1164" s="31" t="s">
        <v>2478</v>
      </c>
      <c r="G1164" s="32">
        <f>G1161</f>
        <v>556.13</v>
      </c>
      <c r="H1164" s="32"/>
      <c r="I1164" s="33"/>
      <c r="J1164" s="33"/>
      <c r="K1164" s="44"/>
    </row>
    <row r="1165" spans="1:11" s="34" customFormat="1" ht="30">
      <c r="A1165" s="30"/>
      <c r="B1165" s="52" t="s">
        <v>827</v>
      </c>
      <c r="C1165" s="45" t="s">
        <v>2475</v>
      </c>
      <c r="D1165" s="46" t="s">
        <v>10</v>
      </c>
      <c r="E1165" s="44">
        <v>1</v>
      </c>
      <c r="F1165" s="31">
        <v>869.9</v>
      </c>
      <c r="G1165" s="32">
        <f>TRUNC(E1165*F1165,2)</f>
        <v>869.9</v>
      </c>
      <c r="H1165" s="32"/>
      <c r="I1165" s="33"/>
      <c r="J1165" s="33"/>
      <c r="K1165" s="44"/>
    </row>
    <row r="1166" spans="1:11" s="34" customFormat="1" ht="30">
      <c r="A1166" s="30"/>
      <c r="B1166" s="52" t="s">
        <v>827</v>
      </c>
      <c r="C1166" s="45" t="s">
        <v>2476</v>
      </c>
      <c r="D1166" s="46" t="s">
        <v>10</v>
      </c>
      <c r="E1166" s="44">
        <v>1</v>
      </c>
      <c r="F1166" s="31">
        <v>506.82</v>
      </c>
      <c r="G1166" s="32">
        <f>TRUNC(E1166*F1166,2)</f>
        <v>506.82</v>
      </c>
      <c r="H1166" s="32"/>
      <c r="I1166" s="33"/>
      <c r="J1166" s="33"/>
      <c r="K1166" s="44"/>
    </row>
    <row r="1167" spans="1:11" s="34" customFormat="1" ht="30">
      <c r="A1167" s="30"/>
      <c r="B1167" s="52" t="s">
        <v>827</v>
      </c>
      <c r="C1167" s="45" t="s">
        <v>2477</v>
      </c>
      <c r="D1167" s="46" t="s">
        <v>10</v>
      </c>
      <c r="E1167" s="44">
        <v>1</v>
      </c>
      <c r="F1167" s="31">
        <v>325.73</v>
      </c>
      <c r="G1167" s="32">
        <f>TRUNC(E1167*F1167,2)</f>
        <v>325.73</v>
      </c>
      <c r="H1167" s="32"/>
      <c r="I1167" s="33"/>
      <c r="J1167" s="33"/>
      <c r="K1167" s="44"/>
    </row>
    <row r="1168" spans="1:11" s="34" customFormat="1" ht="15">
      <c r="A1168" s="30"/>
      <c r="B1168" s="43"/>
      <c r="C1168" s="45"/>
      <c r="D1168" s="46"/>
      <c r="E1168" s="44"/>
      <c r="F1168" s="31" t="s">
        <v>2478</v>
      </c>
      <c r="G1168" s="32">
        <f>G1166</f>
        <v>506.82</v>
      </c>
      <c r="H1168" s="32"/>
      <c r="I1168" s="33"/>
      <c r="J1168" s="33"/>
      <c r="K1168" s="44"/>
    </row>
    <row r="1169" spans="1:11" s="72" customFormat="1" ht="15">
      <c r="A1169" s="65" t="s">
        <v>1363</v>
      </c>
      <c r="B1169" s="66"/>
      <c r="C1169" s="67"/>
      <c r="D1169" s="68"/>
      <c r="E1169" s="69"/>
      <c r="F1169" s="70"/>
      <c r="G1169" s="73" t="s">
        <v>1664</v>
      </c>
      <c r="H1169" s="75">
        <f>H572+H578+H584+H590+H596+H602+H605+H610+H616+H622+H628+H632+H636+H640+H645+H651+H657+H660+H665+H670+H681+H686+H692+H698+H704+H709+H721+H730+H740+H746+H753+H765+H771+H778+H788+H798+H806+H814+H822+H835+H849+H867+H888+H895+H905+H911+H923+H938+H945+H952+H959+H966+H975+H980+H987+H994+H1000+H1004+H1007+H1014+H1019+H1025+H1030+H1035+H1040+H1058+H1068+H1079+H1085+H1091+H1097+H1103+H1110+H1116+H1123+H1129+H1155+H1150+H1144+H1136</f>
        <v>209151.52000000002</v>
      </c>
      <c r="I1169" s="75">
        <f>I572+I578+I584+I590+I596+I602+I605+I610+I616+I622+I628+I632+I636+I640+I645+I651+I657+I660+I665+I670+I681+I686+I692+I698+I704+I709+I721+I730+I740+I746+I753+I765+I771+I778+I788+I798+I806+I814+I822+I835+I849+I867+I888+I895+I905+I911+I923+I938+I945+I952+I959+I966+I975+I980+I987+I994+I1000+I1004+I1007+I1014+I1019+I1025+I1030+I1035+I1040+I1058+I1068+I1079+I1085+I1091+I1097+I1103+I1110+I1116+I1123+I1129+I1155+I1150+I1144+I1136</f>
        <v>256139.22</v>
      </c>
      <c r="J1169" s="71"/>
      <c r="K1169" s="69"/>
    </row>
    <row r="1170" spans="1:11" s="21" customFormat="1" ht="15.75">
      <c r="A1170" s="21" t="s">
        <v>1665</v>
      </c>
      <c r="B1170" s="28"/>
      <c r="C1170" s="29" t="s">
        <v>1670</v>
      </c>
      <c r="D1170" s="29"/>
      <c r="E1170" s="29"/>
      <c r="F1170" s="29"/>
      <c r="G1170" s="29"/>
      <c r="H1170" s="29"/>
      <c r="I1170" s="27"/>
      <c r="J1170" s="29"/>
      <c r="K1170" s="29"/>
    </row>
    <row r="1171" spans="1:11" s="107" customFormat="1" ht="30">
      <c r="A1171" s="99" t="s">
        <v>1666</v>
      </c>
      <c r="B1171" s="100" t="s">
        <v>2269</v>
      </c>
      <c r="C1171" s="101" t="s">
        <v>477</v>
      </c>
      <c r="D1171" s="102" t="s">
        <v>10</v>
      </c>
      <c r="E1171" s="103">
        <v>1</v>
      </c>
      <c r="F1171" s="104">
        <f>TRUNC(51.400096,2)</f>
        <v>51.4</v>
      </c>
      <c r="G1171" s="105">
        <f>TRUNC(F1171*1.2247,2)</f>
        <v>62.94</v>
      </c>
      <c r="H1171" s="105">
        <f>TRUNC(F1171*E1171,2)</f>
        <v>51.4</v>
      </c>
      <c r="I1171" s="106">
        <f>TRUNC(E1171*G1171,2)</f>
        <v>62.94</v>
      </c>
      <c r="J1171" s="106"/>
      <c r="K1171" s="103"/>
    </row>
    <row r="1172" spans="1:11" s="34" customFormat="1" ht="30">
      <c r="A1172" s="30"/>
      <c r="B1172" s="43" t="s">
        <v>2270</v>
      </c>
      <c r="C1172" s="45" t="s">
        <v>479</v>
      </c>
      <c r="D1172" s="46" t="s">
        <v>10</v>
      </c>
      <c r="E1172" s="44">
        <v>1</v>
      </c>
      <c r="F1172" s="31">
        <f>TRUNC(31.44,2)</f>
        <v>31.44</v>
      </c>
      <c r="G1172" s="32">
        <f>TRUNC(E1172*F1172,2)</f>
        <v>31.44</v>
      </c>
      <c r="H1172" s="32"/>
      <c r="I1172" s="33"/>
      <c r="J1172" s="33"/>
      <c r="K1172" s="44"/>
    </row>
    <row r="1173" spans="1:11" s="34" customFormat="1" ht="15">
      <c r="A1173" s="30"/>
      <c r="B1173" s="43" t="s">
        <v>2271</v>
      </c>
      <c r="C1173" s="45" t="s">
        <v>481</v>
      </c>
      <c r="D1173" s="46" t="s">
        <v>4</v>
      </c>
      <c r="E1173" s="44">
        <v>0.3259</v>
      </c>
      <c r="F1173" s="31">
        <f>TRUNC(30.08,2)</f>
        <v>30.08</v>
      </c>
      <c r="G1173" s="32">
        <f>TRUNC(E1173*F1173,2)</f>
        <v>9.8</v>
      </c>
      <c r="H1173" s="32"/>
      <c r="I1173" s="33"/>
      <c r="J1173" s="33"/>
      <c r="K1173" s="44"/>
    </row>
    <row r="1174" spans="1:11" s="34" customFormat="1" ht="15">
      <c r="A1174" s="30"/>
      <c r="B1174" s="43" t="s">
        <v>2272</v>
      </c>
      <c r="C1174" s="45" t="s">
        <v>483</v>
      </c>
      <c r="D1174" s="46" t="s">
        <v>4</v>
      </c>
      <c r="E1174" s="44">
        <v>0.3259</v>
      </c>
      <c r="F1174" s="31">
        <f>TRUNC(23.24,2)</f>
        <v>23.24</v>
      </c>
      <c r="G1174" s="32">
        <f>TRUNC(E1174*F1174,2)</f>
        <v>7.57</v>
      </c>
      <c r="H1174" s="32"/>
      <c r="I1174" s="33"/>
      <c r="J1174" s="33"/>
      <c r="K1174" s="44"/>
    </row>
    <row r="1175" spans="1:11" s="34" customFormat="1" ht="45">
      <c r="A1175" s="30"/>
      <c r="B1175" s="43" t="s">
        <v>2273</v>
      </c>
      <c r="C1175" s="45" t="s">
        <v>2274</v>
      </c>
      <c r="D1175" s="46" t="s">
        <v>1</v>
      </c>
      <c r="E1175" s="44">
        <v>0.0044</v>
      </c>
      <c r="F1175" s="31">
        <f>TRUNC(587.07,2)</f>
        <v>587.07</v>
      </c>
      <c r="G1175" s="32">
        <f>TRUNC(E1175*F1175,2)</f>
        <v>2.58</v>
      </c>
      <c r="H1175" s="32"/>
      <c r="I1175" s="33"/>
      <c r="J1175" s="33"/>
      <c r="K1175" s="44"/>
    </row>
    <row r="1176" spans="1:11" s="34" customFormat="1" ht="15">
      <c r="A1176" s="30"/>
      <c r="B1176" s="43"/>
      <c r="C1176" s="45"/>
      <c r="D1176" s="46"/>
      <c r="E1176" s="44" t="s">
        <v>5</v>
      </c>
      <c r="F1176" s="31"/>
      <c r="G1176" s="32">
        <f>TRUNC(SUM(G1172:G1175),2)</f>
        <v>51.39</v>
      </c>
      <c r="H1176" s="32"/>
      <c r="I1176" s="33"/>
      <c r="J1176" s="33"/>
      <c r="K1176" s="44"/>
    </row>
    <row r="1177" spans="1:11" s="107" customFormat="1" ht="30">
      <c r="A1177" s="99" t="s">
        <v>1667</v>
      </c>
      <c r="B1177" s="100" t="s">
        <v>2276</v>
      </c>
      <c r="C1177" s="101" t="s">
        <v>2275</v>
      </c>
      <c r="D1177" s="102" t="s">
        <v>10</v>
      </c>
      <c r="E1177" s="103">
        <v>1</v>
      </c>
      <c r="F1177" s="104">
        <f>TRUNC(51.400096,2)</f>
        <v>51.4</v>
      </c>
      <c r="G1177" s="105">
        <f>TRUNC(F1177*1.2247,2)</f>
        <v>62.94</v>
      </c>
      <c r="H1177" s="105">
        <f>TRUNC(F1177*E1177,2)</f>
        <v>51.4</v>
      </c>
      <c r="I1177" s="106">
        <f>TRUNC(E1177*G1177,2)</f>
        <v>62.94</v>
      </c>
      <c r="J1177" s="106"/>
      <c r="K1177" s="103"/>
    </row>
    <row r="1178" spans="1:11" s="34" customFormat="1" ht="30">
      <c r="A1178" s="30"/>
      <c r="B1178" s="43" t="s">
        <v>2270</v>
      </c>
      <c r="C1178" s="45" t="s">
        <v>479</v>
      </c>
      <c r="D1178" s="46" t="s">
        <v>10</v>
      </c>
      <c r="E1178" s="44">
        <v>1</v>
      </c>
      <c r="F1178" s="31">
        <v>31.44</v>
      </c>
      <c r="G1178" s="32">
        <f>TRUNC(E1178*F1178,2)</f>
        <v>31.44</v>
      </c>
      <c r="H1178" s="32"/>
      <c r="I1178" s="33"/>
      <c r="J1178" s="33"/>
      <c r="K1178" s="44"/>
    </row>
    <row r="1179" spans="1:11" s="34" customFormat="1" ht="15">
      <c r="A1179" s="30"/>
      <c r="B1179" s="43" t="s">
        <v>2271</v>
      </c>
      <c r="C1179" s="45" t="s">
        <v>481</v>
      </c>
      <c r="D1179" s="46" t="s">
        <v>4</v>
      </c>
      <c r="E1179" s="44">
        <v>0.3259</v>
      </c>
      <c r="F1179" s="31">
        <f>TRUNC(30.08,2)</f>
        <v>30.08</v>
      </c>
      <c r="G1179" s="32">
        <f>TRUNC(E1179*F1179,2)</f>
        <v>9.8</v>
      </c>
      <c r="H1179" s="32"/>
      <c r="I1179" s="33"/>
      <c r="J1179" s="33"/>
      <c r="K1179" s="44"/>
    </row>
    <row r="1180" spans="1:11" s="34" customFormat="1" ht="15">
      <c r="A1180" s="30"/>
      <c r="B1180" s="43" t="s">
        <v>2272</v>
      </c>
      <c r="C1180" s="45" t="s">
        <v>483</v>
      </c>
      <c r="D1180" s="46" t="s">
        <v>4</v>
      </c>
      <c r="E1180" s="44">
        <v>0.3259</v>
      </c>
      <c r="F1180" s="31">
        <f>TRUNC(23.24,2)</f>
        <v>23.24</v>
      </c>
      <c r="G1180" s="32">
        <f>TRUNC(E1180*F1180,2)</f>
        <v>7.57</v>
      </c>
      <c r="H1180" s="32"/>
      <c r="I1180" s="33"/>
      <c r="J1180" s="33"/>
      <c r="K1180" s="44"/>
    </row>
    <row r="1181" spans="1:11" s="34" customFormat="1" ht="45">
      <c r="A1181" s="30"/>
      <c r="B1181" s="43" t="s">
        <v>2273</v>
      </c>
      <c r="C1181" s="45" t="s">
        <v>2274</v>
      </c>
      <c r="D1181" s="46" t="s">
        <v>1</v>
      </c>
      <c r="E1181" s="44">
        <v>0.0044</v>
      </c>
      <c r="F1181" s="31">
        <f>TRUNC(587.07,2)</f>
        <v>587.07</v>
      </c>
      <c r="G1181" s="32">
        <f>TRUNC(E1181*F1181,2)</f>
        <v>2.58</v>
      </c>
      <c r="H1181" s="32"/>
      <c r="I1181" s="33"/>
      <c r="J1181" s="33"/>
      <c r="K1181" s="44"/>
    </row>
    <row r="1182" spans="1:11" s="34" customFormat="1" ht="15">
      <c r="A1182" s="30"/>
      <c r="B1182" s="43"/>
      <c r="C1182" s="45"/>
      <c r="D1182" s="46"/>
      <c r="E1182" s="44" t="s">
        <v>5</v>
      </c>
      <c r="F1182" s="31"/>
      <c r="G1182" s="32">
        <f>TRUNC(SUM(G1178:G1181),2)</f>
        <v>51.39</v>
      </c>
      <c r="H1182" s="32"/>
      <c r="I1182" s="33"/>
      <c r="J1182" s="33"/>
      <c r="K1182" s="44"/>
    </row>
    <row r="1183" spans="1:11" s="107" customFormat="1" ht="75">
      <c r="A1183" s="99" t="s">
        <v>1668</v>
      </c>
      <c r="B1183" s="100" t="s">
        <v>2277</v>
      </c>
      <c r="C1183" s="101" t="s">
        <v>1160</v>
      </c>
      <c r="D1183" s="102" t="s">
        <v>10</v>
      </c>
      <c r="E1183" s="103">
        <v>2</v>
      </c>
      <c r="F1183" s="104">
        <f>TRUNC(167.132675,2)</f>
        <v>167.13</v>
      </c>
      <c r="G1183" s="105">
        <f>TRUNC(F1183*1.2247,2)</f>
        <v>204.68</v>
      </c>
      <c r="H1183" s="105">
        <f>TRUNC(F1183*E1183,2)</f>
        <v>334.26</v>
      </c>
      <c r="I1183" s="106">
        <f>TRUNC(E1183*G1183,2)</f>
        <v>409.36</v>
      </c>
      <c r="J1183" s="106"/>
      <c r="K1183" s="103"/>
    </row>
    <row r="1184" spans="1:11" s="34" customFormat="1" ht="30">
      <c r="A1184" s="30"/>
      <c r="B1184" s="43" t="s">
        <v>1161</v>
      </c>
      <c r="C1184" s="45" t="s">
        <v>1162</v>
      </c>
      <c r="D1184" s="46" t="s">
        <v>10</v>
      </c>
      <c r="E1184" s="44">
        <v>1</v>
      </c>
      <c r="F1184" s="31">
        <f>TRUNC(75.8,2)</f>
        <v>75.8</v>
      </c>
      <c r="G1184" s="32">
        <f>TRUNC(E1184*F1184,2)</f>
        <v>75.8</v>
      </c>
      <c r="H1184" s="32"/>
      <c r="I1184" s="33"/>
      <c r="J1184" s="33"/>
      <c r="K1184" s="44"/>
    </row>
    <row r="1185" spans="1:11" s="34" customFormat="1" ht="30">
      <c r="A1185" s="30"/>
      <c r="B1185" s="43" t="s">
        <v>33</v>
      </c>
      <c r="C1185" s="45" t="s">
        <v>34</v>
      </c>
      <c r="D1185" s="46" t="s">
        <v>4</v>
      </c>
      <c r="E1185" s="44">
        <v>2.3175</v>
      </c>
      <c r="F1185" s="31">
        <f>TRUNC(16.55,2)</f>
        <v>16.55</v>
      </c>
      <c r="G1185" s="32">
        <f>TRUNC(E1185*F1185,2)</f>
        <v>38.35</v>
      </c>
      <c r="H1185" s="32"/>
      <c r="I1185" s="33"/>
      <c r="J1185" s="33"/>
      <c r="K1185" s="44"/>
    </row>
    <row r="1186" spans="1:11" s="34" customFormat="1" ht="30">
      <c r="A1186" s="30"/>
      <c r="B1186" s="43" t="s">
        <v>1752</v>
      </c>
      <c r="C1186" s="45" t="s">
        <v>1753</v>
      </c>
      <c r="D1186" s="46" t="s">
        <v>4</v>
      </c>
      <c r="E1186" s="44">
        <v>2.3175</v>
      </c>
      <c r="F1186" s="31">
        <f>TRUNC(22.86,2)</f>
        <v>22.86</v>
      </c>
      <c r="G1186" s="32">
        <f>TRUNC(E1186*F1186,2)</f>
        <v>52.97</v>
      </c>
      <c r="H1186" s="32"/>
      <c r="I1186" s="33"/>
      <c r="J1186" s="33"/>
      <c r="K1186" s="44"/>
    </row>
    <row r="1187" spans="1:11" s="34" customFormat="1" ht="15">
      <c r="A1187" s="30"/>
      <c r="B1187" s="43"/>
      <c r="C1187" s="45"/>
      <c r="D1187" s="46"/>
      <c r="E1187" s="44" t="s">
        <v>5</v>
      </c>
      <c r="F1187" s="31"/>
      <c r="G1187" s="32">
        <f>TRUNC(SUM(G1184:G1186),2)</f>
        <v>167.12</v>
      </c>
      <c r="H1187" s="32"/>
      <c r="I1187" s="33"/>
      <c r="J1187" s="33"/>
      <c r="K1187" s="44"/>
    </row>
    <row r="1188" spans="1:11" s="107" customFormat="1" ht="75">
      <c r="A1188" s="99" t="s">
        <v>1669</v>
      </c>
      <c r="B1188" s="100" t="s">
        <v>2278</v>
      </c>
      <c r="C1188" s="101" t="s">
        <v>1164</v>
      </c>
      <c r="D1188" s="102" t="s">
        <v>10</v>
      </c>
      <c r="E1188" s="103">
        <v>1</v>
      </c>
      <c r="F1188" s="104">
        <f>TRUNC(386.9743,2)</f>
        <v>386.97</v>
      </c>
      <c r="G1188" s="105">
        <f>TRUNC(F1188*1.2247,2)</f>
        <v>473.92</v>
      </c>
      <c r="H1188" s="105">
        <f>TRUNC(F1188*E1188,2)</f>
        <v>386.97</v>
      </c>
      <c r="I1188" s="106">
        <f>TRUNC(E1188*G1188,2)</f>
        <v>473.92</v>
      </c>
      <c r="J1188" s="106"/>
      <c r="K1188" s="103"/>
    </row>
    <row r="1189" spans="1:11" s="34" customFormat="1" ht="30">
      <c r="A1189" s="30"/>
      <c r="B1189" s="43" t="s">
        <v>1165</v>
      </c>
      <c r="C1189" s="45" t="s">
        <v>1166</v>
      </c>
      <c r="D1189" s="46" t="s">
        <v>10</v>
      </c>
      <c r="E1189" s="44">
        <v>1</v>
      </c>
      <c r="F1189" s="31">
        <f>TRUNC(291.38,2)</f>
        <v>291.38</v>
      </c>
      <c r="G1189" s="32">
        <f>TRUNC(E1189*F1189,2)</f>
        <v>291.38</v>
      </c>
      <c r="H1189" s="32"/>
      <c r="I1189" s="33"/>
      <c r="J1189" s="33"/>
      <c r="K1189" s="44"/>
    </row>
    <row r="1190" spans="1:11" s="34" customFormat="1" ht="30">
      <c r="A1190" s="30"/>
      <c r="B1190" s="43" t="s">
        <v>33</v>
      </c>
      <c r="C1190" s="45" t="s">
        <v>34</v>
      </c>
      <c r="D1190" s="46" t="s">
        <v>4</v>
      </c>
      <c r="E1190" s="44">
        <v>2.575</v>
      </c>
      <c r="F1190" s="31">
        <f>TRUNC(16.55,2)</f>
        <v>16.55</v>
      </c>
      <c r="G1190" s="32">
        <f>TRUNC(E1190*F1190,2)</f>
        <v>42.61</v>
      </c>
      <c r="H1190" s="32"/>
      <c r="I1190" s="33"/>
      <c r="J1190" s="33"/>
      <c r="K1190" s="44"/>
    </row>
    <row r="1191" spans="1:11" s="34" customFormat="1" ht="30">
      <c r="A1191" s="30"/>
      <c r="B1191" s="43" t="s">
        <v>1752</v>
      </c>
      <c r="C1191" s="45" t="s">
        <v>1753</v>
      </c>
      <c r="D1191" s="46" t="s">
        <v>4</v>
      </c>
      <c r="E1191" s="44">
        <v>2.3175</v>
      </c>
      <c r="F1191" s="31">
        <f>TRUNC(22.86,2)</f>
        <v>22.86</v>
      </c>
      <c r="G1191" s="32">
        <f>TRUNC(E1191*F1191,2)</f>
        <v>52.97</v>
      </c>
      <c r="H1191" s="32"/>
      <c r="I1191" s="33"/>
      <c r="J1191" s="33"/>
      <c r="K1191" s="44"/>
    </row>
    <row r="1192" spans="1:11" s="34" customFormat="1" ht="15">
      <c r="A1192" s="30"/>
      <c r="B1192" s="43"/>
      <c r="C1192" s="45"/>
      <c r="D1192" s="46"/>
      <c r="E1192" s="44" t="s">
        <v>5</v>
      </c>
      <c r="F1192" s="31"/>
      <c r="G1192" s="32">
        <f>TRUNC(SUM(G1189:G1191),2)</f>
        <v>386.96</v>
      </c>
      <c r="H1192" s="32"/>
      <c r="I1192" s="33"/>
      <c r="J1192" s="33"/>
      <c r="K1192" s="44"/>
    </row>
    <row r="1193" spans="1:11" s="107" customFormat="1" ht="75">
      <c r="A1193" s="99" t="s">
        <v>1671</v>
      </c>
      <c r="B1193" s="100" t="s">
        <v>2279</v>
      </c>
      <c r="C1193" s="101" t="s">
        <v>1164</v>
      </c>
      <c r="D1193" s="102" t="s">
        <v>10</v>
      </c>
      <c r="E1193" s="103">
        <v>1</v>
      </c>
      <c r="F1193" s="104">
        <f>TRUNC(G1197+G1201,2)</f>
        <v>1191.12</v>
      </c>
      <c r="G1193" s="105">
        <f>TRUNC(F1193*1.2247,2)</f>
        <v>1458.76</v>
      </c>
      <c r="H1193" s="105">
        <f>TRUNC(F1193*E1193,2)</f>
        <v>1191.12</v>
      </c>
      <c r="I1193" s="106">
        <f>TRUNC(E1193*G1193,2)</f>
        <v>1458.76</v>
      </c>
      <c r="J1193" s="106"/>
      <c r="K1193" s="103"/>
    </row>
    <row r="1194" spans="1:11" s="34" customFormat="1" ht="30">
      <c r="A1194" s="30"/>
      <c r="B1194" s="43" t="s">
        <v>1165</v>
      </c>
      <c r="C1194" s="45" t="s">
        <v>1166</v>
      </c>
      <c r="D1194" s="46" t="s">
        <v>10</v>
      </c>
      <c r="E1194" s="44">
        <v>0</v>
      </c>
      <c r="F1194" s="31">
        <f>TRUNC(291.38,2)</f>
        <v>291.38</v>
      </c>
      <c r="G1194" s="32">
        <f>TRUNC(E1194*F1194,2)</f>
        <v>0</v>
      </c>
      <c r="H1194" s="32"/>
      <c r="I1194" s="33"/>
      <c r="J1194" s="33"/>
      <c r="K1194" s="44"/>
    </row>
    <row r="1195" spans="1:11" s="34" customFormat="1" ht="30">
      <c r="A1195" s="30"/>
      <c r="B1195" s="43" t="s">
        <v>33</v>
      </c>
      <c r="C1195" s="45" t="s">
        <v>34</v>
      </c>
      <c r="D1195" s="46" t="s">
        <v>4</v>
      </c>
      <c r="E1195" s="44">
        <v>2.575</v>
      </c>
      <c r="F1195" s="31">
        <f>TRUNC(16.55,2)</f>
        <v>16.55</v>
      </c>
      <c r="G1195" s="32">
        <f>TRUNC(E1195*F1195,2)</f>
        <v>42.61</v>
      </c>
      <c r="H1195" s="32"/>
      <c r="I1195" s="33"/>
      <c r="J1195" s="33"/>
      <c r="K1195" s="44"/>
    </row>
    <row r="1196" spans="1:11" s="34" customFormat="1" ht="30">
      <c r="A1196" s="30"/>
      <c r="B1196" s="43" t="s">
        <v>1752</v>
      </c>
      <c r="C1196" s="45" t="s">
        <v>1753</v>
      </c>
      <c r="D1196" s="46" t="s">
        <v>4</v>
      </c>
      <c r="E1196" s="44">
        <v>2.3175</v>
      </c>
      <c r="F1196" s="31">
        <f>TRUNC(22.86,2)</f>
        <v>22.86</v>
      </c>
      <c r="G1196" s="32">
        <f>TRUNC(E1196*F1196,2)</f>
        <v>52.97</v>
      </c>
      <c r="H1196" s="32"/>
      <c r="I1196" s="33"/>
      <c r="J1196" s="33"/>
      <c r="K1196" s="44"/>
    </row>
    <row r="1197" spans="1:11" s="34" customFormat="1" ht="15">
      <c r="A1197" s="30"/>
      <c r="B1197" s="43"/>
      <c r="C1197" s="45"/>
      <c r="D1197" s="46"/>
      <c r="E1197" s="44" t="s">
        <v>5</v>
      </c>
      <c r="F1197" s="31"/>
      <c r="G1197" s="32">
        <f>TRUNC(SUM(G1194:G1196),2)</f>
        <v>95.58</v>
      </c>
      <c r="H1197" s="32"/>
      <c r="I1197" s="33"/>
      <c r="J1197" s="33"/>
      <c r="K1197" s="44"/>
    </row>
    <row r="1198" spans="1:11" s="34" customFormat="1" ht="30">
      <c r="A1198" s="30"/>
      <c r="B1198" s="52" t="s">
        <v>827</v>
      </c>
      <c r="C1198" s="45" t="s">
        <v>1167</v>
      </c>
      <c r="D1198" s="46" t="s">
        <v>10</v>
      </c>
      <c r="E1198" s="44">
        <v>1</v>
      </c>
      <c r="F1198" s="31">
        <v>1483.55</v>
      </c>
      <c r="G1198" s="32">
        <f>TRUNC(E1198*F1198,2)</f>
        <v>1483.55</v>
      </c>
      <c r="H1198" s="32"/>
      <c r="I1198" s="33"/>
      <c r="J1198" s="33"/>
      <c r="K1198" s="44"/>
    </row>
    <row r="1199" spans="1:11" s="34" customFormat="1" ht="30">
      <c r="A1199" s="30"/>
      <c r="B1199" s="52" t="s">
        <v>827</v>
      </c>
      <c r="C1199" s="45" t="s">
        <v>1168</v>
      </c>
      <c r="D1199" s="46" t="s">
        <v>10</v>
      </c>
      <c r="E1199" s="44">
        <v>1</v>
      </c>
      <c r="F1199" s="31">
        <v>1095.54</v>
      </c>
      <c r="G1199" s="32">
        <f>TRUNC(E1199*F1199,2)</f>
        <v>1095.54</v>
      </c>
      <c r="H1199" s="32"/>
      <c r="I1199" s="33"/>
      <c r="J1199" s="33"/>
      <c r="K1199" s="44"/>
    </row>
    <row r="1200" spans="1:11" s="34" customFormat="1" ht="15">
      <c r="A1200" s="30"/>
      <c r="B1200" s="52" t="s">
        <v>827</v>
      </c>
      <c r="C1200" s="45" t="s">
        <v>1169</v>
      </c>
      <c r="D1200" s="46" t="s">
        <v>10</v>
      </c>
      <c r="E1200" s="44">
        <v>1</v>
      </c>
      <c r="F1200" s="31">
        <v>980.06</v>
      </c>
      <c r="G1200" s="32">
        <f>TRUNC(E1200*F1200,2)</f>
        <v>980.06</v>
      </c>
      <c r="H1200" s="32"/>
      <c r="I1200" s="33"/>
      <c r="J1200" s="33"/>
      <c r="K1200" s="44"/>
    </row>
    <row r="1201" spans="1:11" s="34" customFormat="1" ht="15">
      <c r="A1201" s="30"/>
      <c r="B1201" s="43"/>
      <c r="C1201" s="45"/>
      <c r="D1201" s="46"/>
      <c r="E1201" s="44" t="s">
        <v>1170</v>
      </c>
      <c r="F1201" s="31"/>
      <c r="G1201" s="32">
        <f>G1199</f>
        <v>1095.54</v>
      </c>
      <c r="H1201" s="32"/>
      <c r="I1201" s="33"/>
      <c r="J1201" s="33"/>
      <c r="K1201" s="44"/>
    </row>
    <row r="1202" spans="1:11" s="107" customFormat="1" ht="45">
      <c r="A1202" s="99" t="s">
        <v>1672</v>
      </c>
      <c r="B1202" s="100" t="s">
        <v>2280</v>
      </c>
      <c r="C1202" s="101" t="s">
        <v>1465</v>
      </c>
      <c r="D1202" s="102" t="s">
        <v>2</v>
      </c>
      <c r="E1202" s="103">
        <v>408</v>
      </c>
      <c r="F1202" s="104">
        <f>TRUNC(9.6664,2)</f>
        <v>9.66</v>
      </c>
      <c r="G1202" s="105">
        <f>TRUNC(F1202*1.2247,2)</f>
        <v>11.83</v>
      </c>
      <c r="H1202" s="105">
        <f>TRUNC(F1202*E1202,2)</f>
        <v>3941.28</v>
      </c>
      <c r="I1202" s="106">
        <f>TRUNC(E1202*G1202,2)</f>
        <v>4826.64</v>
      </c>
      <c r="J1202" s="106"/>
      <c r="K1202" s="103"/>
    </row>
    <row r="1203" spans="1:11" s="34" customFormat="1" ht="30">
      <c r="A1203" s="30"/>
      <c r="B1203" s="43" t="s">
        <v>2281</v>
      </c>
      <c r="C1203" s="45" t="s">
        <v>1467</v>
      </c>
      <c r="D1203" s="46" t="s">
        <v>2</v>
      </c>
      <c r="E1203" s="44">
        <v>1.1</v>
      </c>
      <c r="F1203" s="31">
        <f>TRUNC(2.84,2)</f>
        <v>2.84</v>
      </c>
      <c r="G1203" s="32">
        <f>TRUNC(E1203*F1203,2)</f>
        <v>3.12</v>
      </c>
      <c r="H1203" s="32"/>
      <c r="I1203" s="33"/>
      <c r="J1203" s="33"/>
      <c r="K1203" s="44"/>
    </row>
    <row r="1204" spans="1:11" s="34" customFormat="1" ht="15">
      <c r="A1204" s="30"/>
      <c r="B1204" s="43" t="s">
        <v>2271</v>
      </c>
      <c r="C1204" s="45" t="s">
        <v>481</v>
      </c>
      <c r="D1204" s="46" t="s">
        <v>4</v>
      </c>
      <c r="E1204" s="44">
        <v>0.07</v>
      </c>
      <c r="F1204" s="31">
        <f>TRUNC(30.08,2)</f>
        <v>30.08</v>
      </c>
      <c r="G1204" s="32">
        <f>TRUNC(E1204*F1204,2)</f>
        <v>2.1</v>
      </c>
      <c r="H1204" s="32"/>
      <c r="I1204" s="33"/>
      <c r="J1204" s="33"/>
      <c r="K1204" s="44"/>
    </row>
    <row r="1205" spans="1:11" s="34" customFormat="1" ht="15">
      <c r="A1205" s="30"/>
      <c r="B1205" s="43" t="s">
        <v>2272</v>
      </c>
      <c r="C1205" s="45" t="s">
        <v>483</v>
      </c>
      <c r="D1205" s="46" t="s">
        <v>4</v>
      </c>
      <c r="E1205" s="44">
        <v>0.07</v>
      </c>
      <c r="F1205" s="31">
        <f>TRUNC(23.24,2)</f>
        <v>23.24</v>
      </c>
      <c r="G1205" s="32">
        <f>TRUNC(E1205*F1205,2)</f>
        <v>1.62</v>
      </c>
      <c r="H1205" s="32"/>
      <c r="I1205" s="33"/>
      <c r="J1205" s="33"/>
      <c r="K1205" s="44"/>
    </row>
    <row r="1206" spans="1:11" s="34" customFormat="1" ht="60">
      <c r="A1206" s="30"/>
      <c r="B1206" s="43" t="s">
        <v>2282</v>
      </c>
      <c r="C1206" s="45" t="s">
        <v>2283</v>
      </c>
      <c r="D1206" s="46" t="s">
        <v>2</v>
      </c>
      <c r="E1206" s="44">
        <v>1</v>
      </c>
      <c r="F1206" s="31">
        <f>TRUNC(2.81,2)</f>
        <v>2.81</v>
      </c>
      <c r="G1206" s="32">
        <f>TRUNC(E1206*F1206,2)</f>
        <v>2.81</v>
      </c>
      <c r="H1206" s="32"/>
      <c r="I1206" s="33"/>
      <c r="J1206" s="33"/>
      <c r="K1206" s="44"/>
    </row>
    <row r="1207" spans="1:11" s="34" customFormat="1" ht="15">
      <c r="A1207" s="30"/>
      <c r="B1207" s="43"/>
      <c r="C1207" s="45"/>
      <c r="D1207" s="46"/>
      <c r="E1207" s="44" t="s">
        <v>5</v>
      </c>
      <c r="F1207" s="31"/>
      <c r="G1207" s="32">
        <f>TRUNC(SUM(G1203:G1206),2)</f>
        <v>9.65</v>
      </c>
      <c r="H1207" s="32"/>
      <c r="I1207" s="33"/>
      <c r="J1207" s="33"/>
      <c r="K1207" s="44"/>
    </row>
    <row r="1208" spans="1:11" s="107" customFormat="1" ht="45">
      <c r="A1208" s="99" t="s">
        <v>1673</v>
      </c>
      <c r="B1208" s="100" t="s">
        <v>2284</v>
      </c>
      <c r="C1208" s="101" t="s">
        <v>489</v>
      </c>
      <c r="D1208" s="102" t="s">
        <v>2</v>
      </c>
      <c r="E1208" s="103">
        <v>456</v>
      </c>
      <c r="F1208" s="104">
        <f>TRUNC(13.6258,2)</f>
        <v>13.62</v>
      </c>
      <c r="G1208" s="105">
        <f>TRUNC(F1208*1.2247,2)</f>
        <v>16.68</v>
      </c>
      <c r="H1208" s="105">
        <f>TRUNC(F1208*E1208,2)</f>
        <v>6210.72</v>
      </c>
      <c r="I1208" s="106">
        <f>TRUNC(E1208*G1208,2)</f>
        <v>7606.08</v>
      </c>
      <c r="J1208" s="106"/>
      <c r="K1208" s="103"/>
    </row>
    <row r="1209" spans="1:11" s="34" customFormat="1" ht="30">
      <c r="A1209" s="30"/>
      <c r="B1209" s="43" t="s">
        <v>2285</v>
      </c>
      <c r="C1209" s="45" t="s">
        <v>491</v>
      </c>
      <c r="D1209" s="46" t="s">
        <v>2</v>
      </c>
      <c r="E1209" s="44">
        <v>1.1</v>
      </c>
      <c r="F1209" s="31">
        <f>TRUNC(5.47,2)</f>
        <v>5.47</v>
      </c>
      <c r="G1209" s="32">
        <f>TRUNC(E1209*F1209,2)</f>
        <v>6.01</v>
      </c>
      <c r="H1209" s="32"/>
      <c r="I1209" s="33"/>
      <c r="J1209" s="33"/>
      <c r="K1209" s="44"/>
    </row>
    <row r="1210" spans="1:11" s="34" customFormat="1" ht="15">
      <c r="A1210" s="30"/>
      <c r="B1210" s="43" t="s">
        <v>2271</v>
      </c>
      <c r="C1210" s="45" t="s">
        <v>481</v>
      </c>
      <c r="D1210" s="46" t="s">
        <v>4</v>
      </c>
      <c r="E1210" s="44">
        <v>0.09</v>
      </c>
      <c r="F1210" s="31">
        <f>TRUNC(30.08,2)</f>
        <v>30.08</v>
      </c>
      <c r="G1210" s="32">
        <f>TRUNC(E1210*F1210,2)</f>
        <v>2.7</v>
      </c>
      <c r="H1210" s="32"/>
      <c r="I1210" s="33"/>
      <c r="J1210" s="33"/>
      <c r="K1210" s="44"/>
    </row>
    <row r="1211" spans="1:11" s="34" customFormat="1" ht="15">
      <c r="A1211" s="30"/>
      <c r="B1211" s="43" t="s">
        <v>2272</v>
      </c>
      <c r="C1211" s="45" t="s">
        <v>483</v>
      </c>
      <c r="D1211" s="46" t="s">
        <v>4</v>
      </c>
      <c r="E1211" s="44">
        <v>0.09</v>
      </c>
      <c r="F1211" s="31">
        <f>TRUNC(23.24,2)</f>
        <v>23.24</v>
      </c>
      <c r="G1211" s="32">
        <f>TRUNC(E1211*F1211,2)</f>
        <v>2.09</v>
      </c>
      <c r="H1211" s="32"/>
      <c r="I1211" s="33"/>
      <c r="J1211" s="33"/>
      <c r="K1211" s="44"/>
    </row>
    <row r="1212" spans="1:11" s="34" customFormat="1" ht="60">
      <c r="A1212" s="30"/>
      <c r="B1212" s="43" t="s">
        <v>2282</v>
      </c>
      <c r="C1212" s="45" t="s">
        <v>2283</v>
      </c>
      <c r="D1212" s="46" t="s">
        <v>2</v>
      </c>
      <c r="E1212" s="44">
        <v>1</v>
      </c>
      <c r="F1212" s="31">
        <f>TRUNC(2.81,2)</f>
        <v>2.81</v>
      </c>
      <c r="G1212" s="32">
        <f>TRUNC(E1212*F1212,2)</f>
        <v>2.81</v>
      </c>
      <c r="H1212" s="32"/>
      <c r="I1212" s="33"/>
      <c r="J1212" s="33"/>
      <c r="K1212" s="44"/>
    </row>
    <row r="1213" spans="1:11" s="34" customFormat="1" ht="15">
      <c r="A1213" s="30"/>
      <c r="B1213" s="43"/>
      <c r="C1213" s="45"/>
      <c r="D1213" s="46"/>
      <c r="E1213" s="44" t="s">
        <v>5</v>
      </c>
      <c r="F1213" s="31"/>
      <c r="G1213" s="32">
        <f>TRUNC(SUM(G1209:G1212),2)</f>
        <v>13.61</v>
      </c>
      <c r="H1213" s="32"/>
      <c r="I1213" s="33"/>
      <c r="J1213" s="33"/>
      <c r="K1213" s="44"/>
    </row>
    <row r="1214" spans="1:11" s="107" customFormat="1" ht="30">
      <c r="A1214" s="99" t="s">
        <v>1674</v>
      </c>
      <c r="B1214" s="100" t="s">
        <v>2286</v>
      </c>
      <c r="C1214" s="101" t="s">
        <v>1172</v>
      </c>
      <c r="D1214" s="102" t="s">
        <v>2</v>
      </c>
      <c r="E1214" s="103">
        <v>9</v>
      </c>
      <c r="F1214" s="104">
        <f>TRUNC(14.96678,2)</f>
        <v>14.96</v>
      </c>
      <c r="G1214" s="105">
        <f>TRUNC(F1214*1.2247,2)</f>
        <v>18.32</v>
      </c>
      <c r="H1214" s="105">
        <f>TRUNC(F1214*E1214,2)</f>
        <v>134.64</v>
      </c>
      <c r="I1214" s="106">
        <f>TRUNC(E1214*G1214,2)</f>
        <v>164.88</v>
      </c>
      <c r="J1214" s="106"/>
      <c r="K1214" s="103"/>
    </row>
    <row r="1215" spans="1:11" s="34" customFormat="1" ht="30">
      <c r="A1215" s="30"/>
      <c r="B1215" s="43" t="s">
        <v>2287</v>
      </c>
      <c r="C1215" s="45" t="s">
        <v>1174</v>
      </c>
      <c r="D1215" s="46" t="s">
        <v>2</v>
      </c>
      <c r="E1215" s="44">
        <v>1.017</v>
      </c>
      <c r="F1215" s="31">
        <f>TRUNC(4.86,2)</f>
        <v>4.86</v>
      </c>
      <c r="G1215" s="32">
        <f>TRUNC(E1215*F1215,2)</f>
        <v>4.94</v>
      </c>
      <c r="H1215" s="32"/>
      <c r="I1215" s="33"/>
      <c r="J1215" s="33"/>
      <c r="K1215" s="44"/>
    </row>
    <row r="1216" spans="1:11" s="34" customFormat="1" ht="15">
      <c r="A1216" s="30"/>
      <c r="B1216" s="43" t="s">
        <v>2271</v>
      </c>
      <c r="C1216" s="45" t="s">
        <v>481</v>
      </c>
      <c r="D1216" s="46" t="s">
        <v>4</v>
      </c>
      <c r="E1216" s="44">
        <v>0.188</v>
      </c>
      <c r="F1216" s="31">
        <f>TRUNC(30.08,2)</f>
        <v>30.08</v>
      </c>
      <c r="G1216" s="32">
        <f>TRUNC(E1216*F1216,2)</f>
        <v>5.65</v>
      </c>
      <c r="H1216" s="32"/>
      <c r="I1216" s="33"/>
      <c r="J1216" s="33"/>
      <c r="K1216" s="44"/>
    </row>
    <row r="1217" spans="1:11" s="34" customFormat="1" ht="15">
      <c r="A1217" s="30"/>
      <c r="B1217" s="43" t="s">
        <v>2272</v>
      </c>
      <c r="C1217" s="45" t="s">
        <v>483</v>
      </c>
      <c r="D1217" s="46" t="s">
        <v>4</v>
      </c>
      <c r="E1217" s="44">
        <v>0.188</v>
      </c>
      <c r="F1217" s="31">
        <f>TRUNC(23.24,2)</f>
        <v>23.24</v>
      </c>
      <c r="G1217" s="32">
        <f>TRUNC(E1217*F1217,2)</f>
        <v>4.36</v>
      </c>
      <c r="H1217" s="32"/>
      <c r="I1217" s="33"/>
      <c r="J1217" s="33"/>
      <c r="K1217" s="44"/>
    </row>
    <row r="1218" spans="1:11" s="34" customFormat="1" ht="15">
      <c r="A1218" s="30"/>
      <c r="B1218" s="43"/>
      <c r="C1218" s="45"/>
      <c r="D1218" s="46"/>
      <c r="E1218" s="44" t="s">
        <v>5</v>
      </c>
      <c r="F1218" s="31"/>
      <c r="G1218" s="32">
        <f>TRUNC(SUM(G1215:G1217),2)</f>
        <v>14.95</v>
      </c>
      <c r="H1218" s="32"/>
      <c r="I1218" s="33"/>
      <c r="J1218" s="33"/>
      <c r="K1218" s="44"/>
    </row>
    <row r="1219" spans="1:11" s="107" customFormat="1" ht="30">
      <c r="A1219" s="99" t="s">
        <v>1675</v>
      </c>
      <c r="B1219" s="100" t="s">
        <v>2288</v>
      </c>
      <c r="C1219" s="101" t="s">
        <v>1176</v>
      </c>
      <c r="D1219" s="102" t="s">
        <v>2</v>
      </c>
      <c r="E1219" s="103">
        <v>54</v>
      </c>
      <c r="F1219" s="104">
        <f>TRUNC(9.43284,2)</f>
        <v>9.43</v>
      </c>
      <c r="G1219" s="105">
        <f>TRUNC(F1219*1.2247,2)</f>
        <v>11.54</v>
      </c>
      <c r="H1219" s="105">
        <f>TRUNC(F1219*E1219,2)</f>
        <v>509.22</v>
      </c>
      <c r="I1219" s="106">
        <f>TRUNC(E1219*G1219,2)</f>
        <v>623.16</v>
      </c>
      <c r="J1219" s="106"/>
      <c r="K1219" s="103"/>
    </row>
    <row r="1220" spans="1:11" s="34" customFormat="1" ht="30">
      <c r="A1220" s="30"/>
      <c r="B1220" s="43" t="s">
        <v>2289</v>
      </c>
      <c r="C1220" s="45" t="s">
        <v>1178</v>
      </c>
      <c r="D1220" s="46" t="s">
        <v>2</v>
      </c>
      <c r="E1220" s="44">
        <v>1.1</v>
      </c>
      <c r="F1220" s="31">
        <f>TRUNC(5.57,2)</f>
        <v>5.57</v>
      </c>
      <c r="G1220" s="32">
        <f>TRUNC(E1220*F1220,2)</f>
        <v>6.12</v>
      </c>
      <c r="H1220" s="32"/>
      <c r="I1220" s="33"/>
      <c r="J1220" s="33"/>
      <c r="K1220" s="44"/>
    </row>
    <row r="1221" spans="1:11" s="34" customFormat="1" ht="15">
      <c r="A1221" s="30"/>
      <c r="B1221" s="43" t="s">
        <v>2271</v>
      </c>
      <c r="C1221" s="45" t="s">
        <v>481</v>
      </c>
      <c r="D1221" s="46" t="s">
        <v>4</v>
      </c>
      <c r="E1221" s="44">
        <v>0.062</v>
      </c>
      <c r="F1221" s="31">
        <f>TRUNC(30.08,2)</f>
        <v>30.08</v>
      </c>
      <c r="G1221" s="32">
        <f>TRUNC(E1221*F1221,2)</f>
        <v>1.86</v>
      </c>
      <c r="H1221" s="32"/>
      <c r="I1221" s="33"/>
      <c r="J1221" s="33"/>
      <c r="K1221" s="44"/>
    </row>
    <row r="1222" spans="1:11" s="34" customFormat="1" ht="15">
      <c r="A1222" s="30"/>
      <c r="B1222" s="43" t="s">
        <v>2272</v>
      </c>
      <c r="C1222" s="45" t="s">
        <v>483</v>
      </c>
      <c r="D1222" s="46" t="s">
        <v>4</v>
      </c>
      <c r="E1222" s="44">
        <v>0.062</v>
      </c>
      <c r="F1222" s="31">
        <f>TRUNC(23.24,2)</f>
        <v>23.24</v>
      </c>
      <c r="G1222" s="32">
        <f>TRUNC(E1222*F1222,2)</f>
        <v>1.44</v>
      </c>
      <c r="H1222" s="32"/>
      <c r="I1222" s="33"/>
      <c r="J1222" s="33"/>
      <c r="K1222" s="44"/>
    </row>
    <row r="1223" spans="1:11" s="34" customFormat="1" ht="15">
      <c r="A1223" s="30"/>
      <c r="B1223" s="43"/>
      <c r="C1223" s="45"/>
      <c r="D1223" s="46"/>
      <c r="E1223" s="44" t="s">
        <v>5</v>
      </c>
      <c r="F1223" s="31"/>
      <c r="G1223" s="32">
        <f>TRUNC(SUM(G1220:G1222),2)</f>
        <v>9.42</v>
      </c>
      <c r="H1223" s="32"/>
      <c r="I1223" s="33"/>
      <c r="J1223" s="33"/>
      <c r="K1223" s="44"/>
    </row>
    <row r="1224" spans="1:11" s="107" customFormat="1" ht="30">
      <c r="A1224" s="99" t="s">
        <v>1676</v>
      </c>
      <c r="B1224" s="100" t="s">
        <v>2290</v>
      </c>
      <c r="C1224" s="101" t="s">
        <v>1180</v>
      </c>
      <c r="D1224" s="102" t="s">
        <v>2</v>
      </c>
      <c r="E1224" s="103">
        <v>18</v>
      </c>
      <c r="F1224" s="104">
        <f>TRUNC(14.3986,2)</f>
        <v>14.39</v>
      </c>
      <c r="G1224" s="105">
        <f>TRUNC(F1224*1.2247,2)</f>
        <v>17.62</v>
      </c>
      <c r="H1224" s="105">
        <f>TRUNC(F1224*E1224,2)</f>
        <v>259.02</v>
      </c>
      <c r="I1224" s="106">
        <f>TRUNC(E1224*G1224,2)</f>
        <v>317.16</v>
      </c>
      <c r="J1224" s="106"/>
      <c r="K1224" s="103"/>
    </row>
    <row r="1225" spans="1:11" s="34" customFormat="1" ht="30">
      <c r="A1225" s="30"/>
      <c r="B1225" s="43" t="s">
        <v>2291</v>
      </c>
      <c r="C1225" s="45" t="s">
        <v>1182</v>
      </c>
      <c r="D1225" s="46" t="s">
        <v>2</v>
      </c>
      <c r="E1225" s="44">
        <v>1.1</v>
      </c>
      <c r="F1225" s="31">
        <f>TRUNC(8,2)</f>
        <v>8</v>
      </c>
      <c r="G1225" s="32">
        <f>TRUNC(E1225*F1225,2)</f>
        <v>8.8</v>
      </c>
      <c r="H1225" s="32"/>
      <c r="I1225" s="33"/>
      <c r="J1225" s="33"/>
      <c r="K1225" s="44"/>
    </row>
    <row r="1226" spans="1:11" s="34" customFormat="1" ht="15">
      <c r="A1226" s="30"/>
      <c r="B1226" s="43" t="s">
        <v>2271</v>
      </c>
      <c r="C1226" s="45" t="s">
        <v>481</v>
      </c>
      <c r="D1226" s="46" t="s">
        <v>4</v>
      </c>
      <c r="E1226" s="44">
        <v>0.105</v>
      </c>
      <c r="F1226" s="31">
        <f>TRUNC(30.08,2)</f>
        <v>30.08</v>
      </c>
      <c r="G1226" s="32">
        <f>TRUNC(E1226*F1226,2)</f>
        <v>3.15</v>
      </c>
      <c r="H1226" s="32"/>
      <c r="I1226" s="33"/>
      <c r="J1226" s="33"/>
      <c r="K1226" s="44"/>
    </row>
    <row r="1227" spans="1:11" s="34" customFormat="1" ht="15">
      <c r="A1227" s="30"/>
      <c r="B1227" s="43" t="s">
        <v>2272</v>
      </c>
      <c r="C1227" s="45" t="s">
        <v>483</v>
      </c>
      <c r="D1227" s="46" t="s">
        <v>4</v>
      </c>
      <c r="E1227" s="44">
        <v>0.105</v>
      </c>
      <c r="F1227" s="31">
        <f>TRUNC(23.24,2)</f>
        <v>23.24</v>
      </c>
      <c r="G1227" s="32">
        <f>TRUNC(E1227*F1227,2)</f>
        <v>2.44</v>
      </c>
      <c r="H1227" s="32"/>
      <c r="I1227" s="33"/>
      <c r="J1227" s="33"/>
      <c r="K1227" s="44"/>
    </row>
    <row r="1228" spans="1:11" s="34" customFormat="1" ht="15">
      <c r="A1228" s="30"/>
      <c r="B1228" s="43"/>
      <c r="C1228" s="45"/>
      <c r="D1228" s="46"/>
      <c r="E1228" s="44" t="s">
        <v>5</v>
      </c>
      <c r="F1228" s="31"/>
      <c r="G1228" s="32">
        <f>TRUNC(SUM(G1225:G1227),2)</f>
        <v>14.39</v>
      </c>
      <c r="H1228" s="32"/>
      <c r="I1228" s="33"/>
      <c r="J1228" s="33"/>
      <c r="K1228" s="44"/>
    </row>
    <row r="1229" spans="1:11" s="107" customFormat="1" ht="60">
      <c r="A1229" s="99" t="s">
        <v>1677</v>
      </c>
      <c r="B1229" s="100" t="s">
        <v>2292</v>
      </c>
      <c r="C1229" s="101" t="s">
        <v>1184</v>
      </c>
      <c r="D1229" s="102" t="s">
        <v>2</v>
      </c>
      <c r="E1229" s="103">
        <v>6</v>
      </c>
      <c r="F1229" s="104">
        <f>TRUNC(43.904875,2)</f>
        <v>43.9</v>
      </c>
      <c r="G1229" s="105">
        <f>TRUNC(F1229*1.2247,2)</f>
        <v>53.76</v>
      </c>
      <c r="H1229" s="105">
        <f>TRUNC(F1229*E1229,2)</f>
        <v>263.4</v>
      </c>
      <c r="I1229" s="106">
        <f>TRUNC(E1229*G1229,2)</f>
        <v>322.56</v>
      </c>
      <c r="J1229" s="106"/>
      <c r="K1229" s="103"/>
    </row>
    <row r="1230" spans="1:11" s="34" customFormat="1" ht="30">
      <c r="A1230" s="30"/>
      <c r="B1230" s="43" t="s">
        <v>1185</v>
      </c>
      <c r="C1230" s="45" t="s">
        <v>1186</v>
      </c>
      <c r="D1230" s="46" t="s">
        <v>10</v>
      </c>
      <c r="E1230" s="44">
        <v>0.385</v>
      </c>
      <c r="F1230" s="31">
        <f>TRUNC(87.68,2)</f>
        <v>87.68</v>
      </c>
      <c r="G1230" s="32">
        <f>TRUNC(E1230*F1230,2)</f>
        <v>33.75</v>
      </c>
      <c r="H1230" s="32"/>
      <c r="I1230" s="33"/>
      <c r="J1230" s="33"/>
      <c r="K1230" s="44"/>
    </row>
    <row r="1231" spans="1:11" s="34" customFormat="1" ht="30">
      <c r="A1231" s="30"/>
      <c r="B1231" s="43" t="s">
        <v>33</v>
      </c>
      <c r="C1231" s="45" t="s">
        <v>34</v>
      </c>
      <c r="D1231" s="46" t="s">
        <v>4</v>
      </c>
      <c r="E1231" s="44">
        <v>0.2575</v>
      </c>
      <c r="F1231" s="31">
        <f>TRUNC(16.55,2)</f>
        <v>16.55</v>
      </c>
      <c r="G1231" s="32">
        <f>TRUNC(E1231*F1231,2)</f>
        <v>4.26</v>
      </c>
      <c r="H1231" s="32"/>
      <c r="I1231" s="33"/>
      <c r="J1231" s="33"/>
      <c r="K1231" s="44"/>
    </row>
    <row r="1232" spans="1:11" s="34" customFormat="1" ht="30">
      <c r="A1232" s="30"/>
      <c r="B1232" s="43" t="s">
        <v>1752</v>
      </c>
      <c r="C1232" s="45" t="s">
        <v>1753</v>
      </c>
      <c r="D1232" s="46" t="s">
        <v>4</v>
      </c>
      <c r="E1232" s="44">
        <v>0.2575</v>
      </c>
      <c r="F1232" s="31">
        <f>TRUNC(22.86,2)</f>
        <v>22.86</v>
      </c>
      <c r="G1232" s="32">
        <f>TRUNC(E1232*F1232,2)</f>
        <v>5.88</v>
      </c>
      <c r="H1232" s="32"/>
      <c r="I1232" s="33"/>
      <c r="J1232" s="33"/>
      <c r="K1232" s="44"/>
    </row>
    <row r="1233" spans="1:11" s="34" customFormat="1" ht="15">
      <c r="A1233" s="30"/>
      <c r="B1233" s="43"/>
      <c r="C1233" s="45"/>
      <c r="D1233" s="46"/>
      <c r="E1233" s="44" t="s">
        <v>5</v>
      </c>
      <c r="F1233" s="31"/>
      <c r="G1233" s="32">
        <f>TRUNC(SUM(G1230:G1232),2)</f>
        <v>43.89</v>
      </c>
      <c r="H1233" s="32"/>
      <c r="I1233" s="33"/>
      <c r="J1233" s="33"/>
      <c r="K1233" s="44"/>
    </row>
    <row r="1234" spans="1:11" s="107" customFormat="1" ht="30">
      <c r="A1234" s="99" t="s">
        <v>1678</v>
      </c>
      <c r="B1234" s="100" t="s">
        <v>2293</v>
      </c>
      <c r="C1234" s="101" t="s">
        <v>1188</v>
      </c>
      <c r="D1234" s="102" t="s">
        <v>10</v>
      </c>
      <c r="E1234" s="103">
        <v>6</v>
      </c>
      <c r="F1234" s="104">
        <f>TRUNC(12.916552,2)</f>
        <v>12.91</v>
      </c>
      <c r="G1234" s="105">
        <f>TRUNC(F1234*1.2247,2)</f>
        <v>15.81</v>
      </c>
      <c r="H1234" s="105">
        <f>TRUNC(F1234*E1234,2)</f>
        <v>77.46</v>
      </c>
      <c r="I1234" s="106">
        <f>TRUNC(E1234*G1234,2)</f>
        <v>94.86</v>
      </c>
      <c r="J1234" s="106"/>
      <c r="K1234" s="103"/>
    </row>
    <row r="1235" spans="1:11" s="34" customFormat="1" ht="30">
      <c r="A1235" s="30"/>
      <c r="B1235" s="43" t="s">
        <v>2294</v>
      </c>
      <c r="C1235" s="45" t="s">
        <v>1190</v>
      </c>
      <c r="D1235" s="46" t="s">
        <v>10</v>
      </c>
      <c r="E1235" s="44">
        <v>1</v>
      </c>
      <c r="F1235" s="31">
        <f>TRUNC(3.39,2)</f>
        <v>3.39</v>
      </c>
      <c r="G1235" s="32">
        <f>TRUNC(E1235*F1235,2)</f>
        <v>3.39</v>
      </c>
      <c r="H1235" s="32"/>
      <c r="I1235" s="33"/>
      <c r="J1235" s="33"/>
      <c r="K1235" s="44"/>
    </row>
    <row r="1236" spans="1:11" s="34" customFormat="1" ht="15">
      <c r="A1236" s="30"/>
      <c r="B1236" s="43" t="s">
        <v>2271</v>
      </c>
      <c r="C1236" s="45" t="s">
        <v>481</v>
      </c>
      <c r="D1236" s="46" t="s">
        <v>4</v>
      </c>
      <c r="E1236" s="44">
        <v>0.166</v>
      </c>
      <c r="F1236" s="31">
        <f>TRUNC(30.08,2)</f>
        <v>30.08</v>
      </c>
      <c r="G1236" s="32">
        <f>TRUNC(E1236*F1236,2)</f>
        <v>4.99</v>
      </c>
      <c r="H1236" s="32"/>
      <c r="I1236" s="33"/>
      <c r="J1236" s="33"/>
      <c r="K1236" s="44"/>
    </row>
    <row r="1237" spans="1:11" s="34" customFormat="1" ht="15">
      <c r="A1237" s="30"/>
      <c r="B1237" s="43" t="s">
        <v>2272</v>
      </c>
      <c r="C1237" s="45" t="s">
        <v>483</v>
      </c>
      <c r="D1237" s="46" t="s">
        <v>4</v>
      </c>
      <c r="E1237" s="44">
        <v>0.166</v>
      </c>
      <c r="F1237" s="31">
        <f>TRUNC(23.24,2)</f>
        <v>23.24</v>
      </c>
      <c r="G1237" s="32">
        <f>TRUNC(E1237*F1237,2)</f>
        <v>3.85</v>
      </c>
      <c r="H1237" s="32"/>
      <c r="I1237" s="33"/>
      <c r="J1237" s="33"/>
      <c r="K1237" s="44"/>
    </row>
    <row r="1238" spans="1:11" s="34" customFormat="1" ht="30">
      <c r="A1238" s="30"/>
      <c r="B1238" s="43" t="s">
        <v>2295</v>
      </c>
      <c r="C1238" s="45" t="s">
        <v>2296</v>
      </c>
      <c r="D1238" s="46" t="s">
        <v>1</v>
      </c>
      <c r="E1238" s="44">
        <v>0.0012</v>
      </c>
      <c r="F1238" s="31">
        <f>TRUNC(562.86,2)</f>
        <v>562.86</v>
      </c>
      <c r="G1238" s="32">
        <f>TRUNC(E1238*F1238,2)</f>
        <v>0.67</v>
      </c>
      <c r="H1238" s="32"/>
      <c r="I1238" s="33"/>
      <c r="J1238" s="33"/>
      <c r="K1238" s="44"/>
    </row>
    <row r="1239" spans="1:11" s="34" customFormat="1" ht="15">
      <c r="A1239" s="30"/>
      <c r="B1239" s="43"/>
      <c r="C1239" s="45"/>
      <c r="D1239" s="46"/>
      <c r="E1239" s="44" t="s">
        <v>5</v>
      </c>
      <c r="F1239" s="31"/>
      <c r="G1239" s="32">
        <f>TRUNC(SUM(G1235:G1238),2)</f>
        <v>12.9</v>
      </c>
      <c r="H1239" s="32"/>
      <c r="I1239" s="33"/>
      <c r="J1239" s="33"/>
      <c r="K1239" s="44"/>
    </row>
    <row r="1240" spans="1:11" s="107" customFormat="1" ht="30">
      <c r="A1240" s="99" t="s">
        <v>1679</v>
      </c>
      <c r="B1240" s="100" t="s">
        <v>2297</v>
      </c>
      <c r="C1240" s="101" t="s">
        <v>1194</v>
      </c>
      <c r="D1240" s="102" t="s">
        <v>2</v>
      </c>
      <c r="E1240" s="103">
        <v>2820</v>
      </c>
      <c r="F1240" s="104">
        <f>TRUNC(4.30773,2)</f>
        <v>4.3</v>
      </c>
      <c r="G1240" s="105">
        <f>TRUNC(F1240*1.2247,2)</f>
        <v>5.26</v>
      </c>
      <c r="H1240" s="105">
        <f>TRUNC(F1240*E1240,2)</f>
        <v>12126</v>
      </c>
      <c r="I1240" s="106">
        <f>TRUNC(E1240*G1240,2)</f>
        <v>14833.2</v>
      </c>
      <c r="J1240" s="106"/>
      <c r="K1240" s="103"/>
    </row>
    <row r="1241" spans="1:11" s="34" customFormat="1" ht="15">
      <c r="A1241" s="30"/>
      <c r="B1241" s="43" t="s">
        <v>2298</v>
      </c>
      <c r="C1241" s="45" t="s">
        <v>493</v>
      </c>
      <c r="D1241" s="46" t="s">
        <v>10</v>
      </c>
      <c r="E1241" s="44">
        <v>0.009</v>
      </c>
      <c r="F1241" s="31">
        <f>TRUNC(7.37,2)</f>
        <v>7.37</v>
      </c>
      <c r="G1241" s="32">
        <f>TRUNC(E1241*F1241,2)</f>
        <v>0.06</v>
      </c>
      <c r="H1241" s="32"/>
      <c r="I1241" s="33"/>
      <c r="J1241" s="33"/>
      <c r="K1241" s="44"/>
    </row>
    <row r="1242" spans="1:11" s="34" customFormat="1" ht="30">
      <c r="A1242" s="30"/>
      <c r="B1242" s="43" t="s">
        <v>2299</v>
      </c>
      <c r="C1242" s="45" t="s">
        <v>1196</v>
      </c>
      <c r="D1242" s="46" t="s">
        <v>2</v>
      </c>
      <c r="E1242" s="44">
        <v>1.19</v>
      </c>
      <c r="F1242" s="31">
        <f>TRUNC(2.22,2)</f>
        <v>2.22</v>
      </c>
      <c r="G1242" s="32">
        <f>TRUNC(E1242*F1242,2)</f>
        <v>2.64</v>
      </c>
      <c r="H1242" s="32"/>
      <c r="I1242" s="33"/>
      <c r="J1242" s="33"/>
      <c r="K1242" s="44"/>
    </row>
    <row r="1243" spans="1:11" s="34" customFormat="1" ht="15">
      <c r="A1243" s="30"/>
      <c r="B1243" s="43" t="s">
        <v>2271</v>
      </c>
      <c r="C1243" s="45" t="s">
        <v>481</v>
      </c>
      <c r="D1243" s="46" t="s">
        <v>4</v>
      </c>
      <c r="E1243" s="44">
        <v>0.03</v>
      </c>
      <c r="F1243" s="31">
        <f>TRUNC(30.08,2)</f>
        <v>30.08</v>
      </c>
      <c r="G1243" s="32">
        <f>TRUNC(E1243*F1243,2)</f>
        <v>0.9</v>
      </c>
      <c r="H1243" s="32"/>
      <c r="I1243" s="33"/>
      <c r="J1243" s="33"/>
      <c r="K1243" s="44"/>
    </row>
    <row r="1244" spans="1:11" s="34" customFormat="1" ht="15">
      <c r="A1244" s="30"/>
      <c r="B1244" s="43" t="s">
        <v>2272</v>
      </c>
      <c r="C1244" s="45" t="s">
        <v>483</v>
      </c>
      <c r="D1244" s="46" t="s">
        <v>4</v>
      </c>
      <c r="E1244" s="44">
        <v>0.03</v>
      </c>
      <c r="F1244" s="31">
        <f>TRUNC(23.24,2)</f>
        <v>23.24</v>
      </c>
      <c r="G1244" s="32">
        <f>TRUNC(E1244*F1244,2)</f>
        <v>0.69</v>
      </c>
      <c r="H1244" s="32"/>
      <c r="I1244" s="33"/>
      <c r="J1244" s="33"/>
      <c r="K1244" s="44"/>
    </row>
    <row r="1245" spans="1:11" s="34" customFormat="1" ht="15">
      <c r="A1245" s="30"/>
      <c r="B1245" s="43"/>
      <c r="C1245" s="45"/>
      <c r="D1245" s="46"/>
      <c r="E1245" s="44" t="s">
        <v>5</v>
      </c>
      <c r="F1245" s="31"/>
      <c r="G1245" s="32">
        <f>TRUNC(SUM(G1241:G1244),2)</f>
        <v>4.29</v>
      </c>
      <c r="H1245" s="32"/>
      <c r="I1245" s="33"/>
      <c r="J1245" s="33"/>
      <c r="K1245" s="44"/>
    </row>
    <row r="1246" spans="1:11" s="107" customFormat="1" ht="30">
      <c r="A1246" s="99" t="s">
        <v>1680</v>
      </c>
      <c r="B1246" s="100" t="s">
        <v>2300</v>
      </c>
      <c r="C1246" s="101" t="s">
        <v>495</v>
      </c>
      <c r="D1246" s="102" t="s">
        <v>2</v>
      </c>
      <c r="E1246" s="103">
        <v>400</v>
      </c>
      <c r="F1246" s="104">
        <f>TRUNC(6.92343,2)</f>
        <v>6.92</v>
      </c>
      <c r="G1246" s="105">
        <f>TRUNC(F1246*1.2247,2)</f>
        <v>8.47</v>
      </c>
      <c r="H1246" s="105">
        <f>TRUNC(F1246*E1246,2)</f>
        <v>2768</v>
      </c>
      <c r="I1246" s="106">
        <f>TRUNC(E1246*G1246,2)</f>
        <v>3388</v>
      </c>
      <c r="J1246" s="106"/>
      <c r="K1246" s="103"/>
    </row>
    <row r="1247" spans="1:11" s="34" customFormat="1" ht="15">
      <c r="A1247" s="30"/>
      <c r="B1247" s="43" t="s">
        <v>2298</v>
      </c>
      <c r="C1247" s="45" t="s">
        <v>493</v>
      </c>
      <c r="D1247" s="46" t="s">
        <v>10</v>
      </c>
      <c r="E1247" s="44">
        <v>0.009</v>
      </c>
      <c r="F1247" s="31">
        <f>TRUNC(7.37,2)</f>
        <v>7.37</v>
      </c>
      <c r="G1247" s="32">
        <f>TRUNC(E1247*F1247,2)</f>
        <v>0.06</v>
      </c>
      <c r="H1247" s="32"/>
      <c r="I1247" s="33"/>
      <c r="J1247" s="33"/>
      <c r="K1247" s="44"/>
    </row>
    <row r="1248" spans="1:11" s="34" customFormat="1" ht="30">
      <c r="A1248" s="30"/>
      <c r="B1248" s="43" t="s">
        <v>2301</v>
      </c>
      <c r="C1248" s="45" t="s">
        <v>497</v>
      </c>
      <c r="D1248" s="46" t="s">
        <v>2</v>
      </c>
      <c r="E1248" s="44">
        <v>1.19</v>
      </c>
      <c r="F1248" s="31">
        <f>TRUNC(3.97,2)</f>
        <v>3.97</v>
      </c>
      <c r="G1248" s="32">
        <f>TRUNC(E1248*F1248,2)</f>
        <v>4.72</v>
      </c>
      <c r="H1248" s="32"/>
      <c r="I1248" s="33"/>
      <c r="J1248" s="33"/>
      <c r="K1248" s="44"/>
    </row>
    <row r="1249" spans="1:11" s="34" customFormat="1" ht="15">
      <c r="A1249" s="30"/>
      <c r="B1249" s="43" t="s">
        <v>2271</v>
      </c>
      <c r="C1249" s="45" t="s">
        <v>481</v>
      </c>
      <c r="D1249" s="46" t="s">
        <v>4</v>
      </c>
      <c r="E1249" s="44">
        <v>0.04</v>
      </c>
      <c r="F1249" s="31">
        <f>TRUNC(30.08,2)</f>
        <v>30.08</v>
      </c>
      <c r="G1249" s="32">
        <f>TRUNC(E1249*F1249,2)</f>
        <v>1.2</v>
      </c>
      <c r="H1249" s="32"/>
      <c r="I1249" s="33"/>
      <c r="J1249" s="33"/>
      <c r="K1249" s="44"/>
    </row>
    <row r="1250" spans="1:11" s="34" customFormat="1" ht="15">
      <c r="A1250" s="30"/>
      <c r="B1250" s="43" t="s">
        <v>2272</v>
      </c>
      <c r="C1250" s="45" t="s">
        <v>483</v>
      </c>
      <c r="D1250" s="46" t="s">
        <v>4</v>
      </c>
      <c r="E1250" s="44">
        <v>0.04</v>
      </c>
      <c r="F1250" s="31">
        <f>TRUNC(23.24,2)</f>
        <v>23.24</v>
      </c>
      <c r="G1250" s="32">
        <f>TRUNC(E1250*F1250,2)</f>
        <v>0.92</v>
      </c>
      <c r="H1250" s="32"/>
      <c r="I1250" s="33"/>
      <c r="J1250" s="33"/>
      <c r="K1250" s="44"/>
    </row>
    <row r="1251" spans="1:11" s="34" customFormat="1" ht="15">
      <c r="A1251" s="30"/>
      <c r="B1251" s="43"/>
      <c r="C1251" s="45"/>
      <c r="D1251" s="46"/>
      <c r="E1251" s="44" t="s">
        <v>5</v>
      </c>
      <c r="F1251" s="31"/>
      <c r="G1251" s="32">
        <f>TRUNC(SUM(G1247:G1250),2)</f>
        <v>6.9</v>
      </c>
      <c r="H1251" s="32"/>
      <c r="I1251" s="33"/>
      <c r="J1251" s="33"/>
      <c r="K1251" s="44"/>
    </row>
    <row r="1252" spans="1:11" s="107" customFormat="1" ht="30">
      <c r="A1252" s="99" t="s">
        <v>1681</v>
      </c>
      <c r="B1252" s="100" t="s">
        <v>2302</v>
      </c>
      <c r="C1252" s="101" t="s">
        <v>499</v>
      </c>
      <c r="D1252" s="102" t="s">
        <v>2</v>
      </c>
      <c r="E1252" s="103">
        <v>390</v>
      </c>
      <c r="F1252" s="104">
        <f>TRUNC(9.44347,2)</f>
        <v>9.44</v>
      </c>
      <c r="G1252" s="105">
        <f>TRUNC(F1252*1.2247,2)</f>
        <v>11.56</v>
      </c>
      <c r="H1252" s="105">
        <f>TRUNC(F1252*E1252,2)</f>
        <v>3681.6</v>
      </c>
      <c r="I1252" s="106">
        <f>TRUNC(E1252*G1252,2)</f>
        <v>4508.4</v>
      </c>
      <c r="J1252" s="106"/>
      <c r="K1252" s="103"/>
    </row>
    <row r="1253" spans="1:11" s="34" customFormat="1" ht="15">
      <c r="A1253" s="30"/>
      <c r="B1253" s="43" t="s">
        <v>2298</v>
      </c>
      <c r="C1253" s="45" t="s">
        <v>493</v>
      </c>
      <c r="D1253" s="46" t="s">
        <v>10</v>
      </c>
      <c r="E1253" s="44">
        <v>0.009</v>
      </c>
      <c r="F1253" s="31">
        <f>TRUNC(7.37,2)</f>
        <v>7.37</v>
      </c>
      <c r="G1253" s="32">
        <f>TRUNC(E1253*F1253,2)</f>
        <v>0.06</v>
      </c>
      <c r="H1253" s="32"/>
      <c r="I1253" s="33"/>
      <c r="J1253" s="33"/>
      <c r="K1253" s="44"/>
    </row>
    <row r="1254" spans="1:11" s="34" customFormat="1" ht="30">
      <c r="A1254" s="30"/>
      <c r="B1254" s="43" t="s">
        <v>2303</v>
      </c>
      <c r="C1254" s="45" t="s">
        <v>501</v>
      </c>
      <c r="D1254" s="46" t="s">
        <v>2</v>
      </c>
      <c r="E1254" s="44">
        <v>1.19</v>
      </c>
      <c r="F1254" s="31">
        <f>TRUNC(5.55,2)</f>
        <v>5.55</v>
      </c>
      <c r="G1254" s="32">
        <f>TRUNC(E1254*F1254,2)</f>
        <v>6.6</v>
      </c>
      <c r="H1254" s="32"/>
      <c r="I1254" s="33"/>
      <c r="J1254" s="33"/>
      <c r="K1254" s="44"/>
    </row>
    <row r="1255" spans="1:11" s="34" customFormat="1" ht="15">
      <c r="A1255" s="30"/>
      <c r="B1255" s="43" t="s">
        <v>2271</v>
      </c>
      <c r="C1255" s="45" t="s">
        <v>481</v>
      </c>
      <c r="D1255" s="46" t="s">
        <v>4</v>
      </c>
      <c r="E1255" s="44">
        <v>0.052</v>
      </c>
      <c r="F1255" s="31">
        <f>TRUNC(30.08,2)</f>
        <v>30.08</v>
      </c>
      <c r="G1255" s="32">
        <f>TRUNC(E1255*F1255,2)</f>
        <v>1.56</v>
      </c>
      <c r="H1255" s="32"/>
      <c r="I1255" s="33"/>
      <c r="J1255" s="33"/>
      <c r="K1255" s="44"/>
    </row>
    <row r="1256" spans="1:11" s="34" customFormat="1" ht="15">
      <c r="A1256" s="30"/>
      <c r="B1256" s="43" t="s">
        <v>2272</v>
      </c>
      <c r="C1256" s="45" t="s">
        <v>483</v>
      </c>
      <c r="D1256" s="46" t="s">
        <v>4</v>
      </c>
      <c r="E1256" s="44">
        <v>0.052</v>
      </c>
      <c r="F1256" s="31">
        <f>TRUNC(23.24,2)</f>
        <v>23.24</v>
      </c>
      <c r="G1256" s="32">
        <f>TRUNC(E1256*F1256,2)</f>
        <v>1.2</v>
      </c>
      <c r="H1256" s="32"/>
      <c r="I1256" s="33"/>
      <c r="J1256" s="33"/>
      <c r="K1256" s="44"/>
    </row>
    <row r="1257" spans="1:11" s="34" customFormat="1" ht="15">
      <c r="A1257" s="30"/>
      <c r="B1257" s="43"/>
      <c r="C1257" s="45"/>
      <c r="D1257" s="46"/>
      <c r="E1257" s="44" t="s">
        <v>5</v>
      </c>
      <c r="F1257" s="31"/>
      <c r="G1257" s="32">
        <f>TRUNC(SUM(G1253:G1256),2)</f>
        <v>9.42</v>
      </c>
      <c r="H1257" s="32"/>
      <c r="I1257" s="33"/>
      <c r="J1257" s="33"/>
      <c r="K1257" s="44"/>
    </row>
    <row r="1258" spans="1:11" s="107" customFormat="1" ht="30">
      <c r="A1258" s="99" t="s">
        <v>1682</v>
      </c>
      <c r="B1258" s="100" t="s">
        <v>2304</v>
      </c>
      <c r="C1258" s="101" t="s">
        <v>503</v>
      </c>
      <c r="D1258" s="102" t="s">
        <v>2</v>
      </c>
      <c r="E1258" s="103">
        <v>170</v>
      </c>
      <c r="F1258" s="104">
        <f>TRUNC(15.46507,2)</f>
        <v>15.46</v>
      </c>
      <c r="G1258" s="105">
        <f>TRUNC(F1258*1.2247,2)</f>
        <v>18.93</v>
      </c>
      <c r="H1258" s="105">
        <f>TRUNC(F1258*E1258,2)</f>
        <v>2628.2</v>
      </c>
      <c r="I1258" s="106">
        <f>TRUNC(E1258*G1258,2)</f>
        <v>3218.1</v>
      </c>
      <c r="J1258" s="106"/>
      <c r="K1258" s="103"/>
    </row>
    <row r="1259" spans="1:11" s="34" customFormat="1" ht="15">
      <c r="A1259" s="30"/>
      <c r="B1259" s="43" t="s">
        <v>2298</v>
      </c>
      <c r="C1259" s="45" t="s">
        <v>493</v>
      </c>
      <c r="D1259" s="46" t="s">
        <v>10</v>
      </c>
      <c r="E1259" s="44">
        <v>0.009</v>
      </c>
      <c r="F1259" s="31">
        <f>TRUNC(7.37,2)</f>
        <v>7.37</v>
      </c>
      <c r="G1259" s="32">
        <f>TRUNC(E1259*F1259,2)</f>
        <v>0.06</v>
      </c>
      <c r="H1259" s="32"/>
      <c r="I1259" s="33"/>
      <c r="J1259" s="33"/>
      <c r="K1259" s="44"/>
    </row>
    <row r="1260" spans="1:11" s="34" customFormat="1" ht="30">
      <c r="A1260" s="30"/>
      <c r="B1260" s="43" t="s">
        <v>2305</v>
      </c>
      <c r="C1260" s="45" t="s">
        <v>505</v>
      </c>
      <c r="D1260" s="46" t="s">
        <v>2</v>
      </c>
      <c r="E1260" s="44">
        <v>1.19</v>
      </c>
      <c r="F1260" s="31">
        <f>TRUNC(9.49,2)</f>
        <v>9.49</v>
      </c>
      <c r="G1260" s="32">
        <f>TRUNC(E1260*F1260,2)</f>
        <v>11.29</v>
      </c>
      <c r="H1260" s="32"/>
      <c r="I1260" s="33"/>
      <c r="J1260" s="33"/>
      <c r="K1260" s="44"/>
    </row>
    <row r="1261" spans="1:11" s="34" customFormat="1" ht="15">
      <c r="A1261" s="30"/>
      <c r="B1261" s="43" t="s">
        <v>2271</v>
      </c>
      <c r="C1261" s="45" t="s">
        <v>481</v>
      </c>
      <c r="D1261" s="46" t="s">
        <v>4</v>
      </c>
      <c r="E1261" s="44">
        <v>0.077</v>
      </c>
      <c r="F1261" s="31">
        <f>TRUNC(30.08,2)</f>
        <v>30.08</v>
      </c>
      <c r="G1261" s="32">
        <f>TRUNC(E1261*F1261,2)</f>
        <v>2.31</v>
      </c>
      <c r="H1261" s="32"/>
      <c r="I1261" s="33"/>
      <c r="J1261" s="33"/>
      <c r="K1261" s="44"/>
    </row>
    <row r="1262" spans="1:11" s="34" customFormat="1" ht="15">
      <c r="A1262" s="30"/>
      <c r="B1262" s="43" t="s">
        <v>2272</v>
      </c>
      <c r="C1262" s="45" t="s">
        <v>483</v>
      </c>
      <c r="D1262" s="46" t="s">
        <v>4</v>
      </c>
      <c r="E1262" s="44">
        <v>0.077</v>
      </c>
      <c r="F1262" s="31">
        <f>TRUNC(23.24,2)</f>
        <v>23.24</v>
      </c>
      <c r="G1262" s="32">
        <f>TRUNC(E1262*F1262,2)</f>
        <v>1.78</v>
      </c>
      <c r="H1262" s="32"/>
      <c r="I1262" s="33"/>
      <c r="J1262" s="33"/>
      <c r="K1262" s="44"/>
    </row>
    <row r="1263" spans="1:11" s="34" customFormat="1" ht="15">
      <c r="A1263" s="30"/>
      <c r="B1263" s="43"/>
      <c r="C1263" s="45"/>
      <c r="D1263" s="46"/>
      <c r="E1263" s="44" t="s">
        <v>5</v>
      </c>
      <c r="F1263" s="31"/>
      <c r="G1263" s="32">
        <f>TRUNC(SUM(G1259:G1262),2)</f>
        <v>15.44</v>
      </c>
      <c r="H1263" s="32"/>
      <c r="I1263" s="33"/>
      <c r="J1263" s="33"/>
      <c r="K1263" s="44"/>
    </row>
    <row r="1264" spans="1:11" s="107" customFormat="1" ht="30">
      <c r="A1264" s="99" t="s">
        <v>1683</v>
      </c>
      <c r="B1264" s="100" t="s">
        <v>2306</v>
      </c>
      <c r="C1264" s="101" t="s">
        <v>507</v>
      </c>
      <c r="D1264" s="102" t="s">
        <v>2</v>
      </c>
      <c r="E1264" s="103">
        <v>200</v>
      </c>
      <c r="F1264" s="104">
        <f>TRUNC(37.76834,2)</f>
        <v>37.76</v>
      </c>
      <c r="G1264" s="105">
        <f>TRUNC(F1264*1.2247,2)</f>
        <v>46.24</v>
      </c>
      <c r="H1264" s="105">
        <f>TRUNC(F1264*E1264,2)</f>
        <v>7552</v>
      </c>
      <c r="I1264" s="106">
        <f>TRUNC(E1264*G1264,2)</f>
        <v>9248</v>
      </c>
      <c r="J1264" s="106"/>
      <c r="K1264" s="103"/>
    </row>
    <row r="1265" spans="1:11" s="34" customFormat="1" ht="15">
      <c r="A1265" s="30"/>
      <c r="B1265" s="43" t="s">
        <v>2298</v>
      </c>
      <c r="C1265" s="45" t="s">
        <v>493</v>
      </c>
      <c r="D1265" s="46" t="s">
        <v>10</v>
      </c>
      <c r="E1265" s="44">
        <v>0.009</v>
      </c>
      <c r="F1265" s="31">
        <f>TRUNC(7.37,2)</f>
        <v>7.37</v>
      </c>
      <c r="G1265" s="32">
        <f>TRUNC(E1265*F1265,2)</f>
        <v>0.06</v>
      </c>
      <c r="H1265" s="32"/>
      <c r="I1265" s="33"/>
      <c r="J1265" s="33"/>
      <c r="K1265" s="44"/>
    </row>
    <row r="1266" spans="1:11" s="34" customFormat="1" ht="45">
      <c r="A1266" s="30"/>
      <c r="B1266" s="43" t="s">
        <v>2307</v>
      </c>
      <c r="C1266" s="45" t="s">
        <v>509</v>
      </c>
      <c r="D1266" s="46" t="s">
        <v>2</v>
      </c>
      <c r="E1266" s="44">
        <v>1.015</v>
      </c>
      <c r="F1266" s="31">
        <f>TRUNC(33.31,2)</f>
        <v>33.31</v>
      </c>
      <c r="G1266" s="32">
        <f>TRUNC(E1266*F1266,2)</f>
        <v>33.8</v>
      </c>
      <c r="H1266" s="32"/>
      <c r="I1266" s="33"/>
      <c r="J1266" s="33"/>
      <c r="K1266" s="44"/>
    </row>
    <row r="1267" spans="1:11" s="34" customFormat="1" ht="15">
      <c r="A1267" s="30"/>
      <c r="B1267" s="43" t="s">
        <v>2271</v>
      </c>
      <c r="C1267" s="45" t="s">
        <v>481</v>
      </c>
      <c r="D1267" s="46" t="s">
        <v>4</v>
      </c>
      <c r="E1267" s="44">
        <v>0.073</v>
      </c>
      <c r="F1267" s="31">
        <f>TRUNC(30.08,2)</f>
        <v>30.08</v>
      </c>
      <c r="G1267" s="32">
        <f>TRUNC(E1267*F1267,2)</f>
        <v>2.19</v>
      </c>
      <c r="H1267" s="32"/>
      <c r="I1267" s="33"/>
      <c r="J1267" s="33"/>
      <c r="K1267" s="44"/>
    </row>
    <row r="1268" spans="1:11" s="34" customFormat="1" ht="15">
      <c r="A1268" s="30"/>
      <c r="B1268" s="43" t="s">
        <v>2272</v>
      </c>
      <c r="C1268" s="45" t="s">
        <v>483</v>
      </c>
      <c r="D1268" s="46" t="s">
        <v>4</v>
      </c>
      <c r="E1268" s="44">
        <v>0.073</v>
      </c>
      <c r="F1268" s="31">
        <f>TRUNC(23.24,2)</f>
        <v>23.24</v>
      </c>
      <c r="G1268" s="32">
        <f>TRUNC(E1268*F1268,2)</f>
        <v>1.69</v>
      </c>
      <c r="H1268" s="32"/>
      <c r="I1268" s="33"/>
      <c r="J1268" s="33"/>
      <c r="K1268" s="44"/>
    </row>
    <row r="1269" spans="1:11" s="34" customFormat="1" ht="15">
      <c r="A1269" s="30"/>
      <c r="B1269" s="43"/>
      <c r="C1269" s="45"/>
      <c r="D1269" s="46"/>
      <c r="E1269" s="44" t="s">
        <v>5</v>
      </c>
      <c r="F1269" s="31"/>
      <c r="G1269" s="32">
        <f>TRUNC(SUM(G1265:G1268),2)</f>
        <v>37.74</v>
      </c>
      <c r="H1269" s="32"/>
      <c r="I1269" s="33"/>
      <c r="J1269" s="33"/>
      <c r="K1269" s="44"/>
    </row>
    <row r="1270" spans="1:11" s="107" customFormat="1" ht="30">
      <c r="A1270" s="99" t="s">
        <v>1684</v>
      </c>
      <c r="B1270" s="100" t="s">
        <v>2308</v>
      </c>
      <c r="C1270" s="101" t="s">
        <v>1469</v>
      </c>
      <c r="D1270" s="102" t="s">
        <v>10</v>
      </c>
      <c r="E1270" s="103">
        <v>12</v>
      </c>
      <c r="F1270" s="104">
        <f>TRUNC(51.85,2)</f>
        <v>51.85</v>
      </c>
      <c r="G1270" s="105">
        <f>TRUNC(F1270*1.2247,2)</f>
        <v>63.5</v>
      </c>
      <c r="H1270" s="105">
        <f>TRUNC(F1270*E1270,2)</f>
        <v>622.2</v>
      </c>
      <c r="I1270" s="106">
        <f>TRUNC(E1270*G1270,2)</f>
        <v>762</v>
      </c>
      <c r="J1270" s="106"/>
      <c r="K1270" s="103"/>
    </row>
    <row r="1271" spans="1:11" s="34" customFormat="1" ht="30">
      <c r="A1271" s="30"/>
      <c r="B1271" s="43" t="s">
        <v>2309</v>
      </c>
      <c r="C1271" s="45" t="s">
        <v>2310</v>
      </c>
      <c r="D1271" s="46" t="s">
        <v>10</v>
      </c>
      <c r="E1271" s="44">
        <v>1</v>
      </c>
      <c r="F1271" s="31">
        <f>TRUNC(44.04,2)</f>
        <v>44.04</v>
      </c>
      <c r="G1271" s="32">
        <f>TRUNC(E1271*F1271,2)</f>
        <v>44.04</v>
      </c>
      <c r="H1271" s="32"/>
      <c r="I1271" s="33"/>
      <c r="J1271" s="33"/>
      <c r="K1271" s="44"/>
    </row>
    <row r="1272" spans="1:11" s="34" customFormat="1" ht="30">
      <c r="A1272" s="30"/>
      <c r="B1272" s="43" t="s">
        <v>2311</v>
      </c>
      <c r="C1272" s="45" t="s">
        <v>2312</v>
      </c>
      <c r="D1272" s="46" t="s">
        <v>10</v>
      </c>
      <c r="E1272" s="44">
        <v>1</v>
      </c>
      <c r="F1272" s="31">
        <f>TRUNC(7.81,2)</f>
        <v>7.81</v>
      </c>
      <c r="G1272" s="32">
        <f>TRUNC(E1272*F1272,2)</f>
        <v>7.81</v>
      </c>
      <c r="H1272" s="32"/>
      <c r="I1272" s="33"/>
      <c r="J1272" s="33"/>
      <c r="K1272" s="44"/>
    </row>
    <row r="1273" spans="1:11" s="34" customFormat="1" ht="15">
      <c r="A1273" s="30"/>
      <c r="B1273" s="43"/>
      <c r="C1273" s="45"/>
      <c r="D1273" s="46"/>
      <c r="E1273" s="44" t="s">
        <v>5</v>
      </c>
      <c r="F1273" s="31"/>
      <c r="G1273" s="32">
        <f>TRUNC(SUM(G1271:G1272),2)</f>
        <v>51.85</v>
      </c>
      <c r="H1273" s="32"/>
      <c r="I1273" s="33"/>
      <c r="J1273" s="33"/>
      <c r="K1273" s="44"/>
    </row>
    <row r="1274" spans="1:11" s="107" customFormat="1" ht="30">
      <c r="A1274" s="99" t="s">
        <v>1685</v>
      </c>
      <c r="B1274" s="100" t="s">
        <v>2313</v>
      </c>
      <c r="C1274" s="101" t="s">
        <v>1198</v>
      </c>
      <c r="D1274" s="102" t="s">
        <v>10</v>
      </c>
      <c r="E1274" s="103">
        <v>69</v>
      </c>
      <c r="F1274" s="104">
        <f>TRUNC(33.47,2)</f>
        <v>33.47</v>
      </c>
      <c r="G1274" s="105">
        <f>TRUNC(F1274*1.2247,2)</f>
        <v>40.99</v>
      </c>
      <c r="H1274" s="105">
        <f>TRUNC(F1274*E1274,2)</f>
        <v>2309.43</v>
      </c>
      <c r="I1274" s="106">
        <f>TRUNC(E1274*G1274,2)</f>
        <v>2828.31</v>
      </c>
      <c r="J1274" s="106"/>
      <c r="K1274" s="103"/>
    </row>
    <row r="1275" spans="1:11" s="34" customFormat="1" ht="30">
      <c r="A1275" s="30"/>
      <c r="B1275" s="43" t="s">
        <v>2314</v>
      </c>
      <c r="C1275" s="45" t="s">
        <v>2315</v>
      </c>
      <c r="D1275" s="46" t="s">
        <v>10</v>
      </c>
      <c r="E1275" s="44">
        <v>1</v>
      </c>
      <c r="F1275" s="31">
        <f>TRUNC(25.66,2)</f>
        <v>25.66</v>
      </c>
      <c r="G1275" s="32">
        <f>TRUNC(E1275*F1275,2)</f>
        <v>25.66</v>
      </c>
      <c r="H1275" s="32"/>
      <c r="I1275" s="33"/>
      <c r="J1275" s="33"/>
      <c r="K1275" s="44"/>
    </row>
    <row r="1276" spans="1:11" s="34" customFormat="1" ht="30">
      <c r="A1276" s="30"/>
      <c r="B1276" s="43" t="s">
        <v>2311</v>
      </c>
      <c r="C1276" s="45" t="s">
        <v>2312</v>
      </c>
      <c r="D1276" s="46" t="s">
        <v>10</v>
      </c>
      <c r="E1276" s="44">
        <v>1</v>
      </c>
      <c r="F1276" s="31">
        <f>TRUNC(7.81,2)</f>
        <v>7.81</v>
      </c>
      <c r="G1276" s="32">
        <f>TRUNC(E1276*F1276,2)</f>
        <v>7.81</v>
      </c>
      <c r="H1276" s="32"/>
      <c r="I1276" s="33"/>
      <c r="J1276" s="33"/>
      <c r="K1276" s="44"/>
    </row>
    <row r="1277" spans="1:11" s="34" customFormat="1" ht="15">
      <c r="A1277" s="30"/>
      <c r="B1277" s="43"/>
      <c r="C1277" s="45"/>
      <c r="D1277" s="46"/>
      <c r="E1277" s="44" t="s">
        <v>5</v>
      </c>
      <c r="F1277" s="31"/>
      <c r="G1277" s="32">
        <f>TRUNC(SUM(G1275:G1276),2)</f>
        <v>33.47</v>
      </c>
      <c r="H1277" s="32"/>
      <c r="I1277" s="33"/>
      <c r="J1277" s="33"/>
      <c r="K1277" s="44"/>
    </row>
    <row r="1278" spans="1:11" s="107" customFormat="1" ht="30">
      <c r="A1278" s="99" t="s">
        <v>1686</v>
      </c>
      <c r="B1278" s="100" t="s">
        <v>2316</v>
      </c>
      <c r="C1278" s="101" t="s">
        <v>1473</v>
      </c>
      <c r="D1278" s="102" t="s">
        <v>10</v>
      </c>
      <c r="E1278" s="103">
        <v>6</v>
      </c>
      <c r="F1278" s="104">
        <f>TRUNC(48.11,2)</f>
        <v>48.11</v>
      </c>
      <c r="G1278" s="105">
        <f>TRUNC(F1278*1.2247,2)</f>
        <v>58.92</v>
      </c>
      <c r="H1278" s="105">
        <f>TRUNC(F1278*E1278,2)</f>
        <v>288.66</v>
      </c>
      <c r="I1278" s="106">
        <f>TRUNC(E1278*G1278,2)</f>
        <v>353.52</v>
      </c>
      <c r="J1278" s="106"/>
      <c r="K1278" s="103"/>
    </row>
    <row r="1279" spans="1:11" s="34" customFormat="1" ht="30">
      <c r="A1279" s="30"/>
      <c r="B1279" s="43" t="s">
        <v>2317</v>
      </c>
      <c r="C1279" s="45" t="s">
        <v>2318</v>
      </c>
      <c r="D1279" s="46" t="s">
        <v>10</v>
      </c>
      <c r="E1279" s="44">
        <v>1</v>
      </c>
      <c r="F1279" s="31">
        <f>TRUNC(40.3,2)</f>
        <v>40.3</v>
      </c>
      <c r="G1279" s="32">
        <f>TRUNC(E1279*F1279,2)</f>
        <v>40.3</v>
      </c>
      <c r="H1279" s="32"/>
      <c r="I1279" s="33"/>
      <c r="J1279" s="33"/>
      <c r="K1279" s="44"/>
    </row>
    <row r="1280" spans="1:11" s="34" customFormat="1" ht="30">
      <c r="A1280" s="30"/>
      <c r="B1280" s="43" t="s">
        <v>2311</v>
      </c>
      <c r="C1280" s="45" t="s">
        <v>2312</v>
      </c>
      <c r="D1280" s="46" t="s">
        <v>10</v>
      </c>
      <c r="E1280" s="44">
        <v>1</v>
      </c>
      <c r="F1280" s="31">
        <f>TRUNC(7.81,2)</f>
        <v>7.81</v>
      </c>
      <c r="G1280" s="32">
        <f>TRUNC(E1280*F1280,2)</f>
        <v>7.81</v>
      </c>
      <c r="H1280" s="32"/>
      <c r="I1280" s="33"/>
      <c r="J1280" s="33"/>
      <c r="K1280" s="44"/>
    </row>
    <row r="1281" spans="1:11" s="34" customFormat="1" ht="15">
      <c r="A1281" s="30"/>
      <c r="B1281" s="43"/>
      <c r="C1281" s="45"/>
      <c r="D1281" s="46"/>
      <c r="E1281" s="44" t="s">
        <v>5</v>
      </c>
      <c r="F1281" s="31"/>
      <c r="G1281" s="32">
        <f>TRUNC(SUM(G1279:G1280),2)</f>
        <v>48.11</v>
      </c>
      <c r="H1281" s="32"/>
      <c r="I1281" s="33"/>
      <c r="J1281" s="33"/>
      <c r="K1281" s="44"/>
    </row>
    <row r="1282" spans="1:11" s="107" customFormat="1" ht="30">
      <c r="A1282" s="99" t="s">
        <v>1687</v>
      </c>
      <c r="B1282" s="100" t="s">
        <v>2319</v>
      </c>
      <c r="C1282" s="101" t="s">
        <v>1477</v>
      </c>
      <c r="D1282" s="102" t="s">
        <v>10</v>
      </c>
      <c r="E1282" s="103">
        <v>7</v>
      </c>
      <c r="F1282" s="104">
        <f>TRUNC(29.58,2)</f>
        <v>29.58</v>
      </c>
      <c r="G1282" s="105">
        <f>TRUNC(F1282*1.2247,2)</f>
        <v>36.22</v>
      </c>
      <c r="H1282" s="105">
        <f>TRUNC(F1282*E1282,2)</f>
        <v>207.06</v>
      </c>
      <c r="I1282" s="106">
        <f>TRUNC(E1282*G1282,2)</f>
        <v>253.54</v>
      </c>
      <c r="J1282" s="106"/>
      <c r="K1282" s="103"/>
    </row>
    <row r="1283" spans="1:11" s="34" customFormat="1" ht="30">
      <c r="A1283" s="30"/>
      <c r="B1283" s="43" t="s">
        <v>2320</v>
      </c>
      <c r="C1283" s="45" t="s">
        <v>2321</v>
      </c>
      <c r="D1283" s="46" t="s">
        <v>10</v>
      </c>
      <c r="E1283" s="44">
        <v>1</v>
      </c>
      <c r="F1283" s="31">
        <f>TRUNC(21.77,2)</f>
        <v>21.77</v>
      </c>
      <c r="G1283" s="32">
        <f>TRUNC(E1283*F1283,2)</f>
        <v>21.77</v>
      </c>
      <c r="H1283" s="32"/>
      <c r="I1283" s="33"/>
      <c r="J1283" s="33"/>
      <c r="K1283" s="44"/>
    </row>
    <row r="1284" spans="1:11" s="34" customFormat="1" ht="30">
      <c r="A1284" s="30"/>
      <c r="B1284" s="43" t="s">
        <v>2311</v>
      </c>
      <c r="C1284" s="45" t="s">
        <v>2312</v>
      </c>
      <c r="D1284" s="46" t="s">
        <v>10</v>
      </c>
      <c r="E1284" s="44">
        <v>1</v>
      </c>
      <c r="F1284" s="31">
        <f>TRUNC(7.81,2)</f>
        <v>7.81</v>
      </c>
      <c r="G1284" s="32">
        <f>TRUNC(E1284*F1284,2)</f>
        <v>7.81</v>
      </c>
      <c r="H1284" s="32"/>
      <c r="I1284" s="33"/>
      <c r="J1284" s="33"/>
      <c r="K1284" s="44"/>
    </row>
    <row r="1285" spans="1:11" s="34" customFormat="1" ht="15">
      <c r="A1285" s="30"/>
      <c r="B1285" s="43"/>
      <c r="C1285" s="45"/>
      <c r="D1285" s="46"/>
      <c r="E1285" s="44" t="s">
        <v>5</v>
      </c>
      <c r="F1285" s="31"/>
      <c r="G1285" s="32">
        <f>TRUNC(SUM(G1283:G1284),2)</f>
        <v>29.58</v>
      </c>
      <c r="H1285" s="32"/>
      <c r="I1285" s="33"/>
      <c r="J1285" s="33"/>
      <c r="K1285" s="44"/>
    </row>
    <row r="1286" spans="1:11" s="107" customFormat="1" ht="30">
      <c r="A1286" s="99" t="s">
        <v>1688</v>
      </c>
      <c r="B1286" s="100" t="s">
        <v>2322</v>
      </c>
      <c r="C1286" s="101" t="s">
        <v>1481</v>
      </c>
      <c r="D1286" s="102" t="s">
        <v>10</v>
      </c>
      <c r="E1286" s="103">
        <v>17</v>
      </c>
      <c r="F1286" s="104">
        <f>TRUNC(41.47,2)</f>
        <v>41.47</v>
      </c>
      <c r="G1286" s="105">
        <f>TRUNC(F1286*1.2247,2)</f>
        <v>50.78</v>
      </c>
      <c r="H1286" s="105">
        <f>TRUNC(F1286*E1286,2)</f>
        <v>704.99</v>
      </c>
      <c r="I1286" s="106">
        <f>TRUNC(E1286*G1286,2)</f>
        <v>863.26</v>
      </c>
      <c r="J1286" s="106"/>
      <c r="K1286" s="103"/>
    </row>
    <row r="1287" spans="1:11" s="34" customFormat="1" ht="30">
      <c r="A1287" s="30"/>
      <c r="B1287" s="43" t="s">
        <v>2323</v>
      </c>
      <c r="C1287" s="45" t="s">
        <v>2324</v>
      </c>
      <c r="D1287" s="46" t="s">
        <v>10</v>
      </c>
      <c r="E1287" s="44">
        <v>1</v>
      </c>
      <c r="F1287" s="31">
        <f>TRUNC(33.66,2)</f>
        <v>33.66</v>
      </c>
      <c r="G1287" s="32">
        <f>TRUNC(E1287*F1287,2)</f>
        <v>33.66</v>
      </c>
      <c r="H1287" s="32"/>
      <c r="I1287" s="33"/>
      <c r="J1287" s="33"/>
      <c r="K1287" s="44"/>
    </row>
    <row r="1288" spans="1:11" s="34" customFormat="1" ht="30">
      <c r="A1288" s="30"/>
      <c r="B1288" s="43" t="s">
        <v>2311</v>
      </c>
      <c r="C1288" s="45" t="s">
        <v>2312</v>
      </c>
      <c r="D1288" s="46" t="s">
        <v>10</v>
      </c>
      <c r="E1288" s="44">
        <v>1</v>
      </c>
      <c r="F1288" s="31">
        <f>TRUNC(7.81,2)</f>
        <v>7.81</v>
      </c>
      <c r="G1288" s="32">
        <f>TRUNC(E1288*F1288,2)</f>
        <v>7.81</v>
      </c>
      <c r="H1288" s="32"/>
      <c r="I1288" s="33"/>
      <c r="J1288" s="33"/>
      <c r="K1288" s="44"/>
    </row>
    <row r="1289" spans="1:11" s="34" customFormat="1" ht="15">
      <c r="A1289" s="30"/>
      <c r="B1289" s="43"/>
      <c r="C1289" s="45"/>
      <c r="D1289" s="46"/>
      <c r="E1289" s="44" t="s">
        <v>5</v>
      </c>
      <c r="F1289" s="31"/>
      <c r="G1289" s="32">
        <f>TRUNC(SUM(G1287:G1288),2)</f>
        <v>41.47</v>
      </c>
      <c r="H1289" s="32"/>
      <c r="I1289" s="33"/>
      <c r="J1289" s="33"/>
      <c r="K1289" s="44"/>
    </row>
    <row r="1290" spans="1:11" s="107" customFormat="1" ht="30">
      <c r="A1290" s="99" t="s">
        <v>1689</v>
      </c>
      <c r="B1290" s="100" t="s">
        <v>2325</v>
      </c>
      <c r="C1290" s="101" t="s">
        <v>1213</v>
      </c>
      <c r="D1290" s="102" t="s">
        <v>10</v>
      </c>
      <c r="E1290" s="103">
        <v>8</v>
      </c>
      <c r="F1290" s="104">
        <f>TRUNC(G1296,2)</f>
        <v>21.85</v>
      </c>
      <c r="G1290" s="105">
        <f>TRUNC(F1290*1.2247,2)</f>
        <v>26.75</v>
      </c>
      <c r="H1290" s="105">
        <f>TRUNC(F1290*E1290,2)</f>
        <v>174.8</v>
      </c>
      <c r="I1290" s="106">
        <f>TRUNC(E1290*G1290,2)</f>
        <v>214</v>
      </c>
      <c r="J1290" s="106"/>
      <c r="K1290" s="103"/>
    </row>
    <row r="1291" spans="1:11" s="34" customFormat="1" ht="15">
      <c r="A1291" s="30"/>
      <c r="B1291" s="52" t="s">
        <v>827</v>
      </c>
      <c r="C1291" s="45" t="s">
        <v>1215</v>
      </c>
      <c r="D1291" s="46" t="s">
        <v>10</v>
      </c>
      <c r="E1291" s="44">
        <v>1</v>
      </c>
      <c r="F1291" s="31">
        <v>14.04</v>
      </c>
      <c r="G1291" s="32">
        <f>TRUNC(E1291*F1291,2)</f>
        <v>14.04</v>
      </c>
      <c r="H1291" s="32"/>
      <c r="I1291" s="33"/>
      <c r="J1291" s="33"/>
      <c r="K1291" s="44"/>
    </row>
    <row r="1292" spans="1:11" s="34" customFormat="1" ht="15">
      <c r="A1292" s="30"/>
      <c r="B1292" s="52" t="s">
        <v>827</v>
      </c>
      <c r="C1292" s="45" t="s">
        <v>1216</v>
      </c>
      <c r="D1292" s="46" t="s">
        <v>10</v>
      </c>
      <c r="E1292" s="44">
        <v>1</v>
      </c>
      <c r="F1292" s="31">
        <v>14.23</v>
      </c>
      <c r="G1292" s="32">
        <f>TRUNC(E1292*F1292,2)</f>
        <v>14.23</v>
      </c>
      <c r="H1292" s="32"/>
      <c r="I1292" s="33"/>
      <c r="J1292" s="33"/>
      <c r="K1292" s="44"/>
    </row>
    <row r="1293" spans="1:11" s="34" customFormat="1" ht="30">
      <c r="A1293" s="30"/>
      <c r="B1293" s="52" t="s">
        <v>827</v>
      </c>
      <c r="C1293" s="45" t="s">
        <v>1217</v>
      </c>
      <c r="D1293" s="46" t="s">
        <v>10</v>
      </c>
      <c r="E1293" s="44">
        <v>1</v>
      </c>
      <c r="F1293" s="31">
        <v>6.26</v>
      </c>
      <c r="G1293" s="32">
        <f>TRUNC(E1293*F1293,2)</f>
        <v>6.26</v>
      </c>
      <c r="H1293" s="32"/>
      <c r="I1293" s="33"/>
      <c r="J1293" s="33"/>
      <c r="K1293" s="44"/>
    </row>
    <row r="1294" spans="1:11" s="34" customFormat="1" ht="15">
      <c r="A1294" s="30"/>
      <c r="B1294" s="43"/>
      <c r="C1294" s="45"/>
      <c r="D1294" s="46"/>
      <c r="E1294" s="44" t="s">
        <v>1218</v>
      </c>
      <c r="F1294" s="59" t="s">
        <v>1219</v>
      </c>
      <c r="G1294" s="32">
        <v>14.04</v>
      </c>
      <c r="H1294" s="32"/>
      <c r="I1294" s="33"/>
      <c r="J1294" s="33"/>
      <c r="K1294" s="44"/>
    </row>
    <row r="1295" spans="1:11" s="34" customFormat="1" ht="30">
      <c r="A1295" s="30"/>
      <c r="B1295" s="43" t="s">
        <v>2311</v>
      </c>
      <c r="C1295" s="45" t="s">
        <v>2326</v>
      </c>
      <c r="D1295" s="46" t="s">
        <v>10</v>
      </c>
      <c r="E1295" s="44">
        <v>1</v>
      </c>
      <c r="F1295" s="31">
        <f>TRUNC(7.81992,2)</f>
        <v>7.81</v>
      </c>
      <c r="G1295" s="32">
        <f>TRUNC(E1295*F1295,2)</f>
        <v>7.81</v>
      </c>
      <c r="H1295" s="32"/>
      <c r="I1295" s="33"/>
      <c r="J1295" s="33"/>
      <c r="K1295" s="44"/>
    </row>
    <row r="1296" spans="1:11" s="34" customFormat="1" ht="15">
      <c r="A1296" s="30"/>
      <c r="B1296" s="43"/>
      <c r="C1296" s="45"/>
      <c r="D1296" s="46"/>
      <c r="E1296" s="44" t="s">
        <v>5</v>
      </c>
      <c r="F1296" s="31"/>
      <c r="G1296" s="32">
        <f>TRUNC(SUM(G1294:G1295),2)</f>
        <v>21.85</v>
      </c>
      <c r="H1296" s="32"/>
      <c r="I1296" s="33"/>
      <c r="J1296" s="33"/>
      <c r="K1296" s="44"/>
    </row>
    <row r="1297" spans="1:11" s="107" customFormat="1" ht="30">
      <c r="A1297" s="99" t="s">
        <v>1690</v>
      </c>
      <c r="B1297" s="100" t="s">
        <v>2327</v>
      </c>
      <c r="C1297" s="101" t="s">
        <v>1202</v>
      </c>
      <c r="D1297" s="102" t="s">
        <v>10</v>
      </c>
      <c r="E1297" s="103">
        <v>35</v>
      </c>
      <c r="F1297" s="104">
        <f>TRUNC(26.14,2)</f>
        <v>26.14</v>
      </c>
      <c r="G1297" s="105">
        <f>TRUNC(F1297*1.2247,2)</f>
        <v>32.01</v>
      </c>
      <c r="H1297" s="105">
        <f>TRUNC(F1297*E1297,2)</f>
        <v>914.9</v>
      </c>
      <c r="I1297" s="106">
        <f>TRUNC(E1297*G1297,2)</f>
        <v>1120.35</v>
      </c>
      <c r="J1297" s="106"/>
      <c r="K1297" s="103"/>
    </row>
    <row r="1298" spans="1:11" s="34" customFormat="1" ht="30">
      <c r="A1298" s="30"/>
      <c r="B1298" s="43" t="s">
        <v>2328</v>
      </c>
      <c r="C1298" s="45" t="s">
        <v>2329</v>
      </c>
      <c r="D1298" s="46" t="s">
        <v>10</v>
      </c>
      <c r="E1298" s="44">
        <v>1</v>
      </c>
      <c r="F1298" s="31">
        <f>TRUNC(18.33,2)</f>
        <v>18.33</v>
      </c>
      <c r="G1298" s="32">
        <f>TRUNC(E1298*F1298,2)</f>
        <v>18.33</v>
      </c>
      <c r="H1298" s="32"/>
      <c r="I1298" s="33"/>
      <c r="J1298" s="33"/>
      <c r="K1298" s="44"/>
    </row>
    <row r="1299" spans="1:11" s="34" customFormat="1" ht="30">
      <c r="A1299" s="30"/>
      <c r="B1299" s="43" t="s">
        <v>2311</v>
      </c>
      <c r="C1299" s="45" t="s">
        <v>2312</v>
      </c>
      <c r="D1299" s="46" t="s">
        <v>10</v>
      </c>
      <c r="E1299" s="44">
        <v>1</v>
      </c>
      <c r="F1299" s="31">
        <f>TRUNC(7.81,2)</f>
        <v>7.81</v>
      </c>
      <c r="G1299" s="32">
        <f>TRUNC(E1299*F1299,2)</f>
        <v>7.81</v>
      </c>
      <c r="H1299" s="32"/>
      <c r="I1299" s="33"/>
      <c r="J1299" s="33"/>
      <c r="K1299" s="44"/>
    </row>
    <row r="1300" spans="1:11" s="34" customFormat="1" ht="15">
      <c r="A1300" s="30"/>
      <c r="B1300" s="43"/>
      <c r="C1300" s="45"/>
      <c r="D1300" s="46"/>
      <c r="E1300" s="44" t="s">
        <v>5</v>
      </c>
      <c r="F1300" s="31"/>
      <c r="G1300" s="32">
        <f>TRUNC(SUM(G1298:G1299),2)</f>
        <v>26.14</v>
      </c>
      <c r="H1300" s="32"/>
      <c r="I1300" s="33"/>
      <c r="J1300" s="33"/>
      <c r="K1300" s="44"/>
    </row>
    <row r="1301" spans="1:11" s="107" customFormat="1" ht="30">
      <c r="A1301" s="99" t="s">
        <v>1691</v>
      </c>
      <c r="B1301" s="100" t="s">
        <v>2330</v>
      </c>
      <c r="C1301" s="101" t="s">
        <v>511</v>
      </c>
      <c r="D1301" s="102" t="s">
        <v>10</v>
      </c>
      <c r="E1301" s="103">
        <v>3</v>
      </c>
      <c r="F1301" s="104">
        <f>TRUNC(41.3,2)</f>
        <v>41.3</v>
      </c>
      <c r="G1301" s="105">
        <f>TRUNC(F1301*1.2247,2)</f>
        <v>50.58</v>
      </c>
      <c r="H1301" s="105">
        <f>TRUNC(F1301*E1301,2)</f>
        <v>123.9</v>
      </c>
      <c r="I1301" s="106">
        <f>TRUNC(E1301*G1301,2)</f>
        <v>151.74</v>
      </c>
      <c r="J1301" s="106"/>
      <c r="K1301" s="103"/>
    </row>
    <row r="1302" spans="1:11" s="34" customFormat="1" ht="30">
      <c r="A1302" s="30"/>
      <c r="B1302" s="43" t="s">
        <v>2331</v>
      </c>
      <c r="C1302" s="45" t="s">
        <v>2332</v>
      </c>
      <c r="D1302" s="46" t="s">
        <v>10</v>
      </c>
      <c r="E1302" s="44">
        <v>1</v>
      </c>
      <c r="F1302" s="31">
        <f>TRUNC(33.49,2)</f>
        <v>33.49</v>
      </c>
      <c r="G1302" s="32">
        <f>TRUNC(E1302*F1302,2)</f>
        <v>33.49</v>
      </c>
      <c r="H1302" s="32"/>
      <c r="I1302" s="33"/>
      <c r="J1302" s="33"/>
      <c r="K1302" s="44"/>
    </row>
    <row r="1303" spans="1:11" s="34" customFormat="1" ht="30">
      <c r="A1303" s="30"/>
      <c r="B1303" s="43" t="s">
        <v>2311</v>
      </c>
      <c r="C1303" s="45" t="s">
        <v>2312</v>
      </c>
      <c r="D1303" s="46" t="s">
        <v>10</v>
      </c>
      <c r="E1303" s="44">
        <v>1</v>
      </c>
      <c r="F1303" s="31">
        <f>TRUNC(7.81,2)</f>
        <v>7.81</v>
      </c>
      <c r="G1303" s="32">
        <f>TRUNC(E1303*F1303,2)</f>
        <v>7.81</v>
      </c>
      <c r="H1303" s="32"/>
      <c r="I1303" s="33"/>
      <c r="J1303" s="33"/>
      <c r="K1303" s="44"/>
    </row>
    <row r="1304" spans="1:11" s="34" customFormat="1" ht="15">
      <c r="A1304" s="30"/>
      <c r="B1304" s="43"/>
      <c r="C1304" s="45"/>
      <c r="D1304" s="46"/>
      <c r="E1304" s="44" t="s">
        <v>5</v>
      </c>
      <c r="F1304" s="31"/>
      <c r="G1304" s="32">
        <f>TRUNC(SUM(G1302:G1303),2)</f>
        <v>41.3</v>
      </c>
      <c r="H1304" s="32"/>
      <c r="I1304" s="33"/>
      <c r="J1304" s="33"/>
      <c r="K1304" s="44"/>
    </row>
    <row r="1305" spans="1:11" s="107" customFormat="1" ht="30">
      <c r="A1305" s="99" t="s">
        <v>1692</v>
      </c>
      <c r="B1305" s="100" t="s">
        <v>2333</v>
      </c>
      <c r="C1305" s="101" t="s">
        <v>1206</v>
      </c>
      <c r="D1305" s="102" t="s">
        <v>10</v>
      </c>
      <c r="E1305" s="103">
        <v>2</v>
      </c>
      <c r="F1305" s="104">
        <f>TRUNC(56.44,2)</f>
        <v>56.44</v>
      </c>
      <c r="G1305" s="105">
        <f>TRUNC(F1305*1.2247,2)</f>
        <v>69.12</v>
      </c>
      <c r="H1305" s="105">
        <f>TRUNC(F1305*E1305,2)</f>
        <v>112.88</v>
      </c>
      <c r="I1305" s="106">
        <f>TRUNC(E1305*G1305,2)</f>
        <v>138.24</v>
      </c>
      <c r="J1305" s="106"/>
      <c r="K1305" s="103"/>
    </row>
    <row r="1306" spans="1:11" s="34" customFormat="1" ht="30">
      <c r="A1306" s="30"/>
      <c r="B1306" s="43" t="s">
        <v>2334</v>
      </c>
      <c r="C1306" s="45" t="s">
        <v>2335</v>
      </c>
      <c r="D1306" s="46" t="s">
        <v>10</v>
      </c>
      <c r="E1306" s="44">
        <v>1</v>
      </c>
      <c r="F1306" s="31">
        <f>TRUNC(48.63,2)</f>
        <v>48.63</v>
      </c>
      <c r="G1306" s="32">
        <f>TRUNC(E1306*F1306,2)</f>
        <v>48.63</v>
      </c>
      <c r="H1306" s="32"/>
      <c r="I1306" s="33"/>
      <c r="J1306" s="33"/>
      <c r="K1306" s="44"/>
    </row>
    <row r="1307" spans="1:11" s="34" customFormat="1" ht="30">
      <c r="A1307" s="30"/>
      <c r="B1307" s="43" t="s">
        <v>2311</v>
      </c>
      <c r="C1307" s="45" t="s">
        <v>2312</v>
      </c>
      <c r="D1307" s="46" t="s">
        <v>10</v>
      </c>
      <c r="E1307" s="44">
        <v>1</v>
      </c>
      <c r="F1307" s="31">
        <f>TRUNC(7.81,2)</f>
        <v>7.81</v>
      </c>
      <c r="G1307" s="32">
        <f>TRUNC(E1307*F1307,2)</f>
        <v>7.81</v>
      </c>
      <c r="H1307" s="32"/>
      <c r="I1307" s="33"/>
      <c r="J1307" s="33"/>
      <c r="K1307" s="44"/>
    </row>
    <row r="1308" spans="1:11" s="34" customFormat="1" ht="15">
      <c r="A1308" s="30"/>
      <c r="B1308" s="43"/>
      <c r="C1308" s="45"/>
      <c r="D1308" s="46"/>
      <c r="E1308" s="44" t="s">
        <v>5</v>
      </c>
      <c r="F1308" s="31"/>
      <c r="G1308" s="32">
        <f>TRUNC(SUM(G1306:G1307),2)</f>
        <v>56.44</v>
      </c>
      <c r="H1308" s="32"/>
      <c r="I1308" s="33"/>
      <c r="J1308" s="33"/>
      <c r="K1308" s="44"/>
    </row>
    <row r="1309" spans="1:11" s="107" customFormat="1" ht="30">
      <c r="A1309" s="99" t="s">
        <v>1693</v>
      </c>
      <c r="B1309" s="100" t="s">
        <v>2336</v>
      </c>
      <c r="C1309" s="101" t="s">
        <v>1210</v>
      </c>
      <c r="D1309" s="102" t="s">
        <v>10</v>
      </c>
      <c r="E1309" s="103">
        <v>10</v>
      </c>
      <c r="F1309" s="104">
        <f>TRUNC(32.5,2)</f>
        <v>32.5</v>
      </c>
      <c r="G1309" s="105">
        <f>TRUNC(F1309*1.2247,2)</f>
        <v>39.8</v>
      </c>
      <c r="H1309" s="105">
        <f>TRUNC(F1309*E1309,2)</f>
        <v>325</v>
      </c>
      <c r="I1309" s="106">
        <f>TRUNC(E1309*G1309,2)</f>
        <v>398</v>
      </c>
      <c r="J1309" s="106"/>
      <c r="K1309" s="103"/>
    </row>
    <row r="1310" spans="1:11" s="34" customFormat="1" ht="30">
      <c r="A1310" s="30"/>
      <c r="B1310" s="43" t="s">
        <v>2337</v>
      </c>
      <c r="C1310" s="45" t="s">
        <v>2338</v>
      </c>
      <c r="D1310" s="46" t="s">
        <v>10</v>
      </c>
      <c r="E1310" s="44">
        <v>1</v>
      </c>
      <c r="F1310" s="31">
        <f>TRUNC(24.69,2)</f>
        <v>24.69</v>
      </c>
      <c r="G1310" s="32">
        <f>TRUNC(E1310*F1310,2)</f>
        <v>24.69</v>
      </c>
      <c r="H1310" s="32"/>
      <c r="I1310" s="33"/>
      <c r="J1310" s="33"/>
      <c r="K1310" s="44"/>
    </row>
    <row r="1311" spans="1:11" s="34" customFormat="1" ht="30">
      <c r="A1311" s="30"/>
      <c r="B1311" s="43" t="s">
        <v>2311</v>
      </c>
      <c r="C1311" s="45" t="s">
        <v>2312</v>
      </c>
      <c r="D1311" s="46" t="s">
        <v>10</v>
      </c>
      <c r="E1311" s="44">
        <v>1</v>
      </c>
      <c r="F1311" s="31">
        <f>TRUNC(7.81,2)</f>
        <v>7.81</v>
      </c>
      <c r="G1311" s="32">
        <f>TRUNC(E1311*F1311,2)</f>
        <v>7.81</v>
      </c>
      <c r="H1311" s="32"/>
      <c r="I1311" s="33"/>
      <c r="J1311" s="33"/>
      <c r="K1311" s="44"/>
    </row>
    <row r="1312" spans="1:11" s="34" customFormat="1" ht="15">
      <c r="A1312" s="30"/>
      <c r="B1312" s="43"/>
      <c r="C1312" s="45"/>
      <c r="D1312" s="46"/>
      <c r="E1312" s="44" t="s">
        <v>5</v>
      </c>
      <c r="F1312" s="31"/>
      <c r="G1312" s="32">
        <f>TRUNC(SUM(G1310:G1311),2)</f>
        <v>32.5</v>
      </c>
      <c r="H1312" s="32"/>
      <c r="I1312" s="33"/>
      <c r="J1312" s="33"/>
      <c r="K1312" s="44"/>
    </row>
    <row r="1313" spans="1:11" s="107" customFormat="1" ht="60">
      <c r="A1313" s="99" t="s">
        <v>1694</v>
      </c>
      <c r="B1313" s="100" t="s">
        <v>2339</v>
      </c>
      <c r="C1313" s="101" t="s">
        <v>517</v>
      </c>
      <c r="D1313" s="102" t="s">
        <v>10</v>
      </c>
      <c r="E1313" s="103">
        <v>57</v>
      </c>
      <c r="F1313" s="104">
        <f>TRUNC(134.686683,2)</f>
        <v>134.68</v>
      </c>
      <c r="G1313" s="105">
        <f>TRUNC(F1313*1.2247,2)</f>
        <v>164.94</v>
      </c>
      <c r="H1313" s="105">
        <f>TRUNC(F1313*E1313,2)</f>
        <v>7676.76</v>
      </c>
      <c r="I1313" s="106">
        <f>TRUNC(E1313*G1313,2)</f>
        <v>9401.58</v>
      </c>
      <c r="J1313" s="106"/>
      <c r="K1313" s="103"/>
    </row>
    <row r="1314" spans="1:11" s="34" customFormat="1" ht="30">
      <c r="A1314" s="30"/>
      <c r="B1314" s="43" t="s">
        <v>518</v>
      </c>
      <c r="C1314" s="45" t="s">
        <v>519</v>
      </c>
      <c r="D1314" s="46" t="s">
        <v>10</v>
      </c>
      <c r="E1314" s="44">
        <v>1</v>
      </c>
      <c r="F1314" s="31">
        <f>TRUNC(18.53,2)</f>
        <v>18.53</v>
      </c>
      <c r="G1314" s="32">
        <f aca="true" t="shared" si="50" ref="G1314:G1320">TRUNC(E1314*F1314,2)</f>
        <v>18.53</v>
      </c>
      <c r="H1314" s="32"/>
      <c r="I1314" s="33"/>
      <c r="J1314" s="33"/>
      <c r="K1314" s="44"/>
    </row>
    <row r="1315" spans="1:11" s="34" customFormat="1" ht="15">
      <c r="A1315" s="30"/>
      <c r="B1315" s="43" t="s">
        <v>520</v>
      </c>
      <c r="C1315" s="45" t="s">
        <v>521</v>
      </c>
      <c r="D1315" s="46" t="s">
        <v>10</v>
      </c>
      <c r="E1315" s="44">
        <v>2</v>
      </c>
      <c r="F1315" s="31">
        <f>TRUNC(16.98,2)</f>
        <v>16.98</v>
      </c>
      <c r="G1315" s="32">
        <f t="shared" si="50"/>
        <v>33.96</v>
      </c>
      <c r="H1315" s="32"/>
      <c r="I1315" s="33"/>
      <c r="J1315" s="33"/>
      <c r="K1315" s="44"/>
    </row>
    <row r="1316" spans="1:11" s="34" customFormat="1" ht="30">
      <c r="A1316" s="30"/>
      <c r="B1316" s="43" t="s">
        <v>522</v>
      </c>
      <c r="C1316" s="45" t="s">
        <v>523</v>
      </c>
      <c r="D1316" s="46" t="s">
        <v>10</v>
      </c>
      <c r="E1316" s="44">
        <v>1</v>
      </c>
      <c r="F1316" s="31">
        <f>TRUNC(24.72,2)</f>
        <v>24.72</v>
      </c>
      <c r="G1316" s="32">
        <f t="shared" si="50"/>
        <v>24.72</v>
      </c>
      <c r="H1316" s="32"/>
      <c r="I1316" s="33"/>
      <c r="J1316" s="33"/>
      <c r="K1316" s="44"/>
    </row>
    <row r="1317" spans="1:11" s="34" customFormat="1" ht="15">
      <c r="A1317" s="30"/>
      <c r="B1317" s="43" t="s">
        <v>524</v>
      </c>
      <c r="C1317" s="45" t="s">
        <v>525</v>
      </c>
      <c r="D1317" s="46" t="s">
        <v>10</v>
      </c>
      <c r="E1317" s="44">
        <v>1</v>
      </c>
      <c r="F1317" s="31">
        <f>TRUNC(2.2,2)</f>
        <v>2.2</v>
      </c>
      <c r="G1317" s="32">
        <f t="shared" si="50"/>
        <v>2.2</v>
      </c>
      <c r="H1317" s="32"/>
      <c r="I1317" s="33"/>
      <c r="J1317" s="33"/>
      <c r="K1317" s="44"/>
    </row>
    <row r="1318" spans="1:11" s="34" customFormat="1" ht="15">
      <c r="A1318" s="30"/>
      <c r="B1318" s="43" t="s">
        <v>526</v>
      </c>
      <c r="C1318" s="45" t="s">
        <v>527</v>
      </c>
      <c r="D1318" s="46" t="s">
        <v>10</v>
      </c>
      <c r="E1318" s="44">
        <v>4</v>
      </c>
      <c r="F1318" s="31">
        <f>TRUNC(1.54,2)</f>
        <v>1.54</v>
      </c>
      <c r="G1318" s="32">
        <f t="shared" si="50"/>
        <v>6.16</v>
      </c>
      <c r="H1318" s="32"/>
      <c r="I1318" s="33"/>
      <c r="J1318" s="33"/>
      <c r="K1318" s="44"/>
    </row>
    <row r="1319" spans="1:11" s="34" customFormat="1" ht="30">
      <c r="A1319" s="30"/>
      <c r="B1319" s="43" t="s">
        <v>33</v>
      </c>
      <c r="C1319" s="45" t="s">
        <v>34</v>
      </c>
      <c r="D1319" s="46" t="s">
        <v>4</v>
      </c>
      <c r="E1319" s="44">
        <v>1.2463</v>
      </c>
      <c r="F1319" s="31">
        <f>TRUNC(16.55,2)</f>
        <v>16.55</v>
      </c>
      <c r="G1319" s="32">
        <f t="shared" si="50"/>
        <v>20.62</v>
      </c>
      <c r="H1319" s="32"/>
      <c r="I1319" s="33"/>
      <c r="J1319" s="33"/>
      <c r="K1319" s="44"/>
    </row>
    <row r="1320" spans="1:11" s="34" customFormat="1" ht="30">
      <c r="A1320" s="30"/>
      <c r="B1320" s="43" t="s">
        <v>1752</v>
      </c>
      <c r="C1320" s="45" t="s">
        <v>1753</v>
      </c>
      <c r="D1320" s="46" t="s">
        <v>4</v>
      </c>
      <c r="E1320" s="44">
        <v>1.2463</v>
      </c>
      <c r="F1320" s="31">
        <f>TRUNC(22.86,2)</f>
        <v>22.86</v>
      </c>
      <c r="G1320" s="32">
        <f t="shared" si="50"/>
        <v>28.49</v>
      </c>
      <c r="H1320" s="32"/>
      <c r="I1320" s="33"/>
      <c r="J1320" s="33"/>
      <c r="K1320" s="44"/>
    </row>
    <row r="1321" spans="1:11" s="34" customFormat="1" ht="15">
      <c r="A1321" s="30"/>
      <c r="B1321" s="43"/>
      <c r="C1321" s="45"/>
      <c r="D1321" s="46"/>
      <c r="E1321" s="44" t="s">
        <v>5</v>
      </c>
      <c r="F1321" s="31"/>
      <c r="G1321" s="32">
        <f>TRUNC(SUM(G1314:G1320),2)</f>
        <v>134.68</v>
      </c>
      <c r="H1321" s="32"/>
      <c r="I1321" s="33"/>
      <c r="J1321" s="33"/>
      <c r="K1321" s="44"/>
    </row>
    <row r="1322" spans="1:11" s="107" customFormat="1" ht="60">
      <c r="A1322" s="99" t="s">
        <v>1695</v>
      </c>
      <c r="B1322" s="100" t="s">
        <v>2340</v>
      </c>
      <c r="C1322" s="101" t="s">
        <v>529</v>
      </c>
      <c r="D1322" s="102" t="s">
        <v>10</v>
      </c>
      <c r="E1322" s="103">
        <v>13</v>
      </c>
      <c r="F1322" s="104">
        <f>TRUNC(135.006683,2)</f>
        <v>135</v>
      </c>
      <c r="G1322" s="105">
        <f>TRUNC(F1322*1.2247,2)</f>
        <v>165.33</v>
      </c>
      <c r="H1322" s="105">
        <f>TRUNC(F1322*E1322,2)</f>
        <v>1755</v>
      </c>
      <c r="I1322" s="106">
        <f>TRUNC(E1322*G1322,2)</f>
        <v>2149.29</v>
      </c>
      <c r="J1322" s="106"/>
      <c r="K1322" s="103"/>
    </row>
    <row r="1323" spans="1:11" s="34" customFormat="1" ht="30">
      <c r="A1323" s="30"/>
      <c r="B1323" s="43" t="s">
        <v>530</v>
      </c>
      <c r="C1323" s="45" t="s">
        <v>531</v>
      </c>
      <c r="D1323" s="46" t="s">
        <v>10</v>
      </c>
      <c r="E1323" s="44">
        <v>1</v>
      </c>
      <c r="F1323" s="31">
        <f>TRUNC(9.89,2)</f>
        <v>9.89</v>
      </c>
      <c r="G1323" s="32">
        <f aca="true" t="shared" si="51" ref="G1323:G1329">TRUNC(E1323*F1323,2)</f>
        <v>9.89</v>
      </c>
      <c r="H1323" s="32"/>
      <c r="I1323" s="33"/>
      <c r="J1323" s="33"/>
      <c r="K1323" s="44"/>
    </row>
    <row r="1324" spans="1:11" s="34" customFormat="1" ht="30">
      <c r="A1324" s="30"/>
      <c r="B1324" s="43" t="s">
        <v>532</v>
      </c>
      <c r="C1324" s="45" t="s">
        <v>533</v>
      </c>
      <c r="D1324" s="46" t="s">
        <v>10</v>
      </c>
      <c r="E1324" s="44">
        <v>1</v>
      </c>
      <c r="F1324" s="31">
        <f>TRUNC(48.72,2)</f>
        <v>48.72</v>
      </c>
      <c r="G1324" s="32">
        <f t="shared" si="51"/>
        <v>48.72</v>
      </c>
      <c r="H1324" s="32"/>
      <c r="I1324" s="33"/>
      <c r="J1324" s="33"/>
      <c r="K1324" s="44"/>
    </row>
    <row r="1325" spans="1:11" s="34" customFormat="1" ht="15">
      <c r="A1325" s="30"/>
      <c r="B1325" s="43" t="s">
        <v>534</v>
      </c>
      <c r="C1325" s="45" t="s">
        <v>535</v>
      </c>
      <c r="D1325" s="46" t="s">
        <v>10</v>
      </c>
      <c r="E1325" s="44">
        <v>2</v>
      </c>
      <c r="F1325" s="31">
        <f>TRUNC(9.46,2)</f>
        <v>9.46</v>
      </c>
      <c r="G1325" s="32">
        <f t="shared" si="51"/>
        <v>18.92</v>
      </c>
      <c r="H1325" s="32"/>
      <c r="I1325" s="33"/>
      <c r="J1325" s="33"/>
      <c r="K1325" s="44"/>
    </row>
    <row r="1326" spans="1:11" s="34" customFormat="1" ht="15">
      <c r="A1326" s="30"/>
      <c r="B1326" s="43" t="s">
        <v>524</v>
      </c>
      <c r="C1326" s="45" t="s">
        <v>525</v>
      </c>
      <c r="D1326" s="46" t="s">
        <v>10</v>
      </c>
      <c r="E1326" s="44">
        <v>1</v>
      </c>
      <c r="F1326" s="31">
        <f>TRUNC(2.2,2)</f>
        <v>2.2</v>
      </c>
      <c r="G1326" s="32">
        <f t="shared" si="51"/>
        <v>2.2</v>
      </c>
      <c r="H1326" s="32"/>
      <c r="I1326" s="33"/>
      <c r="J1326" s="33"/>
      <c r="K1326" s="44"/>
    </row>
    <row r="1327" spans="1:11" s="34" customFormat="1" ht="15">
      <c r="A1327" s="30"/>
      <c r="B1327" s="43" t="s">
        <v>526</v>
      </c>
      <c r="C1327" s="45" t="s">
        <v>527</v>
      </c>
      <c r="D1327" s="46" t="s">
        <v>10</v>
      </c>
      <c r="E1327" s="44">
        <v>4</v>
      </c>
      <c r="F1327" s="31">
        <f>TRUNC(1.54,2)</f>
        <v>1.54</v>
      </c>
      <c r="G1327" s="32">
        <f t="shared" si="51"/>
        <v>6.16</v>
      </c>
      <c r="H1327" s="32"/>
      <c r="I1327" s="33"/>
      <c r="J1327" s="33"/>
      <c r="K1327" s="44"/>
    </row>
    <row r="1328" spans="1:11" s="34" customFormat="1" ht="30">
      <c r="A1328" s="30"/>
      <c r="B1328" s="43" t="s">
        <v>33</v>
      </c>
      <c r="C1328" s="45" t="s">
        <v>34</v>
      </c>
      <c r="D1328" s="46" t="s">
        <v>4</v>
      </c>
      <c r="E1328" s="44">
        <v>1.2463</v>
      </c>
      <c r="F1328" s="31">
        <f>TRUNC(16.55,2)</f>
        <v>16.55</v>
      </c>
      <c r="G1328" s="32">
        <f t="shared" si="51"/>
        <v>20.62</v>
      </c>
      <c r="H1328" s="32"/>
      <c r="I1328" s="33"/>
      <c r="J1328" s="33"/>
      <c r="K1328" s="44"/>
    </row>
    <row r="1329" spans="1:11" s="34" customFormat="1" ht="30">
      <c r="A1329" s="30"/>
      <c r="B1329" s="43" t="s">
        <v>1752</v>
      </c>
      <c r="C1329" s="45" t="s">
        <v>1753</v>
      </c>
      <c r="D1329" s="46" t="s">
        <v>4</v>
      </c>
      <c r="E1329" s="44">
        <v>1.2463</v>
      </c>
      <c r="F1329" s="31">
        <f>TRUNC(22.86,2)</f>
        <v>22.86</v>
      </c>
      <c r="G1329" s="32">
        <f t="shared" si="51"/>
        <v>28.49</v>
      </c>
      <c r="H1329" s="32"/>
      <c r="I1329" s="33"/>
      <c r="J1329" s="33"/>
      <c r="K1329" s="44"/>
    </row>
    <row r="1330" spans="1:11" s="34" customFormat="1" ht="15">
      <c r="A1330" s="30"/>
      <c r="B1330" s="43"/>
      <c r="C1330" s="45"/>
      <c r="D1330" s="46"/>
      <c r="E1330" s="44" t="s">
        <v>5</v>
      </c>
      <c r="F1330" s="31"/>
      <c r="G1330" s="32">
        <f>TRUNC(SUM(G1323:G1329),2)</f>
        <v>135</v>
      </c>
      <c r="H1330" s="32"/>
      <c r="I1330" s="33"/>
      <c r="J1330" s="33"/>
      <c r="K1330" s="44"/>
    </row>
    <row r="1331" spans="1:11" s="107" customFormat="1" ht="45">
      <c r="A1331" s="99" t="s">
        <v>1696</v>
      </c>
      <c r="B1331" s="100" t="s">
        <v>2341</v>
      </c>
      <c r="C1331" s="101" t="s">
        <v>1221</v>
      </c>
      <c r="D1331" s="102" t="s">
        <v>10</v>
      </c>
      <c r="E1331" s="103">
        <v>17</v>
      </c>
      <c r="F1331" s="104">
        <f>TRUNC(G1336,2)</f>
        <v>211.58</v>
      </c>
      <c r="G1331" s="105">
        <f>TRUNC(F1331*1.2247,2)</f>
        <v>259.12</v>
      </c>
      <c r="H1331" s="105">
        <f>TRUNC(F1331*E1331,2)</f>
        <v>3596.86</v>
      </c>
      <c r="I1331" s="106">
        <f>TRUNC(E1331*G1331,2)</f>
        <v>4405.04</v>
      </c>
      <c r="J1331" s="106" t="s">
        <v>5</v>
      </c>
      <c r="K1331" s="103"/>
    </row>
    <row r="1332" spans="1:10" s="34" customFormat="1" ht="15">
      <c r="A1332" s="60"/>
      <c r="B1332" s="43" t="s">
        <v>1222</v>
      </c>
      <c r="C1332" s="45" t="s">
        <v>1223</v>
      </c>
      <c r="D1332" s="46" t="s">
        <v>10</v>
      </c>
      <c r="E1332" s="44">
        <v>0</v>
      </c>
      <c r="F1332" s="32">
        <f>TRUNC(12.15,2)</f>
        <v>12.15</v>
      </c>
      <c r="G1332" s="32">
        <f>TRUNC(E1332*F1332,2)</f>
        <v>0</v>
      </c>
      <c r="H1332" s="32"/>
      <c r="I1332" s="33"/>
      <c r="J1332" s="47">
        <v>3</v>
      </c>
    </row>
    <row r="1333" spans="1:10" s="58" customFormat="1" ht="28.5">
      <c r="A1333" s="61"/>
      <c r="B1333" s="52" t="s">
        <v>827</v>
      </c>
      <c r="C1333" s="62" t="s">
        <v>1224</v>
      </c>
      <c r="D1333" s="63" t="s">
        <v>10</v>
      </c>
      <c r="E1333" s="64">
        <v>1</v>
      </c>
      <c r="F1333" s="50">
        <f>G1340</f>
        <v>171</v>
      </c>
      <c r="G1333" s="50">
        <f>TRUNC(E1333*F1333,2)</f>
        <v>171</v>
      </c>
      <c r="H1333" s="50"/>
      <c r="I1333" s="51"/>
      <c r="J1333" s="44">
        <v>0</v>
      </c>
    </row>
    <row r="1334" spans="1:10" s="34" customFormat="1" ht="30">
      <c r="A1334" s="60"/>
      <c r="B1334" s="43" t="s">
        <v>33</v>
      </c>
      <c r="C1334" s="45" t="s">
        <v>34</v>
      </c>
      <c r="D1334" s="46" t="s">
        <v>4</v>
      </c>
      <c r="E1334" s="44">
        <v>1.03</v>
      </c>
      <c r="F1334" s="32">
        <v>16.55</v>
      </c>
      <c r="G1334" s="32">
        <f>TRUNC(E1334*F1334,2)</f>
        <v>17.04</v>
      </c>
      <c r="H1334" s="32"/>
      <c r="I1334" s="33"/>
      <c r="J1334" s="64">
        <v>1</v>
      </c>
    </row>
    <row r="1335" spans="1:10" s="34" customFormat="1" ht="30">
      <c r="A1335" s="60"/>
      <c r="B1335" s="43" t="s">
        <v>1752</v>
      </c>
      <c r="C1335" s="45" t="s">
        <v>1753</v>
      </c>
      <c r="D1335" s="46" t="s">
        <v>4</v>
      </c>
      <c r="E1335" s="44">
        <v>1.03</v>
      </c>
      <c r="F1335" s="32">
        <v>22.86</v>
      </c>
      <c r="G1335" s="32">
        <f>TRUNC(E1335*F1335,2)</f>
        <v>23.54</v>
      </c>
      <c r="H1335" s="32"/>
      <c r="I1335" s="33"/>
      <c r="J1335" s="44">
        <v>1.03</v>
      </c>
    </row>
    <row r="1336" spans="1:10" s="34" customFormat="1" ht="15">
      <c r="A1336" s="60"/>
      <c r="B1336" s="43"/>
      <c r="C1336" s="45"/>
      <c r="D1336" s="46"/>
      <c r="E1336" s="44" t="s">
        <v>5</v>
      </c>
      <c r="F1336" s="32"/>
      <c r="G1336" s="32">
        <f>TRUNC(SUM(G1332:G1335),2)</f>
        <v>211.58</v>
      </c>
      <c r="H1336" s="32"/>
      <c r="I1336" s="33"/>
      <c r="J1336" s="44">
        <v>1.03</v>
      </c>
    </row>
    <row r="1337" spans="1:10" s="34" customFormat="1" ht="30">
      <c r="A1337" s="60"/>
      <c r="B1337" s="52" t="s">
        <v>827</v>
      </c>
      <c r="C1337" s="45" t="s">
        <v>1225</v>
      </c>
      <c r="D1337" s="46" t="s">
        <v>10</v>
      </c>
      <c r="E1337" s="44">
        <v>1</v>
      </c>
      <c r="F1337" s="32">
        <v>150.1</v>
      </c>
      <c r="G1337" s="32">
        <f>TRUNC(E1337*F1337,2)</f>
        <v>150.1</v>
      </c>
      <c r="H1337" s="32"/>
      <c r="I1337" s="33"/>
      <c r="J1337" s="44" t="s">
        <v>5</v>
      </c>
    </row>
    <row r="1338" spans="1:10" s="34" customFormat="1" ht="30">
      <c r="A1338" s="60"/>
      <c r="B1338" s="52" t="s">
        <v>827</v>
      </c>
      <c r="C1338" s="45" t="s">
        <v>1226</v>
      </c>
      <c r="D1338" s="46" t="s">
        <v>10</v>
      </c>
      <c r="E1338" s="44">
        <v>1</v>
      </c>
      <c r="F1338" s="32">
        <v>185.9</v>
      </c>
      <c r="G1338" s="32">
        <f>TRUNC(E1338*F1338,2)</f>
        <v>185.9</v>
      </c>
      <c r="H1338" s="32"/>
      <c r="I1338" s="33"/>
      <c r="J1338" s="44">
        <v>1</v>
      </c>
    </row>
    <row r="1339" spans="1:10" s="34" customFormat="1" ht="30">
      <c r="A1339" s="60"/>
      <c r="B1339" s="52" t="s">
        <v>827</v>
      </c>
      <c r="C1339" s="45" t="s">
        <v>1227</v>
      </c>
      <c r="D1339" s="46" t="s">
        <v>10</v>
      </c>
      <c r="E1339" s="44">
        <v>1</v>
      </c>
      <c r="F1339" s="32">
        <v>171</v>
      </c>
      <c r="G1339" s="32">
        <f>TRUNC(E1339*F1339,2)</f>
        <v>171</v>
      </c>
      <c r="H1339" s="32"/>
      <c r="I1339" s="33"/>
      <c r="J1339" s="44">
        <v>1</v>
      </c>
    </row>
    <row r="1340" spans="1:10" s="34" customFormat="1" ht="15">
      <c r="A1340" s="60"/>
      <c r="B1340" s="43"/>
      <c r="C1340" s="45"/>
      <c r="D1340" s="46"/>
      <c r="E1340" s="44"/>
      <c r="F1340" s="32" t="s">
        <v>1228</v>
      </c>
      <c r="G1340" s="32">
        <f>G1339</f>
        <v>171</v>
      </c>
      <c r="H1340" s="32"/>
      <c r="I1340" s="33"/>
      <c r="J1340" s="44">
        <v>1</v>
      </c>
    </row>
    <row r="1341" spans="1:11" s="107" customFormat="1" ht="75">
      <c r="A1341" s="99" t="s">
        <v>1697</v>
      </c>
      <c r="B1341" s="100" t="s">
        <v>2342</v>
      </c>
      <c r="C1341" s="101" t="s">
        <v>1230</v>
      </c>
      <c r="D1341" s="102" t="s">
        <v>10</v>
      </c>
      <c r="E1341" s="103">
        <v>4</v>
      </c>
      <c r="F1341" s="104">
        <f>TRUNC(219.871145,2)</f>
        <v>219.87</v>
      </c>
      <c r="G1341" s="105">
        <f>TRUNC(F1341*1.2247,2)</f>
        <v>269.27</v>
      </c>
      <c r="H1341" s="105">
        <f>TRUNC(F1341*E1341,2)</f>
        <v>879.48</v>
      </c>
      <c r="I1341" s="106">
        <f>TRUNC(E1341*G1341,2)</f>
        <v>1077.08</v>
      </c>
      <c r="J1341" s="106"/>
      <c r="K1341" s="103"/>
    </row>
    <row r="1342" spans="1:11" s="34" customFormat="1" ht="30">
      <c r="A1342" s="30"/>
      <c r="B1342" s="43" t="s">
        <v>1231</v>
      </c>
      <c r="C1342" s="45" t="s">
        <v>1232</v>
      </c>
      <c r="D1342" s="46" t="s">
        <v>10</v>
      </c>
      <c r="E1342" s="44">
        <v>1</v>
      </c>
      <c r="F1342" s="31">
        <f>TRUNC(114.51,2)</f>
        <v>114.51</v>
      </c>
      <c r="G1342" s="32">
        <f>TRUNC(E1342*F1342,2)</f>
        <v>114.51</v>
      </c>
      <c r="H1342" s="32"/>
      <c r="I1342" s="33"/>
      <c r="J1342" s="33"/>
      <c r="K1342" s="44"/>
    </row>
    <row r="1343" spans="1:11" s="34" customFormat="1" ht="15">
      <c r="A1343" s="30"/>
      <c r="B1343" s="43" t="s">
        <v>520</v>
      </c>
      <c r="C1343" s="45" t="s">
        <v>521</v>
      </c>
      <c r="D1343" s="46" t="s">
        <v>10</v>
      </c>
      <c r="E1343" s="44">
        <v>2</v>
      </c>
      <c r="F1343" s="31">
        <f>TRUNC(16.98,2)</f>
        <v>16.98</v>
      </c>
      <c r="G1343" s="32">
        <f>TRUNC(E1343*F1343,2)</f>
        <v>33.96</v>
      </c>
      <c r="H1343" s="32"/>
      <c r="I1343" s="33"/>
      <c r="J1343" s="33"/>
      <c r="K1343" s="44"/>
    </row>
    <row r="1344" spans="1:11" s="34" customFormat="1" ht="30">
      <c r="A1344" s="30"/>
      <c r="B1344" s="43" t="s">
        <v>522</v>
      </c>
      <c r="C1344" s="45" t="s">
        <v>523</v>
      </c>
      <c r="D1344" s="46" t="s">
        <v>10</v>
      </c>
      <c r="E1344" s="44">
        <v>1</v>
      </c>
      <c r="F1344" s="31">
        <f>TRUNC(24.72,2)</f>
        <v>24.72</v>
      </c>
      <c r="G1344" s="32">
        <f>TRUNC(E1344*F1344,2)</f>
        <v>24.72</v>
      </c>
      <c r="H1344" s="32"/>
      <c r="I1344" s="33"/>
      <c r="J1344" s="33"/>
      <c r="K1344" s="44"/>
    </row>
    <row r="1345" spans="1:11" s="34" customFormat="1" ht="30">
      <c r="A1345" s="30"/>
      <c r="B1345" s="43" t="s">
        <v>33</v>
      </c>
      <c r="C1345" s="45" t="s">
        <v>34</v>
      </c>
      <c r="D1345" s="46" t="s">
        <v>4</v>
      </c>
      <c r="E1345" s="44">
        <v>1.1844999999999999</v>
      </c>
      <c r="F1345" s="31">
        <f>TRUNC(16.55,2)</f>
        <v>16.55</v>
      </c>
      <c r="G1345" s="32">
        <f>TRUNC(E1345*F1345,2)</f>
        <v>19.6</v>
      </c>
      <c r="H1345" s="32"/>
      <c r="I1345" s="33"/>
      <c r="J1345" s="33"/>
      <c r="K1345" s="44"/>
    </row>
    <row r="1346" spans="1:11" s="34" customFormat="1" ht="30">
      <c r="A1346" s="30"/>
      <c r="B1346" s="43" t="s">
        <v>1752</v>
      </c>
      <c r="C1346" s="45" t="s">
        <v>1753</v>
      </c>
      <c r="D1346" s="46" t="s">
        <v>4</v>
      </c>
      <c r="E1346" s="44">
        <v>1.1844999999999999</v>
      </c>
      <c r="F1346" s="31">
        <f>TRUNC(22.86,2)</f>
        <v>22.86</v>
      </c>
      <c r="G1346" s="32">
        <f>TRUNC(E1346*F1346,2)</f>
        <v>27.07</v>
      </c>
      <c r="H1346" s="32"/>
      <c r="I1346" s="33"/>
      <c r="J1346" s="33"/>
      <c r="K1346" s="44"/>
    </row>
    <row r="1347" spans="1:11" s="34" customFormat="1" ht="15">
      <c r="A1347" s="30"/>
      <c r="B1347" s="43"/>
      <c r="C1347" s="45"/>
      <c r="D1347" s="46"/>
      <c r="E1347" s="44" t="s">
        <v>5</v>
      </c>
      <c r="F1347" s="31"/>
      <c r="G1347" s="32">
        <f>TRUNC(SUM(G1342:G1346),2)</f>
        <v>219.86</v>
      </c>
      <c r="H1347" s="32"/>
      <c r="I1347" s="33"/>
      <c r="J1347" s="33"/>
      <c r="K1347" s="44"/>
    </row>
    <row r="1348" spans="1:11" s="107" customFormat="1" ht="45">
      <c r="A1348" s="99" t="s">
        <v>1698</v>
      </c>
      <c r="B1348" s="100" t="s">
        <v>2343</v>
      </c>
      <c r="C1348" s="101" t="s">
        <v>1233</v>
      </c>
      <c r="D1348" s="102" t="s">
        <v>10</v>
      </c>
      <c r="E1348" s="103">
        <v>21</v>
      </c>
      <c r="F1348" s="104">
        <f>TRUNC(G1353,2)</f>
        <v>79.53</v>
      </c>
      <c r="G1348" s="105">
        <f>TRUNC(F1348*1.2247,2)</f>
        <v>97.4</v>
      </c>
      <c r="H1348" s="105">
        <f>TRUNC(F1348*E1348,2)</f>
        <v>1670.13</v>
      </c>
      <c r="I1348" s="106">
        <f>TRUNC(E1348*G1348,2)</f>
        <v>2045.4</v>
      </c>
      <c r="J1348" s="106"/>
      <c r="K1348" s="103"/>
    </row>
    <row r="1349" spans="1:11" s="58" customFormat="1" ht="15">
      <c r="A1349" s="54"/>
      <c r="B1349" s="52" t="s">
        <v>1236</v>
      </c>
      <c r="C1349" s="55" t="s">
        <v>1237</v>
      </c>
      <c r="D1349" s="56" t="s">
        <v>10</v>
      </c>
      <c r="E1349" s="57">
        <v>1</v>
      </c>
      <c r="F1349" s="53">
        <v>16.27</v>
      </c>
      <c r="G1349" s="50">
        <f>TRUNC(E1349*F1349,2)</f>
        <v>16.27</v>
      </c>
      <c r="H1349" s="50"/>
      <c r="I1349" s="51"/>
      <c r="J1349" s="51"/>
      <c r="K1349" s="57"/>
    </row>
    <row r="1350" spans="1:11" s="34" customFormat="1" ht="30">
      <c r="A1350" s="30"/>
      <c r="B1350" s="43" t="s">
        <v>1234</v>
      </c>
      <c r="C1350" s="45" t="s">
        <v>1235</v>
      </c>
      <c r="D1350" s="46" t="s">
        <v>10</v>
      </c>
      <c r="E1350" s="44">
        <v>1</v>
      </c>
      <c r="F1350" s="31">
        <f>TRUNC(42.97,2)</f>
        <v>42.97</v>
      </c>
      <c r="G1350" s="32">
        <f>TRUNC(E1350*F1350,2)</f>
        <v>42.97</v>
      </c>
      <c r="H1350" s="32"/>
      <c r="I1350" s="33"/>
      <c r="J1350" s="33"/>
      <c r="K1350" s="44"/>
    </row>
    <row r="1351" spans="1:11" s="34" customFormat="1" ht="30">
      <c r="A1351" s="30"/>
      <c r="B1351" s="43" t="s">
        <v>33</v>
      </c>
      <c r="C1351" s="45" t="s">
        <v>34</v>
      </c>
      <c r="D1351" s="46" t="s">
        <v>4</v>
      </c>
      <c r="E1351" s="44">
        <v>0.515</v>
      </c>
      <c r="F1351" s="31">
        <f>TRUNC(16.55,2)</f>
        <v>16.55</v>
      </c>
      <c r="G1351" s="32">
        <f>TRUNC(E1351*F1351,2)</f>
        <v>8.52</v>
      </c>
      <c r="H1351" s="32"/>
      <c r="I1351" s="33"/>
      <c r="J1351" s="33"/>
      <c r="K1351" s="44"/>
    </row>
    <row r="1352" spans="1:11" s="34" customFormat="1" ht="30">
      <c r="A1352" s="30"/>
      <c r="B1352" s="43" t="s">
        <v>1752</v>
      </c>
      <c r="C1352" s="45" t="s">
        <v>1753</v>
      </c>
      <c r="D1352" s="46" t="s">
        <v>4</v>
      </c>
      <c r="E1352" s="44">
        <v>0.515</v>
      </c>
      <c r="F1352" s="31">
        <f>TRUNC(22.86,2)</f>
        <v>22.86</v>
      </c>
      <c r="G1352" s="32">
        <f>TRUNC(E1352*F1352,2)</f>
        <v>11.77</v>
      </c>
      <c r="H1352" s="32"/>
      <c r="I1352" s="33"/>
      <c r="J1352" s="33"/>
      <c r="K1352" s="44"/>
    </row>
    <row r="1353" spans="1:11" s="34" customFormat="1" ht="15">
      <c r="A1353" s="30"/>
      <c r="B1353" s="43"/>
      <c r="C1353" s="45"/>
      <c r="D1353" s="46"/>
      <c r="E1353" s="44" t="s">
        <v>5</v>
      </c>
      <c r="F1353" s="31"/>
      <c r="G1353" s="32">
        <f>TRUNC(SUM(G1349:G1352),2)</f>
        <v>79.53</v>
      </c>
      <c r="H1353" s="32"/>
      <c r="I1353" s="33"/>
      <c r="J1353" s="33"/>
      <c r="K1353" s="44"/>
    </row>
    <row r="1354" spans="1:11" s="107" customFormat="1" ht="30">
      <c r="A1354" s="99" t="s">
        <v>1699</v>
      </c>
      <c r="B1354" s="100" t="s">
        <v>1238</v>
      </c>
      <c r="C1354" s="101" t="s">
        <v>1239</v>
      </c>
      <c r="D1354" s="102" t="s">
        <v>10</v>
      </c>
      <c r="E1354" s="103">
        <v>113</v>
      </c>
      <c r="F1354" s="104">
        <f>TRUNC(G1360,2)</f>
        <v>57.64</v>
      </c>
      <c r="G1354" s="105">
        <f>TRUNC(F1354*1.2247,2)</f>
        <v>70.59</v>
      </c>
      <c r="H1354" s="105">
        <f>TRUNC(F1354*E1354,2)</f>
        <v>6513.32</v>
      </c>
      <c r="I1354" s="106">
        <f>TRUNC(E1354*G1354,2)</f>
        <v>7976.67</v>
      </c>
      <c r="J1354" s="106"/>
      <c r="K1354" s="103"/>
    </row>
    <row r="1355" spans="1:10" s="34" customFormat="1" ht="30">
      <c r="A1355" s="60"/>
      <c r="B1355" s="43" t="s">
        <v>1189</v>
      </c>
      <c r="C1355" s="45" t="s">
        <v>1190</v>
      </c>
      <c r="D1355" s="46" t="s">
        <v>10</v>
      </c>
      <c r="E1355" s="44">
        <v>0</v>
      </c>
      <c r="F1355" s="32">
        <f>TRUNC(3.39,2)</f>
        <v>3.39</v>
      </c>
      <c r="G1355" s="32">
        <f>TRUNC(E1355*F1355,2)</f>
        <v>0</v>
      </c>
      <c r="H1355" s="32"/>
      <c r="I1355" s="33"/>
      <c r="J1355" s="47">
        <v>13</v>
      </c>
    </row>
    <row r="1356" spans="1:10" s="58" customFormat="1" ht="15">
      <c r="A1356" s="61"/>
      <c r="B1356" s="52" t="s">
        <v>827</v>
      </c>
      <c r="C1356" s="55" t="s">
        <v>1240</v>
      </c>
      <c r="D1356" s="56" t="s">
        <v>10</v>
      </c>
      <c r="E1356" s="57">
        <v>1</v>
      </c>
      <c r="F1356" s="50">
        <f>G1364</f>
        <v>25.2</v>
      </c>
      <c r="G1356" s="50">
        <f>TRUNC(E1356*F1356,2)</f>
        <v>25.2</v>
      </c>
      <c r="H1356" s="50"/>
      <c r="I1356" s="51"/>
      <c r="J1356" s="44">
        <v>0</v>
      </c>
    </row>
    <row r="1357" spans="1:10" s="34" customFormat="1" ht="15">
      <c r="A1357" s="60"/>
      <c r="B1357" s="43" t="s">
        <v>2271</v>
      </c>
      <c r="C1357" s="45" t="s">
        <v>481</v>
      </c>
      <c r="D1357" s="46" t="s">
        <v>4</v>
      </c>
      <c r="E1357" s="44">
        <v>0.596</v>
      </c>
      <c r="F1357" s="32">
        <f>TRUNC(30.08,2)</f>
        <v>30.08</v>
      </c>
      <c r="G1357" s="32">
        <f>TRUNC(E1357*F1357,2)</f>
        <v>17.92</v>
      </c>
      <c r="H1357" s="32"/>
      <c r="I1357" s="33"/>
      <c r="J1357" s="57">
        <v>1</v>
      </c>
    </row>
    <row r="1358" spans="1:10" s="34" customFormat="1" ht="15">
      <c r="A1358" s="60"/>
      <c r="B1358" s="43" t="s">
        <v>2272</v>
      </c>
      <c r="C1358" s="45" t="s">
        <v>483</v>
      </c>
      <c r="D1358" s="46" t="s">
        <v>4</v>
      </c>
      <c r="E1358" s="44">
        <v>0.596</v>
      </c>
      <c r="F1358" s="32">
        <f>TRUNC(23.24,2)</f>
        <v>23.24</v>
      </c>
      <c r="G1358" s="32">
        <f>TRUNC(E1358*F1358,2)</f>
        <v>13.85</v>
      </c>
      <c r="H1358" s="32"/>
      <c r="I1358" s="33"/>
      <c r="J1358" s="44">
        <v>0.596</v>
      </c>
    </row>
    <row r="1359" spans="1:10" s="34" customFormat="1" ht="30">
      <c r="A1359" s="60"/>
      <c r="B1359" s="43" t="s">
        <v>2295</v>
      </c>
      <c r="C1359" s="45" t="s">
        <v>2344</v>
      </c>
      <c r="D1359" s="46" t="s">
        <v>1</v>
      </c>
      <c r="E1359" s="44">
        <v>0.0012</v>
      </c>
      <c r="F1359" s="32">
        <f>TRUNC(562.8816,2)</f>
        <v>562.88</v>
      </c>
      <c r="G1359" s="32">
        <f>TRUNC(E1359*F1359,2)</f>
        <v>0.67</v>
      </c>
      <c r="H1359" s="32"/>
      <c r="I1359" s="33"/>
      <c r="J1359" s="44">
        <v>0.596</v>
      </c>
    </row>
    <row r="1360" spans="1:10" s="34" customFormat="1" ht="15">
      <c r="A1360" s="60"/>
      <c r="B1360" s="43"/>
      <c r="C1360" s="45"/>
      <c r="D1360" s="46"/>
      <c r="E1360" s="44" t="s">
        <v>5</v>
      </c>
      <c r="F1360" s="32"/>
      <c r="G1360" s="32">
        <f>TRUNC(SUM(G1355:G1359),2)</f>
        <v>57.64</v>
      </c>
      <c r="H1360" s="32"/>
      <c r="I1360" s="33"/>
      <c r="J1360" s="44">
        <v>0.0012</v>
      </c>
    </row>
    <row r="1361" spans="1:10" s="34" customFormat="1" ht="30">
      <c r="A1361" s="60"/>
      <c r="B1361" s="52" t="s">
        <v>827</v>
      </c>
      <c r="C1361" s="45" t="s">
        <v>1241</v>
      </c>
      <c r="D1361" s="46" t="s">
        <v>10</v>
      </c>
      <c r="E1361" s="44">
        <v>1</v>
      </c>
      <c r="F1361" s="32">
        <v>21.4</v>
      </c>
      <c r="G1361" s="32">
        <f>TRUNC(E1361*F1361,2)</f>
        <v>21.4</v>
      </c>
      <c r="H1361" s="32"/>
      <c r="I1361" s="33"/>
      <c r="J1361" s="44" t="s">
        <v>5</v>
      </c>
    </row>
    <row r="1362" spans="1:10" s="34" customFormat="1" ht="30">
      <c r="A1362" s="60"/>
      <c r="B1362" s="52" t="s">
        <v>827</v>
      </c>
      <c r="C1362" s="45" t="s">
        <v>1242</v>
      </c>
      <c r="D1362" s="46" t="s">
        <v>10</v>
      </c>
      <c r="E1362" s="44">
        <v>1</v>
      </c>
      <c r="F1362" s="32">
        <v>61.76</v>
      </c>
      <c r="G1362" s="32">
        <f>TRUNC(E1362*F1362,2)</f>
        <v>61.76</v>
      </c>
      <c r="H1362" s="32"/>
      <c r="I1362" s="33"/>
      <c r="J1362" s="44">
        <v>1</v>
      </c>
    </row>
    <row r="1363" spans="1:10" s="34" customFormat="1" ht="30">
      <c r="A1363" s="60"/>
      <c r="B1363" s="52" t="s">
        <v>827</v>
      </c>
      <c r="C1363" s="45" t="s">
        <v>1243</v>
      </c>
      <c r="D1363" s="46" t="s">
        <v>10</v>
      </c>
      <c r="E1363" s="44">
        <v>1</v>
      </c>
      <c r="F1363" s="32">
        <v>25.2</v>
      </c>
      <c r="G1363" s="32">
        <f>TRUNC(E1363*F1363,2)</f>
        <v>25.2</v>
      </c>
      <c r="H1363" s="32"/>
      <c r="I1363" s="33"/>
      <c r="J1363" s="44">
        <v>1</v>
      </c>
    </row>
    <row r="1364" spans="1:10" s="34" customFormat="1" ht="15">
      <c r="A1364" s="60"/>
      <c r="B1364" s="43"/>
      <c r="C1364" s="45"/>
      <c r="D1364" s="46"/>
      <c r="E1364" s="44"/>
      <c r="F1364" s="32" t="s">
        <v>1228</v>
      </c>
      <c r="G1364" s="32">
        <f>G1363</f>
        <v>25.2</v>
      </c>
      <c r="H1364" s="32"/>
      <c r="I1364" s="33"/>
      <c r="J1364" s="44">
        <v>1</v>
      </c>
    </row>
    <row r="1365" spans="1:11" s="107" customFormat="1" ht="30">
      <c r="A1365" s="99" t="s">
        <v>1700</v>
      </c>
      <c r="B1365" s="100" t="s">
        <v>2345</v>
      </c>
      <c r="C1365" s="101" t="s">
        <v>1245</v>
      </c>
      <c r="D1365" s="102" t="s">
        <v>10</v>
      </c>
      <c r="E1365" s="103">
        <v>33</v>
      </c>
      <c r="F1365" s="104">
        <f>TRUNC(23.50916,2)</f>
        <v>23.5</v>
      </c>
      <c r="G1365" s="105">
        <f>TRUNC(F1365*1.2247,2)</f>
        <v>28.78</v>
      </c>
      <c r="H1365" s="105">
        <f>TRUNC(F1365*E1365,2)</f>
        <v>775.5</v>
      </c>
      <c r="I1365" s="106">
        <f>TRUNC(E1365*G1365,2)</f>
        <v>949.74</v>
      </c>
      <c r="J1365" s="106"/>
      <c r="K1365" s="103"/>
    </row>
    <row r="1366" spans="1:11" s="34" customFormat="1" ht="15">
      <c r="A1366" s="30"/>
      <c r="B1366" s="43" t="s">
        <v>1246</v>
      </c>
      <c r="C1366" s="45" t="s">
        <v>1247</v>
      </c>
      <c r="D1366" s="46" t="s">
        <v>10</v>
      </c>
      <c r="E1366" s="44">
        <v>1</v>
      </c>
      <c r="F1366" s="31">
        <f>TRUNC(18.8,2)</f>
        <v>18.8</v>
      </c>
      <c r="G1366" s="32">
        <f>TRUNC(E1366*F1366,2)</f>
        <v>18.8</v>
      </c>
      <c r="H1366" s="32"/>
      <c r="I1366" s="33"/>
      <c r="J1366" s="33"/>
      <c r="K1366" s="44"/>
    </row>
    <row r="1367" spans="1:11" s="34" customFormat="1" ht="30">
      <c r="A1367" s="30"/>
      <c r="B1367" s="43" t="s">
        <v>1752</v>
      </c>
      <c r="C1367" s="45" t="s">
        <v>1753</v>
      </c>
      <c r="D1367" s="46" t="s">
        <v>4</v>
      </c>
      <c r="E1367" s="44">
        <v>0.20600000000000002</v>
      </c>
      <c r="F1367" s="31">
        <f>TRUNC(22.86,2)</f>
        <v>22.86</v>
      </c>
      <c r="G1367" s="32">
        <f>TRUNC(E1367*F1367,2)</f>
        <v>4.7</v>
      </c>
      <c r="H1367" s="32"/>
      <c r="I1367" s="33"/>
      <c r="J1367" s="33"/>
      <c r="K1367" s="44"/>
    </row>
    <row r="1368" spans="1:11" s="34" customFormat="1" ht="15">
      <c r="A1368" s="30"/>
      <c r="B1368" s="43"/>
      <c r="C1368" s="45"/>
      <c r="D1368" s="46"/>
      <c r="E1368" s="44" t="s">
        <v>5</v>
      </c>
      <c r="F1368" s="31"/>
      <c r="G1368" s="32">
        <f>TRUNC(SUM(G1366:G1367),2)</f>
        <v>23.5</v>
      </c>
      <c r="H1368" s="32"/>
      <c r="I1368" s="33"/>
      <c r="J1368" s="33"/>
      <c r="K1368" s="44"/>
    </row>
    <row r="1369" spans="1:11" s="107" customFormat="1" ht="30">
      <c r="A1369" s="99" t="s">
        <v>1701</v>
      </c>
      <c r="B1369" s="100" t="s">
        <v>2346</v>
      </c>
      <c r="C1369" s="101" t="s">
        <v>1249</v>
      </c>
      <c r="D1369" s="102" t="s">
        <v>10</v>
      </c>
      <c r="E1369" s="103">
        <v>3</v>
      </c>
      <c r="F1369" s="104">
        <f>TRUNC(16.10916,2)</f>
        <v>16.1</v>
      </c>
      <c r="G1369" s="105">
        <f>TRUNC(F1369*1.2247,2)</f>
        <v>19.71</v>
      </c>
      <c r="H1369" s="105">
        <f>TRUNC(F1369*E1369,2)</f>
        <v>48.3</v>
      </c>
      <c r="I1369" s="106">
        <f>TRUNC(E1369*G1369,2)</f>
        <v>59.13</v>
      </c>
      <c r="J1369" s="106"/>
      <c r="K1369" s="103"/>
    </row>
    <row r="1370" spans="1:11" s="34" customFormat="1" ht="15">
      <c r="A1370" s="30"/>
      <c r="B1370" s="43" t="s">
        <v>1250</v>
      </c>
      <c r="C1370" s="45" t="s">
        <v>1251</v>
      </c>
      <c r="D1370" s="46" t="s">
        <v>10</v>
      </c>
      <c r="E1370" s="44">
        <v>1</v>
      </c>
      <c r="F1370" s="31">
        <f>TRUNC(11.4,2)</f>
        <v>11.4</v>
      </c>
      <c r="G1370" s="32">
        <f>TRUNC(E1370*F1370,2)</f>
        <v>11.4</v>
      </c>
      <c r="H1370" s="32"/>
      <c r="I1370" s="33"/>
      <c r="J1370" s="33"/>
      <c r="K1370" s="44"/>
    </row>
    <row r="1371" spans="1:11" s="34" customFormat="1" ht="30">
      <c r="A1371" s="30"/>
      <c r="B1371" s="43" t="s">
        <v>1752</v>
      </c>
      <c r="C1371" s="45" t="s">
        <v>1753</v>
      </c>
      <c r="D1371" s="46" t="s">
        <v>4</v>
      </c>
      <c r="E1371" s="44">
        <v>0.20600000000000002</v>
      </c>
      <c r="F1371" s="31">
        <f>TRUNC(22.86,2)</f>
        <v>22.86</v>
      </c>
      <c r="G1371" s="32">
        <f>TRUNC(E1371*F1371,2)</f>
        <v>4.7</v>
      </c>
      <c r="H1371" s="32"/>
      <c r="I1371" s="33"/>
      <c r="J1371" s="33"/>
      <c r="K1371" s="44"/>
    </row>
    <row r="1372" spans="1:11" s="34" customFormat="1" ht="15">
      <c r="A1372" s="30"/>
      <c r="B1372" s="43"/>
      <c r="C1372" s="45"/>
      <c r="D1372" s="46"/>
      <c r="E1372" s="44" t="s">
        <v>5</v>
      </c>
      <c r="F1372" s="31"/>
      <c r="G1372" s="32">
        <f>TRUNC(SUM(G1370:G1371),2)</f>
        <v>16.1</v>
      </c>
      <c r="H1372" s="32"/>
      <c r="I1372" s="33"/>
      <c r="J1372" s="33"/>
      <c r="K1372" s="44"/>
    </row>
    <row r="1373" spans="1:11" s="107" customFormat="1" ht="90">
      <c r="A1373" s="99" t="s">
        <v>1702</v>
      </c>
      <c r="B1373" s="100" t="s">
        <v>2347</v>
      </c>
      <c r="C1373" s="101" t="s">
        <v>1253</v>
      </c>
      <c r="D1373" s="102" t="s">
        <v>10</v>
      </c>
      <c r="E1373" s="103">
        <v>4</v>
      </c>
      <c r="F1373" s="104">
        <f>TRUNC(217.117849,2)</f>
        <v>217.11</v>
      </c>
      <c r="G1373" s="105">
        <f>TRUNC(F1373*1.2247,2)</f>
        <v>265.89</v>
      </c>
      <c r="H1373" s="105">
        <f>TRUNC(F1373*E1373,2)</f>
        <v>868.44</v>
      </c>
      <c r="I1373" s="106">
        <f>TRUNC(E1373*G1373,2)</f>
        <v>1063.56</v>
      </c>
      <c r="J1373" s="106"/>
      <c r="K1373" s="103"/>
    </row>
    <row r="1374" spans="1:11" s="34" customFormat="1" ht="15">
      <c r="A1374" s="30"/>
      <c r="B1374" s="43" t="s">
        <v>1254</v>
      </c>
      <c r="C1374" s="45" t="s">
        <v>1255</v>
      </c>
      <c r="D1374" s="46" t="s">
        <v>3</v>
      </c>
      <c r="E1374" s="44">
        <v>3.78</v>
      </c>
      <c r="F1374" s="31">
        <f>TRUNC(9.8,2)</f>
        <v>9.8</v>
      </c>
      <c r="G1374" s="32">
        <f aca="true" t="shared" si="52" ref="G1374:G1383">TRUNC(E1374*F1374,2)</f>
        <v>37.04</v>
      </c>
      <c r="H1374" s="32"/>
      <c r="I1374" s="33"/>
      <c r="J1374" s="33"/>
      <c r="K1374" s="44"/>
    </row>
    <row r="1375" spans="1:11" s="34" customFormat="1" ht="15">
      <c r="A1375" s="30"/>
      <c r="B1375" s="43" t="s">
        <v>1256</v>
      </c>
      <c r="C1375" s="45" t="s">
        <v>1257</v>
      </c>
      <c r="D1375" s="46" t="s">
        <v>3</v>
      </c>
      <c r="E1375" s="44">
        <v>0.113</v>
      </c>
      <c r="F1375" s="31">
        <f>TRUNC(11.9,2)</f>
        <v>11.9</v>
      </c>
      <c r="G1375" s="32">
        <f t="shared" si="52"/>
        <v>1.34</v>
      </c>
      <c r="H1375" s="32"/>
      <c r="I1375" s="33"/>
      <c r="J1375" s="33"/>
      <c r="K1375" s="44"/>
    </row>
    <row r="1376" spans="1:11" s="34" customFormat="1" ht="30">
      <c r="A1376" s="30"/>
      <c r="B1376" s="43" t="s">
        <v>33</v>
      </c>
      <c r="C1376" s="45" t="s">
        <v>34</v>
      </c>
      <c r="D1376" s="46" t="s">
        <v>4</v>
      </c>
      <c r="E1376" s="44">
        <v>0.9476000000000001</v>
      </c>
      <c r="F1376" s="31">
        <f>TRUNC(16.55,2)</f>
        <v>16.55</v>
      </c>
      <c r="G1376" s="32">
        <f t="shared" si="52"/>
        <v>15.68</v>
      </c>
      <c r="H1376" s="32"/>
      <c r="I1376" s="33"/>
      <c r="J1376" s="33"/>
      <c r="K1376" s="44"/>
    </row>
    <row r="1377" spans="1:11" s="34" customFormat="1" ht="30">
      <c r="A1377" s="30"/>
      <c r="B1377" s="43" t="s">
        <v>1888</v>
      </c>
      <c r="C1377" s="45" t="s">
        <v>1889</v>
      </c>
      <c r="D1377" s="46" t="s">
        <v>4</v>
      </c>
      <c r="E1377" s="44">
        <v>0.20600000000000002</v>
      </c>
      <c r="F1377" s="31">
        <f>TRUNC(22.86,2)</f>
        <v>22.86</v>
      </c>
      <c r="G1377" s="32">
        <f t="shared" si="52"/>
        <v>4.7</v>
      </c>
      <c r="H1377" s="32"/>
      <c r="I1377" s="33"/>
      <c r="J1377" s="33"/>
      <c r="K1377" s="44"/>
    </row>
    <row r="1378" spans="1:11" s="34" customFormat="1" ht="15">
      <c r="A1378" s="30"/>
      <c r="B1378" s="43" t="s">
        <v>35</v>
      </c>
      <c r="C1378" s="45" t="s">
        <v>36</v>
      </c>
      <c r="D1378" s="46" t="s">
        <v>4</v>
      </c>
      <c r="E1378" s="44">
        <v>0.9476000000000001</v>
      </c>
      <c r="F1378" s="31">
        <f>TRUNC(22.86,2)</f>
        <v>22.86</v>
      </c>
      <c r="G1378" s="32">
        <f t="shared" si="52"/>
        <v>21.66</v>
      </c>
      <c r="H1378" s="32"/>
      <c r="I1378" s="33"/>
      <c r="J1378" s="33"/>
      <c r="K1378" s="44"/>
    </row>
    <row r="1379" spans="1:11" s="34" customFormat="1" ht="15">
      <c r="A1379" s="30"/>
      <c r="B1379" s="43" t="s">
        <v>2348</v>
      </c>
      <c r="C1379" s="45" t="s">
        <v>2349</v>
      </c>
      <c r="D1379" s="46" t="s">
        <v>0</v>
      </c>
      <c r="E1379" s="44">
        <v>1.15</v>
      </c>
      <c r="F1379" s="31">
        <f>TRUNC(73.3774,2)</f>
        <v>73.37</v>
      </c>
      <c r="G1379" s="32">
        <f t="shared" si="52"/>
        <v>84.37</v>
      </c>
      <c r="H1379" s="32"/>
      <c r="I1379" s="33"/>
      <c r="J1379" s="33"/>
      <c r="K1379" s="44"/>
    </row>
    <row r="1380" spans="1:11" s="34" customFormat="1" ht="15">
      <c r="A1380" s="30"/>
      <c r="B1380" s="43" t="s">
        <v>2350</v>
      </c>
      <c r="C1380" s="45" t="s">
        <v>2351</v>
      </c>
      <c r="D1380" s="46" t="s">
        <v>0</v>
      </c>
      <c r="E1380" s="44">
        <v>0.95</v>
      </c>
      <c r="F1380" s="31">
        <f>TRUNC(28.0612,2)</f>
        <v>28.06</v>
      </c>
      <c r="G1380" s="32">
        <f t="shared" si="52"/>
        <v>26.65</v>
      </c>
      <c r="H1380" s="32"/>
      <c r="I1380" s="33"/>
      <c r="J1380" s="33"/>
      <c r="K1380" s="44"/>
    </row>
    <row r="1381" spans="1:11" s="34" customFormat="1" ht="15">
      <c r="A1381" s="30"/>
      <c r="B1381" s="43" t="s">
        <v>2036</v>
      </c>
      <c r="C1381" s="45" t="s">
        <v>2037</v>
      </c>
      <c r="D1381" s="46" t="s">
        <v>0</v>
      </c>
      <c r="E1381" s="44">
        <v>0.14</v>
      </c>
      <c r="F1381" s="31">
        <f>TRUNC(69.2212,2)</f>
        <v>69.22</v>
      </c>
      <c r="G1381" s="32">
        <f t="shared" si="52"/>
        <v>9.69</v>
      </c>
      <c r="H1381" s="32"/>
      <c r="I1381" s="33"/>
      <c r="J1381" s="33"/>
      <c r="K1381" s="44"/>
    </row>
    <row r="1382" spans="1:11" s="34" customFormat="1" ht="15">
      <c r="A1382" s="30"/>
      <c r="B1382" s="43" t="s">
        <v>1762</v>
      </c>
      <c r="C1382" s="45" t="s">
        <v>1763</v>
      </c>
      <c r="D1382" s="46" t="s">
        <v>1</v>
      </c>
      <c r="E1382" s="44">
        <v>0.022</v>
      </c>
      <c r="F1382" s="31">
        <f>TRUNC(277.3833,2)</f>
        <v>277.38</v>
      </c>
      <c r="G1382" s="32">
        <f t="shared" si="52"/>
        <v>6.1</v>
      </c>
      <c r="H1382" s="32"/>
      <c r="I1382" s="33"/>
      <c r="J1382" s="33"/>
      <c r="K1382" s="44"/>
    </row>
    <row r="1383" spans="1:11" s="34" customFormat="1" ht="15">
      <c r="A1383" s="30"/>
      <c r="B1383" s="43" t="s">
        <v>1760</v>
      </c>
      <c r="C1383" s="45" t="s">
        <v>1761</v>
      </c>
      <c r="D1383" s="46" t="s">
        <v>1</v>
      </c>
      <c r="E1383" s="44">
        <v>0.038</v>
      </c>
      <c r="F1383" s="31">
        <f>TRUNC(258.9348,2)</f>
        <v>258.93</v>
      </c>
      <c r="G1383" s="32">
        <f t="shared" si="52"/>
        <v>9.83</v>
      </c>
      <c r="H1383" s="32"/>
      <c r="I1383" s="33"/>
      <c r="J1383" s="33"/>
      <c r="K1383" s="44"/>
    </row>
    <row r="1384" spans="1:11" s="34" customFormat="1" ht="15">
      <c r="A1384" s="30"/>
      <c r="B1384" s="43"/>
      <c r="C1384" s="45"/>
      <c r="D1384" s="46"/>
      <c r="E1384" s="44" t="s">
        <v>5</v>
      </c>
      <c r="F1384" s="31"/>
      <c r="G1384" s="32">
        <f>TRUNC(SUM(G1374:G1383),2)</f>
        <v>217.06</v>
      </c>
      <c r="H1384" s="32"/>
      <c r="I1384" s="33"/>
      <c r="J1384" s="33"/>
      <c r="K1384" s="44"/>
    </row>
    <row r="1385" spans="1:11" s="107" customFormat="1" ht="75">
      <c r="A1385" s="99" t="s">
        <v>1703</v>
      </c>
      <c r="B1385" s="100" t="s">
        <v>2352</v>
      </c>
      <c r="C1385" s="101" t="s">
        <v>1263</v>
      </c>
      <c r="D1385" s="102" t="s">
        <v>10</v>
      </c>
      <c r="E1385" s="103">
        <v>4</v>
      </c>
      <c r="F1385" s="104">
        <f>TRUNC(207.30616,2)</f>
        <v>207.3</v>
      </c>
      <c r="G1385" s="105">
        <f>TRUNC(F1385*1.2247,2)</f>
        <v>253.88</v>
      </c>
      <c r="H1385" s="105">
        <f>TRUNC(F1385*E1385,2)</f>
        <v>829.2</v>
      </c>
      <c r="I1385" s="106">
        <f>TRUNC(E1385*G1385,2)</f>
        <v>1015.52</v>
      </c>
      <c r="J1385" s="106"/>
      <c r="K1385" s="103"/>
    </row>
    <row r="1386" spans="1:11" s="34" customFormat="1" ht="15">
      <c r="A1386" s="30"/>
      <c r="B1386" s="43" t="s">
        <v>1264</v>
      </c>
      <c r="C1386" s="45" t="s">
        <v>1265</v>
      </c>
      <c r="D1386" s="46" t="s">
        <v>10</v>
      </c>
      <c r="E1386" s="44">
        <v>1</v>
      </c>
      <c r="F1386" s="31">
        <f>TRUNC(144.6735,2)</f>
        <v>144.67</v>
      </c>
      <c r="G1386" s="32">
        <f>TRUNC(E1386*F1386,2)</f>
        <v>144.67</v>
      </c>
      <c r="H1386" s="32"/>
      <c r="I1386" s="33"/>
      <c r="J1386" s="33"/>
      <c r="K1386" s="44"/>
    </row>
    <row r="1387" spans="1:11" s="34" customFormat="1" ht="30">
      <c r="A1387" s="30"/>
      <c r="B1387" s="43" t="s">
        <v>33</v>
      </c>
      <c r="C1387" s="45" t="s">
        <v>34</v>
      </c>
      <c r="D1387" s="46" t="s">
        <v>4</v>
      </c>
      <c r="E1387" s="44">
        <v>1.545</v>
      </c>
      <c r="F1387" s="31">
        <f>TRUNC(16.55,2)</f>
        <v>16.55</v>
      </c>
      <c r="G1387" s="32">
        <f>TRUNC(E1387*F1387,2)</f>
        <v>25.56</v>
      </c>
      <c r="H1387" s="32"/>
      <c r="I1387" s="33"/>
      <c r="J1387" s="33"/>
      <c r="K1387" s="44"/>
    </row>
    <row r="1388" spans="1:11" s="34" customFormat="1" ht="15">
      <c r="A1388" s="30"/>
      <c r="B1388" s="43" t="s">
        <v>35</v>
      </c>
      <c r="C1388" s="45" t="s">
        <v>36</v>
      </c>
      <c r="D1388" s="46" t="s">
        <v>4</v>
      </c>
      <c r="E1388" s="44">
        <v>1.545</v>
      </c>
      <c r="F1388" s="31">
        <f>TRUNC(22.86,2)</f>
        <v>22.86</v>
      </c>
      <c r="G1388" s="32">
        <f>TRUNC(E1388*F1388,2)</f>
        <v>35.31</v>
      </c>
      <c r="H1388" s="32"/>
      <c r="I1388" s="33"/>
      <c r="J1388" s="33"/>
      <c r="K1388" s="44"/>
    </row>
    <row r="1389" spans="1:11" s="34" customFormat="1" ht="15">
      <c r="A1389" s="30"/>
      <c r="B1389" s="43" t="s">
        <v>2215</v>
      </c>
      <c r="C1389" s="45" t="s">
        <v>2216</v>
      </c>
      <c r="D1389" s="46" t="s">
        <v>1</v>
      </c>
      <c r="E1389" s="44">
        <v>0.005</v>
      </c>
      <c r="F1389" s="31">
        <f>TRUNC(348.842,2)</f>
        <v>348.84</v>
      </c>
      <c r="G1389" s="32">
        <f>TRUNC(E1389*F1389,2)</f>
        <v>1.74</v>
      </c>
      <c r="H1389" s="32"/>
      <c r="I1389" s="33"/>
      <c r="J1389" s="33"/>
      <c r="K1389" s="44"/>
    </row>
    <row r="1390" spans="1:11" s="34" customFormat="1" ht="15">
      <c r="A1390" s="30"/>
      <c r="B1390" s="43"/>
      <c r="C1390" s="45"/>
      <c r="D1390" s="46"/>
      <c r="E1390" s="44" t="s">
        <v>5</v>
      </c>
      <c r="F1390" s="31"/>
      <c r="G1390" s="32">
        <f>TRUNC(SUM(G1386:G1389),2)</f>
        <v>207.28</v>
      </c>
      <c r="H1390" s="32"/>
      <c r="I1390" s="33"/>
      <c r="J1390" s="33"/>
      <c r="K1390" s="44"/>
    </row>
    <row r="1391" spans="1:11" s="107" customFormat="1" ht="45">
      <c r="A1391" s="99" t="s">
        <v>1704</v>
      </c>
      <c r="B1391" s="100" t="s">
        <v>2353</v>
      </c>
      <c r="C1391" s="101" t="s">
        <v>1569</v>
      </c>
      <c r="D1391" s="102" t="s">
        <v>10</v>
      </c>
      <c r="E1391" s="103">
        <v>2</v>
      </c>
      <c r="F1391" s="104">
        <f>TRUNC(55.76206,2)</f>
        <v>55.76</v>
      </c>
      <c r="G1391" s="105">
        <f>TRUNC(F1391*1.2247,2)</f>
        <v>68.28</v>
      </c>
      <c r="H1391" s="105">
        <f>TRUNC(F1391*E1391,2)</f>
        <v>111.52</v>
      </c>
      <c r="I1391" s="106">
        <f>TRUNC(E1391*G1391,2)</f>
        <v>136.56</v>
      </c>
      <c r="J1391" s="106"/>
      <c r="K1391" s="103"/>
    </row>
    <row r="1392" spans="1:11" s="34" customFormat="1" ht="15">
      <c r="A1392" s="30"/>
      <c r="B1392" s="43" t="s">
        <v>1570</v>
      </c>
      <c r="C1392" s="45" t="s">
        <v>1571</v>
      </c>
      <c r="D1392" s="46" t="s">
        <v>10</v>
      </c>
      <c r="E1392" s="44">
        <v>1</v>
      </c>
      <c r="F1392" s="31">
        <f>TRUNC(39.28,2)</f>
        <v>39.28</v>
      </c>
      <c r="G1392" s="32">
        <f>TRUNC(E1392*F1392,2)</f>
        <v>39.28</v>
      </c>
      <c r="H1392" s="32"/>
      <c r="I1392" s="33"/>
      <c r="J1392" s="33"/>
      <c r="K1392" s="44"/>
    </row>
    <row r="1393" spans="1:11" s="34" customFormat="1" ht="30">
      <c r="A1393" s="30"/>
      <c r="B1393" s="43" t="s">
        <v>1752</v>
      </c>
      <c r="C1393" s="45" t="s">
        <v>1753</v>
      </c>
      <c r="D1393" s="46" t="s">
        <v>4</v>
      </c>
      <c r="E1393" s="44">
        <v>0.721</v>
      </c>
      <c r="F1393" s="31">
        <f>TRUNC(22.86,2)</f>
        <v>22.86</v>
      </c>
      <c r="G1393" s="32">
        <f>TRUNC(E1393*F1393,2)</f>
        <v>16.48</v>
      </c>
      <c r="H1393" s="32"/>
      <c r="I1393" s="33"/>
      <c r="J1393" s="33"/>
      <c r="K1393" s="44"/>
    </row>
    <row r="1394" spans="1:11" s="34" customFormat="1" ht="15">
      <c r="A1394" s="30"/>
      <c r="B1394" s="43"/>
      <c r="C1394" s="45"/>
      <c r="D1394" s="46"/>
      <c r="E1394" s="44" t="s">
        <v>5</v>
      </c>
      <c r="F1394" s="31"/>
      <c r="G1394" s="32">
        <f>TRUNC(SUM(G1392:G1393),2)</f>
        <v>55.76</v>
      </c>
      <c r="H1394" s="32"/>
      <c r="I1394" s="33"/>
      <c r="J1394" s="33"/>
      <c r="K1394" s="44"/>
    </row>
    <row r="1395" spans="1:11" s="107" customFormat="1" ht="45">
      <c r="A1395" s="99" t="s">
        <v>1705</v>
      </c>
      <c r="B1395" s="100" t="s">
        <v>2354</v>
      </c>
      <c r="C1395" s="101" t="s">
        <v>1267</v>
      </c>
      <c r="D1395" s="102" t="s">
        <v>10</v>
      </c>
      <c r="E1395" s="103">
        <v>22</v>
      </c>
      <c r="F1395" s="104">
        <f>TRUNC(18.14206,2)</f>
        <v>18.14</v>
      </c>
      <c r="G1395" s="105">
        <f>TRUNC(F1395*1.2247,2)</f>
        <v>22.21</v>
      </c>
      <c r="H1395" s="105">
        <f>TRUNC(F1395*E1395,2)</f>
        <v>399.08</v>
      </c>
      <c r="I1395" s="106">
        <f>TRUNC(E1395*G1395,2)</f>
        <v>488.62</v>
      </c>
      <c r="J1395" s="106"/>
      <c r="K1395" s="103"/>
    </row>
    <row r="1396" spans="1:11" s="34" customFormat="1" ht="15">
      <c r="A1396" s="30"/>
      <c r="B1396" s="43" t="s">
        <v>1268</v>
      </c>
      <c r="C1396" s="45" t="s">
        <v>1269</v>
      </c>
      <c r="D1396" s="46" t="s">
        <v>10</v>
      </c>
      <c r="E1396" s="44">
        <v>1</v>
      </c>
      <c r="F1396" s="31">
        <f>TRUNC(1.66,2)</f>
        <v>1.66</v>
      </c>
      <c r="G1396" s="32">
        <f>TRUNC(E1396*F1396,2)</f>
        <v>1.66</v>
      </c>
      <c r="H1396" s="32"/>
      <c r="I1396" s="33"/>
      <c r="J1396" s="33"/>
      <c r="K1396" s="44"/>
    </row>
    <row r="1397" spans="1:11" s="34" customFormat="1" ht="30">
      <c r="A1397" s="30"/>
      <c r="B1397" s="43" t="s">
        <v>1752</v>
      </c>
      <c r="C1397" s="45" t="s">
        <v>1753</v>
      </c>
      <c r="D1397" s="46" t="s">
        <v>4</v>
      </c>
      <c r="E1397" s="44">
        <v>0.721</v>
      </c>
      <c r="F1397" s="31">
        <f>TRUNC(22.86,2)</f>
        <v>22.86</v>
      </c>
      <c r="G1397" s="32">
        <f>TRUNC(E1397*F1397,2)</f>
        <v>16.48</v>
      </c>
      <c r="H1397" s="32"/>
      <c r="I1397" s="33"/>
      <c r="J1397" s="33"/>
      <c r="K1397" s="44"/>
    </row>
    <row r="1398" spans="1:11" s="34" customFormat="1" ht="15">
      <c r="A1398" s="30"/>
      <c r="B1398" s="43"/>
      <c r="C1398" s="45"/>
      <c r="D1398" s="46"/>
      <c r="E1398" s="44" t="s">
        <v>5</v>
      </c>
      <c r="F1398" s="31"/>
      <c r="G1398" s="32">
        <f>TRUNC(SUM(G1396:G1397),2)</f>
        <v>18.14</v>
      </c>
      <c r="H1398" s="32"/>
      <c r="I1398" s="33"/>
      <c r="J1398" s="33"/>
      <c r="K1398" s="44"/>
    </row>
    <row r="1399" spans="1:11" s="107" customFormat="1" ht="45">
      <c r="A1399" s="99" t="s">
        <v>1706</v>
      </c>
      <c r="B1399" s="100" t="s">
        <v>2355</v>
      </c>
      <c r="C1399" s="101" t="s">
        <v>1271</v>
      </c>
      <c r="D1399" s="102" t="s">
        <v>10</v>
      </c>
      <c r="E1399" s="103">
        <v>1</v>
      </c>
      <c r="F1399" s="104">
        <f>TRUNC(94.636001,2)</f>
        <v>94.63</v>
      </c>
      <c r="G1399" s="105">
        <f>TRUNC(F1399*1.2247,2)</f>
        <v>115.89</v>
      </c>
      <c r="H1399" s="105">
        <f>TRUNC(F1399*E1399,2)</f>
        <v>94.63</v>
      </c>
      <c r="I1399" s="106">
        <f>TRUNC(E1399*G1399,2)</f>
        <v>115.89</v>
      </c>
      <c r="J1399" s="106"/>
      <c r="K1399" s="103"/>
    </row>
    <row r="1400" spans="1:11" s="34" customFormat="1" ht="30">
      <c r="A1400" s="30"/>
      <c r="B1400" s="43" t="s">
        <v>2356</v>
      </c>
      <c r="C1400" s="45" t="s">
        <v>1273</v>
      </c>
      <c r="D1400" s="46" t="s">
        <v>10</v>
      </c>
      <c r="E1400" s="44">
        <v>1</v>
      </c>
      <c r="F1400" s="31">
        <f>TRUNC(45.19,2)</f>
        <v>45.19</v>
      </c>
      <c r="G1400" s="32">
        <f>TRUNC(E1400*F1400,2)</f>
        <v>45.19</v>
      </c>
      <c r="H1400" s="32"/>
      <c r="I1400" s="33"/>
      <c r="J1400" s="33"/>
      <c r="K1400" s="44"/>
    </row>
    <row r="1401" spans="1:11" s="34" customFormat="1" ht="15">
      <c r="A1401" s="30"/>
      <c r="B1401" s="43" t="s">
        <v>2271</v>
      </c>
      <c r="C1401" s="45" t="s">
        <v>481</v>
      </c>
      <c r="D1401" s="46" t="s">
        <v>4</v>
      </c>
      <c r="E1401" s="44">
        <v>0.88</v>
      </c>
      <c r="F1401" s="31">
        <f>TRUNC(30.08,2)</f>
        <v>30.08</v>
      </c>
      <c r="G1401" s="32">
        <f>TRUNC(E1401*F1401,2)</f>
        <v>26.47</v>
      </c>
      <c r="H1401" s="32"/>
      <c r="I1401" s="33"/>
      <c r="J1401" s="33"/>
      <c r="K1401" s="44"/>
    </row>
    <row r="1402" spans="1:11" s="34" customFormat="1" ht="15">
      <c r="A1402" s="30"/>
      <c r="B1402" s="43" t="s">
        <v>2272</v>
      </c>
      <c r="C1402" s="45" t="s">
        <v>483</v>
      </c>
      <c r="D1402" s="46" t="s">
        <v>4</v>
      </c>
      <c r="E1402" s="44">
        <v>0.88</v>
      </c>
      <c r="F1402" s="31">
        <f>TRUNC(23.24,2)</f>
        <v>23.24</v>
      </c>
      <c r="G1402" s="32">
        <f>TRUNC(E1402*F1402,2)</f>
        <v>20.45</v>
      </c>
      <c r="H1402" s="32"/>
      <c r="I1402" s="33"/>
      <c r="J1402" s="33"/>
      <c r="K1402" s="44"/>
    </row>
    <row r="1403" spans="1:11" s="34" customFormat="1" ht="45">
      <c r="A1403" s="30"/>
      <c r="B1403" s="43" t="s">
        <v>2273</v>
      </c>
      <c r="C1403" s="45" t="s">
        <v>2274</v>
      </c>
      <c r="D1403" s="46" t="s">
        <v>1</v>
      </c>
      <c r="E1403" s="44">
        <v>0.0043</v>
      </c>
      <c r="F1403" s="31">
        <f>TRUNC(587.07,2)</f>
        <v>587.07</v>
      </c>
      <c r="G1403" s="32">
        <f>TRUNC(E1403*F1403,2)</f>
        <v>2.52</v>
      </c>
      <c r="H1403" s="32"/>
      <c r="I1403" s="33"/>
      <c r="J1403" s="33"/>
      <c r="K1403" s="44"/>
    </row>
    <row r="1404" spans="1:11" s="34" customFormat="1" ht="15">
      <c r="A1404" s="30"/>
      <c r="B1404" s="43"/>
      <c r="C1404" s="45"/>
      <c r="D1404" s="46"/>
      <c r="E1404" s="44" t="s">
        <v>5</v>
      </c>
      <c r="F1404" s="31"/>
      <c r="G1404" s="32">
        <f>TRUNC(SUM(G1400:G1403),2)</f>
        <v>94.63</v>
      </c>
      <c r="H1404" s="32"/>
      <c r="I1404" s="33"/>
      <c r="J1404" s="33"/>
      <c r="K1404" s="44"/>
    </row>
    <row r="1405" spans="1:11" s="107" customFormat="1" ht="60">
      <c r="A1405" s="99" t="s">
        <v>1707</v>
      </c>
      <c r="B1405" s="100" t="s">
        <v>2357</v>
      </c>
      <c r="C1405" s="101" t="s">
        <v>1275</v>
      </c>
      <c r="D1405" s="102" t="s">
        <v>2</v>
      </c>
      <c r="E1405" s="103">
        <v>72</v>
      </c>
      <c r="F1405" s="104">
        <f>TRUNC(21.405818,2)</f>
        <v>21.4</v>
      </c>
      <c r="G1405" s="105">
        <f>TRUNC(F1405*1.2247,2)</f>
        <v>26.2</v>
      </c>
      <c r="H1405" s="105">
        <f>TRUNC(F1405*E1405,2)</f>
        <v>1540.8</v>
      </c>
      <c r="I1405" s="106">
        <f>TRUNC(E1405*G1405,2)</f>
        <v>1886.4</v>
      </c>
      <c r="J1405" s="106"/>
      <c r="K1405" s="103"/>
    </row>
    <row r="1406" spans="1:11" s="34" customFormat="1" ht="30">
      <c r="A1406" s="30"/>
      <c r="B1406" s="43" t="s">
        <v>1276</v>
      </c>
      <c r="C1406" s="45" t="s">
        <v>1277</v>
      </c>
      <c r="D1406" s="46" t="s">
        <v>10</v>
      </c>
      <c r="E1406" s="44">
        <v>0.385</v>
      </c>
      <c r="F1406" s="31">
        <f>TRUNC(38.73,2)</f>
        <v>38.73</v>
      </c>
      <c r="G1406" s="32">
        <f>TRUNC(E1406*F1406,2)</f>
        <v>14.91</v>
      </c>
      <c r="H1406" s="32"/>
      <c r="I1406" s="33"/>
      <c r="J1406" s="33"/>
      <c r="K1406" s="44"/>
    </row>
    <row r="1407" spans="1:11" s="34" customFormat="1" ht="30">
      <c r="A1407" s="30"/>
      <c r="B1407" s="43" t="s">
        <v>33</v>
      </c>
      <c r="C1407" s="45" t="s">
        <v>34</v>
      </c>
      <c r="D1407" s="46" t="s">
        <v>4</v>
      </c>
      <c r="E1407" s="44">
        <v>0.1648</v>
      </c>
      <c r="F1407" s="31">
        <f>TRUNC(16.55,2)</f>
        <v>16.55</v>
      </c>
      <c r="G1407" s="32">
        <f>TRUNC(E1407*F1407,2)</f>
        <v>2.72</v>
      </c>
      <c r="H1407" s="32"/>
      <c r="I1407" s="33"/>
      <c r="J1407" s="33"/>
      <c r="K1407" s="44"/>
    </row>
    <row r="1408" spans="1:11" s="34" customFormat="1" ht="30">
      <c r="A1408" s="30"/>
      <c r="B1408" s="43" t="s">
        <v>1752</v>
      </c>
      <c r="C1408" s="45" t="s">
        <v>1753</v>
      </c>
      <c r="D1408" s="46" t="s">
        <v>4</v>
      </c>
      <c r="E1408" s="44">
        <v>0.1648</v>
      </c>
      <c r="F1408" s="31">
        <f>TRUNC(22.86,2)</f>
        <v>22.86</v>
      </c>
      <c r="G1408" s="32">
        <f>TRUNC(E1408*F1408,2)</f>
        <v>3.76</v>
      </c>
      <c r="H1408" s="32"/>
      <c r="I1408" s="33"/>
      <c r="J1408" s="33"/>
      <c r="K1408" s="44"/>
    </row>
    <row r="1409" spans="1:11" s="34" customFormat="1" ht="15">
      <c r="A1409" s="30"/>
      <c r="B1409" s="43"/>
      <c r="C1409" s="45"/>
      <c r="D1409" s="46"/>
      <c r="E1409" s="44" t="s">
        <v>5</v>
      </c>
      <c r="F1409" s="31"/>
      <c r="G1409" s="32">
        <f>TRUNC(SUM(G1406:G1408),2)</f>
        <v>21.39</v>
      </c>
      <c r="H1409" s="32"/>
      <c r="I1409" s="33"/>
      <c r="J1409" s="33"/>
      <c r="K1409" s="44"/>
    </row>
    <row r="1410" spans="1:11" s="107" customFormat="1" ht="60">
      <c r="A1410" s="99" t="s">
        <v>1708</v>
      </c>
      <c r="B1410" s="100" t="s">
        <v>2358</v>
      </c>
      <c r="C1410" s="101" t="s">
        <v>1279</v>
      </c>
      <c r="D1410" s="102" t="s">
        <v>2</v>
      </c>
      <c r="E1410" s="103">
        <v>45</v>
      </c>
      <c r="F1410" s="104">
        <f>TRUNC(77.758796,2)</f>
        <v>77.75</v>
      </c>
      <c r="G1410" s="105">
        <f>TRUNC(F1410*1.2247,2)</f>
        <v>95.22</v>
      </c>
      <c r="H1410" s="105">
        <f>TRUNC(F1410*E1410,2)</f>
        <v>3498.75</v>
      </c>
      <c r="I1410" s="106">
        <f>TRUNC(E1410*G1410,2)</f>
        <v>4284.9</v>
      </c>
      <c r="J1410" s="106"/>
      <c r="K1410" s="103"/>
    </row>
    <row r="1411" spans="1:11" s="34" customFormat="1" ht="30">
      <c r="A1411" s="30"/>
      <c r="B1411" s="43" t="s">
        <v>1280</v>
      </c>
      <c r="C1411" s="45" t="s">
        <v>1281</v>
      </c>
      <c r="D1411" s="46" t="s">
        <v>10</v>
      </c>
      <c r="E1411" s="44">
        <v>0.7992</v>
      </c>
      <c r="F1411" s="31">
        <f>TRUNC(2.33,2)</f>
        <v>2.33</v>
      </c>
      <c r="G1411" s="32">
        <f aca="true" t="shared" si="53" ref="G1411:G1419">TRUNC(E1411*F1411,2)</f>
        <v>1.86</v>
      </c>
      <c r="H1411" s="32"/>
      <c r="I1411" s="33"/>
      <c r="J1411" s="33"/>
      <c r="K1411" s="44"/>
    </row>
    <row r="1412" spans="1:11" s="34" customFormat="1" ht="30">
      <c r="A1412" s="30"/>
      <c r="B1412" s="43" t="s">
        <v>1282</v>
      </c>
      <c r="C1412" s="45" t="s">
        <v>1283</v>
      </c>
      <c r="D1412" s="46" t="s">
        <v>10</v>
      </c>
      <c r="E1412" s="44">
        <v>0.396</v>
      </c>
      <c r="F1412" s="31">
        <f>TRUNC(54.3,2)</f>
        <v>54.3</v>
      </c>
      <c r="G1412" s="32">
        <f t="shared" si="53"/>
        <v>21.5</v>
      </c>
      <c r="H1412" s="32"/>
      <c r="I1412" s="33"/>
      <c r="J1412" s="33"/>
      <c r="K1412" s="44"/>
    </row>
    <row r="1413" spans="1:11" s="34" customFormat="1" ht="15">
      <c r="A1413" s="30"/>
      <c r="B1413" s="43" t="s">
        <v>1284</v>
      </c>
      <c r="C1413" s="45" t="s">
        <v>1285</v>
      </c>
      <c r="D1413" s="46" t="s">
        <v>10</v>
      </c>
      <c r="E1413" s="44">
        <v>3.192</v>
      </c>
      <c r="F1413" s="31">
        <f>TRUNC(0.08,2)</f>
        <v>0.08</v>
      </c>
      <c r="G1413" s="32">
        <f t="shared" si="53"/>
        <v>0.25</v>
      </c>
      <c r="H1413" s="32"/>
      <c r="I1413" s="33"/>
      <c r="J1413" s="33"/>
      <c r="K1413" s="44"/>
    </row>
    <row r="1414" spans="1:11" s="34" customFormat="1" ht="15">
      <c r="A1414" s="30"/>
      <c r="B1414" s="43" t="s">
        <v>1286</v>
      </c>
      <c r="C1414" s="45" t="s">
        <v>1287</v>
      </c>
      <c r="D1414" s="46" t="s">
        <v>10</v>
      </c>
      <c r="E1414" s="44">
        <v>1.596</v>
      </c>
      <c r="F1414" s="31">
        <f>TRUNC(1.55,2)</f>
        <v>1.55</v>
      </c>
      <c r="G1414" s="32">
        <f t="shared" si="53"/>
        <v>2.47</v>
      </c>
      <c r="H1414" s="32"/>
      <c r="I1414" s="33"/>
      <c r="J1414" s="33"/>
      <c r="K1414" s="44"/>
    </row>
    <row r="1415" spans="1:11" s="34" customFormat="1" ht="15">
      <c r="A1415" s="30"/>
      <c r="B1415" s="43" t="s">
        <v>1288</v>
      </c>
      <c r="C1415" s="45" t="s">
        <v>1289</v>
      </c>
      <c r="D1415" s="46" t="s">
        <v>10</v>
      </c>
      <c r="E1415" s="44">
        <v>0.7992</v>
      </c>
      <c r="F1415" s="31">
        <f>TRUNC(12.76,2)</f>
        <v>12.76</v>
      </c>
      <c r="G1415" s="32">
        <f t="shared" si="53"/>
        <v>10.19</v>
      </c>
      <c r="H1415" s="32"/>
      <c r="I1415" s="33"/>
      <c r="J1415" s="33"/>
      <c r="K1415" s="44"/>
    </row>
    <row r="1416" spans="1:11" s="34" customFormat="1" ht="15">
      <c r="A1416" s="30"/>
      <c r="B1416" s="43" t="s">
        <v>1290</v>
      </c>
      <c r="C1416" s="45" t="s">
        <v>1291</v>
      </c>
      <c r="D1416" s="46" t="s">
        <v>10</v>
      </c>
      <c r="E1416" s="44">
        <v>3.192</v>
      </c>
      <c r="F1416" s="31">
        <f>TRUNC(0.08,2)</f>
        <v>0.08</v>
      </c>
      <c r="G1416" s="32">
        <f t="shared" si="53"/>
        <v>0.25</v>
      </c>
      <c r="H1416" s="32"/>
      <c r="I1416" s="33"/>
      <c r="J1416" s="33"/>
      <c r="K1416" s="44"/>
    </row>
    <row r="1417" spans="1:11" s="34" customFormat="1" ht="15">
      <c r="A1417" s="30"/>
      <c r="B1417" s="43" t="s">
        <v>1292</v>
      </c>
      <c r="C1417" s="45" t="s">
        <v>1293</v>
      </c>
      <c r="D1417" s="46" t="s">
        <v>10</v>
      </c>
      <c r="E1417" s="44">
        <v>0.01596</v>
      </c>
      <c r="F1417" s="31">
        <f>TRUNC(38.8,2)</f>
        <v>38.8</v>
      </c>
      <c r="G1417" s="32">
        <f t="shared" si="53"/>
        <v>0.61</v>
      </c>
      <c r="H1417" s="32"/>
      <c r="I1417" s="33"/>
      <c r="J1417" s="33"/>
      <c r="K1417" s="44"/>
    </row>
    <row r="1418" spans="1:11" s="34" customFormat="1" ht="30">
      <c r="A1418" s="30"/>
      <c r="B1418" s="43" t="s">
        <v>33</v>
      </c>
      <c r="C1418" s="45" t="s">
        <v>34</v>
      </c>
      <c r="D1418" s="46" t="s">
        <v>4</v>
      </c>
      <c r="E1418" s="44">
        <v>1.03</v>
      </c>
      <c r="F1418" s="31">
        <f>TRUNC(16.55,2)</f>
        <v>16.55</v>
      </c>
      <c r="G1418" s="32">
        <f t="shared" si="53"/>
        <v>17.04</v>
      </c>
      <c r="H1418" s="32"/>
      <c r="I1418" s="33"/>
      <c r="J1418" s="33"/>
      <c r="K1418" s="44"/>
    </row>
    <row r="1419" spans="1:11" s="34" customFormat="1" ht="30">
      <c r="A1419" s="30"/>
      <c r="B1419" s="43" t="s">
        <v>1752</v>
      </c>
      <c r="C1419" s="45" t="s">
        <v>1753</v>
      </c>
      <c r="D1419" s="46" t="s">
        <v>4</v>
      </c>
      <c r="E1419" s="44">
        <v>1.03</v>
      </c>
      <c r="F1419" s="31">
        <f>TRUNC(22.86,2)</f>
        <v>22.86</v>
      </c>
      <c r="G1419" s="32">
        <f t="shared" si="53"/>
        <v>23.54</v>
      </c>
      <c r="H1419" s="32"/>
      <c r="I1419" s="33"/>
      <c r="J1419" s="33"/>
      <c r="K1419" s="44"/>
    </row>
    <row r="1420" spans="1:11" s="34" customFormat="1" ht="15">
      <c r="A1420" s="30"/>
      <c r="B1420" s="43"/>
      <c r="C1420" s="45"/>
      <c r="D1420" s="46"/>
      <c r="E1420" s="44" t="s">
        <v>5</v>
      </c>
      <c r="F1420" s="31"/>
      <c r="G1420" s="32">
        <f>TRUNC(SUM(G1411:G1419),2)</f>
        <v>77.71</v>
      </c>
      <c r="H1420" s="32"/>
      <c r="I1420" s="33"/>
      <c r="J1420" s="33"/>
      <c r="K1420" s="44"/>
    </row>
    <row r="1421" spans="1:11" s="107" customFormat="1" ht="75">
      <c r="A1421" s="99" t="s">
        <v>1709</v>
      </c>
      <c r="B1421" s="100" t="s">
        <v>2359</v>
      </c>
      <c r="C1421" s="101" t="s">
        <v>1295</v>
      </c>
      <c r="D1421" s="102" t="s">
        <v>10</v>
      </c>
      <c r="E1421" s="103">
        <v>3</v>
      </c>
      <c r="F1421" s="104">
        <f>TRUNC(1376.8800343,2)</f>
        <v>1376.88</v>
      </c>
      <c r="G1421" s="105">
        <f>TRUNC(F1421*1.2247,2)</f>
        <v>1686.26</v>
      </c>
      <c r="H1421" s="105">
        <f>TRUNC(F1421*E1421,2)</f>
        <v>4130.64</v>
      </c>
      <c r="I1421" s="106">
        <f>TRUNC(E1421*G1421,2)</f>
        <v>5058.78</v>
      </c>
      <c r="J1421" s="106"/>
      <c r="K1421" s="103"/>
    </row>
    <row r="1422" spans="1:11" s="34" customFormat="1" ht="30">
      <c r="A1422" s="30"/>
      <c r="B1422" s="43" t="s">
        <v>1296</v>
      </c>
      <c r="C1422" s="45" t="s">
        <v>1297</v>
      </c>
      <c r="D1422" s="46" t="s">
        <v>10</v>
      </c>
      <c r="E1422" s="44">
        <v>3.1500000000000004</v>
      </c>
      <c r="F1422" s="31">
        <f>TRUNC(6.56,2)</f>
        <v>6.56</v>
      </c>
      <c r="G1422" s="32">
        <f aca="true" t="shared" si="54" ref="G1422:G1432">TRUNC(E1422*F1422,2)</f>
        <v>20.66</v>
      </c>
      <c r="H1422" s="32"/>
      <c r="I1422" s="33"/>
      <c r="J1422" s="33"/>
      <c r="K1422" s="44"/>
    </row>
    <row r="1423" spans="1:11" s="34" customFormat="1" ht="15">
      <c r="A1423" s="30"/>
      <c r="B1423" s="43" t="s">
        <v>1298</v>
      </c>
      <c r="C1423" s="45" t="s">
        <v>1299</v>
      </c>
      <c r="D1423" s="46" t="s">
        <v>10</v>
      </c>
      <c r="E1423" s="44">
        <v>6.300000000000001</v>
      </c>
      <c r="F1423" s="31">
        <f>TRUNC(1.75,2)</f>
        <v>1.75</v>
      </c>
      <c r="G1423" s="32">
        <f t="shared" si="54"/>
        <v>11.02</v>
      </c>
      <c r="H1423" s="32"/>
      <c r="I1423" s="33"/>
      <c r="J1423" s="33"/>
      <c r="K1423" s="44"/>
    </row>
    <row r="1424" spans="1:11" s="34" customFormat="1" ht="30">
      <c r="A1424" s="30"/>
      <c r="B1424" s="43" t="s">
        <v>1185</v>
      </c>
      <c r="C1424" s="45" t="s">
        <v>1186</v>
      </c>
      <c r="D1424" s="46" t="s">
        <v>10</v>
      </c>
      <c r="E1424" s="44">
        <v>1.05</v>
      </c>
      <c r="F1424" s="31">
        <f>TRUNC(87.68,2)</f>
        <v>87.68</v>
      </c>
      <c r="G1424" s="32">
        <f t="shared" si="54"/>
        <v>92.06</v>
      </c>
      <c r="H1424" s="32"/>
      <c r="I1424" s="33"/>
      <c r="J1424" s="33"/>
      <c r="K1424" s="44"/>
    </row>
    <row r="1425" spans="1:11" s="34" customFormat="1" ht="15">
      <c r="A1425" s="30"/>
      <c r="B1425" s="43" t="s">
        <v>1300</v>
      </c>
      <c r="C1425" s="45" t="s">
        <v>1301</v>
      </c>
      <c r="D1425" s="46" t="s">
        <v>10</v>
      </c>
      <c r="E1425" s="44">
        <v>3.1500000000000004</v>
      </c>
      <c r="F1425" s="31">
        <f>TRUNC(49.14,2)</f>
        <v>49.14</v>
      </c>
      <c r="G1425" s="32">
        <f t="shared" si="54"/>
        <v>154.79</v>
      </c>
      <c r="H1425" s="32"/>
      <c r="I1425" s="33"/>
      <c r="J1425" s="33"/>
      <c r="K1425" s="44"/>
    </row>
    <row r="1426" spans="1:11" s="34" customFormat="1" ht="30">
      <c r="A1426" s="30"/>
      <c r="B1426" s="43" t="s">
        <v>1302</v>
      </c>
      <c r="C1426" s="45" t="s">
        <v>1303</v>
      </c>
      <c r="D1426" s="46" t="s">
        <v>10</v>
      </c>
      <c r="E1426" s="44">
        <v>1.05</v>
      </c>
      <c r="F1426" s="31">
        <f>TRUNC(9.33,2)</f>
        <v>9.33</v>
      </c>
      <c r="G1426" s="32">
        <f t="shared" si="54"/>
        <v>9.79</v>
      </c>
      <c r="H1426" s="32"/>
      <c r="I1426" s="33"/>
      <c r="J1426" s="33"/>
      <c r="K1426" s="44"/>
    </row>
    <row r="1427" spans="1:11" s="34" customFormat="1" ht="30">
      <c r="A1427" s="30"/>
      <c r="B1427" s="43" t="s">
        <v>1304</v>
      </c>
      <c r="C1427" s="45" t="s">
        <v>1305</v>
      </c>
      <c r="D1427" s="46" t="s">
        <v>10</v>
      </c>
      <c r="E1427" s="44">
        <v>1.05</v>
      </c>
      <c r="F1427" s="31">
        <f>TRUNC(102.62,2)</f>
        <v>102.62</v>
      </c>
      <c r="G1427" s="32">
        <f t="shared" si="54"/>
        <v>107.75</v>
      </c>
      <c r="H1427" s="32"/>
      <c r="I1427" s="33"/>
      <c r="J1427" s="33"/>
      <c r="K1427" s="44"/>
    </row>
    <row r="1428" spans="1:11" s="34" customFormat="1" ht="30">
      <c r="A1428" s="30"/>
      <c r="B1428" s="43" t="s">
        <v>1306</v>
      </c>
      <c r="C1428" s="45" t="s">
        <v>1307</v>
      </c>
      <c r="D1428" s="46" t="s">
        <v>3</v>
      </c>
      <c r="E1428" s="44">
        <v>4.473</v>
      </c>
      <c r="F1428" s="31">
        <f>TRUNC(78.0191,2)</f>
        <v>78.01</v>
      </c>
      <c r="G1428" s="32">
        <f t="shared" si="54"/>
        <v>348.93</v>
      </c>
      <c r="H1428" s="32"/>
      <c r="I1428" s="33"/>
      <c r="J1428" s="33"/>
      <c r="K1428" s="44"/>
    </row>
    <row r="1429" spans="1:11" s="34" customFormat="1" ht="30">
      <c r="A1429" s="30"/>
      <c r="B1429" s="43" t="s">
        <v>111</v>
      </c>
      <c r="C1429" s="45" t="s">
        <v>112</v>
      </c>
      <c r="D1429" s="46" t="s">
        <v>3</v>
      </c>
      <c r="E1429" s="44">
        <v>26.25</v>
      </c>
      <c r="F1429" s="31">
        <f>TRUNC(8.11,2)</f>
        <v>8.11</v>
      </c>
      <c r="G1429" s="32">
        <f t="shared" si="54"/>
        <v>212.88</v>
      </c>
      <c r="H1429" s="32"/>
      <c r="I1429" s="33"/>
      <c r="J1429" s="33"/>
      <c r="K1429" s="44"/>
    </row>
    <row r="1430" spans="1:11" s="34" customFormat="1" ht="30">
      <c r="A1430" s="30"/>
      <c r="B1430" s="43" t="s">
        <v>33</v>
      </c>
      <c r="C1430" s="45" t="s">
        <v>34</v>
      </c>
      <c r="D1430" s="46" t="s">
        <v>4</v>
      </c>
      <c r="E1430" s="44">
        <v>8.24</v>
      </c>
      <c r="F1430" s="31">
        <f>TRUNC(16.55,2)</f>
        <v>16.55</v>
      </c>
      <c r="G1430" s="32">
        <f t="shared" si="54"/>
        <v>136.37</v>
      </c>
      <c r="H1430" s="32"/>
      <c r="I1430" s="33"/>
      <c r="J1430" s="33"/>
      <c r="K1430" s="44"/>
    </row>
    <row r="1431" spans="1:11" s="34" customFormat="1" ht="30">
      <c r="A1431" s="30"/>
      <c r="B1431" s="43" t="s">
        <v>1752</v>
      </c>
      <c r="C1431" s="45" t="s">
        <v>1753</v>
      </c>
      <c r="D1431" s="46" t="s">
        <v>4</v>
      </c>
      <c r="E1431" s="44">
        <v>8.24</v>
      </c>
      <c r="F1431" s="31">
        <f>TRUNC(22.86,2)</f>
        <v>22.86</v>
      </c>
      <c r="G1431" s="32">
        <f t="shared" si="54"/>
        <v>188.36</v>
      </c>
      <c r="H1431" s="32"/>
      <c r="I1431" s="33"/>
      <c r="J1431" s="33"/>
      <c r="K1431" s="44"/>
    </row>
    <row r="1432" spans="1:11" s="34" customFormat="1" ht="15">
      <c r="A1432" s="30"/>
      <c r="B1432" s="43" t="s">
        <v>35</v>
      </c>
      <c r="C1432" s="45" t="s">
        <v>36</v>
      </c>
      <c r="D1432" s="46" t="s">
        <v>4</v>
      </c>
      <c r="E1432" s="44">
        <v>4.12</v>
      </c>
      <c r="F1432" s="31">
        <f>TRUNC(22.86,2)</f>
        <v>22.86</v>
      </c>
      <c r="G1432" s="32">
        <f t="shared" si="54"/>
        <v>94.18</v>
      </c>
      <c r="H1432" s="32"/>
      <c r="I1432" s="33"/>
      <c r="J1432" s="33"/>
      <c r="K1432" s="44"/>
    </row>
    <row r="1433" spans="1:11" s="34" customFormat="1" ht="15">
      <c r="A1433" s="30"/>
      <c r="B1433" s="43"/>
      <c r="C1433" s="45"/>
      <c r="D1433" s="46"/>
      <c r="E1433" s="44" t="s">
        <v>5</v>
      </c>
      <c r="F1433" s="31"/>
      <c r="G1433" s="32">
        <f>TRUNC(SUM(G1422:G1432),2)</f>
        <v>1376.79</v>
      </c>
      <c r="H1433" s="32"/>
      <c r="I1433" s="33"/>
      <c r="J1433" s="33"/>
      <c r="K1433" s="44"/>
    </row>
    <row r="1434" spans="1:11" s="72" customFormat="1" ht="15">
      <c r="A1434" s="65" t="s">
        <v>1363</v>
      </c>
      <c r="B1434" s="66"/>
      <c r="C1434" s="67"/>
      <c r="D1434" s="68"/>
      <c r="E1434" s="69"/>
      <c r="F1434" s="70"/>
      <c r="G1434" s="73" t="s">
        <v>1710</v>
      </c>
      <c r="H1434" s="75">
        <f>H1421+H1410+H1405+H1399+H1395+H1385+H1373+H1369+H1365+H1354+H1348+H1341+H1331+H1322+H1313+H1309+H1305+H1301+H1297+H1290+H1286+H1282+H1278+H1274+H1270+H1264+H1258+H1252+H1246+H1240+H1234+H1229+H1224+H1219+H1214+H1208+H1202+H1193+H1188+H1183+H1177+H1171+H1391</f>
        <v>82338.91999999998</v>
      </c>
      <c r="I1434" s="75">
        <f>I1421+I1410+I1405+I1399+I1395+I1385+I1373+I1369+I1365+I1354+I1348+I1341+I1331+I1322+I1313+I1309+I1305+I1301+I1297+I1290+I1286+I1282+I1278+I1274+I1270+I1264+I1258+I1252+I1246+I1240+I1234+I1229+I1224+I1219+I1214+I1208+I1202+I1193+I1188+I1183+I1177+I1171+I1391</f>
        <v>100816.08</v>
      </c>
      <c r="J1434" s="71"/>
      <c r="K1434" s="69"/>
    </row>
    <row r="1435" spans="1:11" s="21" customFormat="1" ht="15.75">
      <c r="A1435" s="21" t="s">
        <v>1711</v>
      </c>
      <c r="B1435" s="28"/>
      <c r="C1435" s="29" t="s">
        <v>1308</v>
      </c>
      <c r="D1435" s="29"/>
      <c r="E1435" s="29"/>
      <c r="F1435" s="29"/>
      <c r="G1435" s="29"/>
      <c r="H1435" s="29"/>
      <c r="I1435" s="27"/>
      <c r="J1435" s="29"/>
      <c r="K1435" s="29"/>
    </row>
    <row r="1436" spans="1:11" s="107" customFormat="1" ht="105">
      <c r="A1436" s="99" t="s">
        <v>1712</v>
      </c>
      <c r="B1436" s="100" t="s">
        <v>2372</v>
      </c>
      <c r="C1436" s="101" t="s">
        <v>1310</v>
      </c>
      <c r="D1436" s="102" t="s">
        <v>10</v>
      </c>
      <c r="E1436" s="103">
        <v>2</v>
      </c>
      <c r="F1436" s="104">
        <f>TRUNC(G1457,2)</f>
        <v>6698.6</v>
      </c>
      <c r="G1436" s="105">
        <f>TRUNC(F1436*1.2247,2)</f>
        <v>8203.77</v>
      </c>
      <c r="H1436" s="105">
        <f>TRUNC(F1436*E1436,2)</f>
        <v>13397.2</v>
      </c>
      <c r="I1436" s="106">
        <f>TRUNC(E1436*G1436,2)</f>
        <v>16407.54</v>
      </c>
      <c r="J1436" s="106"/>
      <c r="K1436" s="103"/>
    </row>
    <row r="1437" spans="1:11" s="34" customFormat="1" ht="15">
      <c r="A1437" s="30"/>
      <c r="B1437" s="43" t="s">
        <v>718</v>
      </c>
      <c r="C1437" s="45" t="s">
        <v>719</v>
      </c>
      <c r="D1437" s="46" t="s">
        <v>2</v>
      </c>
      <c r="E1437" s="44">
        <v>17.35</v>
      </c>
      <c r="F1437" s="31">
        <f>TRUNC(9.23,2)</f>
        <v>9.23</v>
      </c>
      <c r="G1437" s="32">
        <f aca="true" t="shared" si="55" ref="G1437:G1456">TRUNC(E1437*F1437,2)</f>
        <v>160.14</v>
      </c>
      <c r="H1437" s="32"/>
      <c r="I1437" s="33"/>
      <c r="J1437" s="33"/>
      <c r="K1437" s="44"/>
    </row>
    <row r="1438" spans="1:11" s="34" customFormat="1" ht="15">
      <c r="A1438" s="30"/>
      <c r="B1438" s="43" t="s">
        <v>179</v>
      </c>
      <c r="C1438" s="45" t="s">
        <v>180</v>
      </c>
      <c r="D1438" s="46" t="s">
        <v>10</v>
      </c>
      <c r="E1438" s="44">
        <v>1</v>
      </c>
      <c r="F1438" s="31">
        <f>TRUNC(6.45,2)</f>
        <v>6.45</v>
      </c>
      <c r="G1438" s="32">
        <f t="shared" si="55"/>
        <v>6.45</v>
      </c>
      <c r="H1438" s="32"/>
      <c r="I1438" s="33"/>
      <c r="J1438" s="33"/>
      <c r="K1438" s="44"/>
    </row>
    <row r="1439" spans="1:11" s="34" customFormat="1" ht="15">
      <c r="A1439" s="30"/>
      <c r="B1439" s="43" t="s">
        <v>1311</v>
      </c>
      <c r="C1439" s="45" t="s">
        <v>1312</v>
      </c>
      <c r="D1439" s="46" t="s">
        <v>10</v>
      </c>
      <c r="E1439" s="44">
        <v>4</v>
      </c>
      <c r="F1439" s="31">
        <f>TRUNC(8.09,2)</f>
        <v>8.09</v>
      </c>
      <c r="G1439" s="32">
        <f t="shared" si="55"/>
        <v>32.36</v>
      </c>
      <c r="H1439" s="32"/>
      <c r="I1439" s="33"/>
      <c r="J1439" s="33"/>
      <c r="K1439" s="44"/>
    </row>
    <row r="1440" spans="1:11" s="34" customFormat="1" ht="30">
      <c r="A1440" s="30"/>
      <c r="B1440" s="43" t="s">
        <v>183</v>
      </c>
      <c r="C1440" s="45" t="s">
        <v>184</v>
      </c>
      <c r="D1440" s="46" t="s">
        <v>10</v>
      </c>
      <c r="E1440" s="44">
        <v>1</v>
      </c>
      <c r="F1440" s="31">
        <f>TRUNC(19.47,2)</f>
        <v>19.47</v>
      </c>
      <c r="G1440" s="32">
        <f t="shared" si="55"/>
        <v>19.47</v>
      </c>
      <c r="H1440" s="32"/>
      <c r="I1440" s="33"/>
      <c r="J1440" s="33"/>
      <c r="K1440" s="44"/>
    </row>
    <row r="1441" spans="1:11" s="34" customFormat="1" ht="15">
      <c r="A1441" s="30"/>
      <c r="B1441" s="43" t="s">
        <v>854</v>
      </c>
      <c r="C1441" s="45" t="s">
        <v>855</v>
      </c>
      <c r="D1441" s="46" t="s">
        <v>3</v>
      </c>
      <c r="E1441" s="44">
        <v>82.36</v>
      </c>
      <c r="F1441" s="31">
        <f>TRUNC(32,2)</f>
        <v>32</v>
      </c>
      <c r="G1441" s="32">
        <f t="shared" si="55"/>
        <v>2635.52</v>
      </c>
      <c r="H1441" s="32"/>
      <c r="I1441" s="33"/>
      <c r="J1441" s="33"/>
      <c r="K1441" s="44"/>
    </row>
    <row r="1442" spans="1:11" s="34" customFormat="1" ht="30">
      <c r="A1442" s="30"/>
      <c r="B1442" s="43" t="s">
        <v>33</v>
      </c>
      <c r="C1442" s="45" t="s">
        <v>34</v>
      </c>
      <c r="D1442" s="46" t="s">
        <v>4</v>
      </c>
      <c r="E1442" s="44">
        <v>9.888</v>
      </c>
      <c r="F1442" s="31">
        <f>TRUNC(16.55,2)</f>
        <v>16.55</v>
      </c>
      <c r="G1442" s="32">
        <f t="shared" si="55"/>
        <v>163.64</v>
      </c>
      <c r="H1442" s="32"/>
      <c r="I1442" s="33"/>
      <c r="J1442" s="33"/>
      <c r="K1442" s="44"/>
    </row>
    <row r="1443" spans="1:11" s="34" customFormat="1" ht="30">
      <c r="A1443" s="30"/>
      <c r="B1443" s="43" t="s">
        <v>1852</v>
      </c>
      <c r="C1443" s="45" t="s">
        <v>1853</v>
      </c>
      <c r="D1443" s="46" t="s">
        <v>4</v>
      </c>
      <c r="E1443" s="44">
        <v>2.3175</v>
      </c>
      <c r="F1443" s="31">
        <f>TRUNC(22.86,2)</f>
        <v>22.86</v>
      </c>
      <c r="G1443" s="32">
        <f t="shared" si="55"/>
        <v>52.97</v>
      </c>
      <c r="H1443" s="32"/>
      <c r="I1443" s="33"/>
      <c r="J1443" s="33"/>
      <c r="K1443" s="44"/>
    </row>
    <row r="1444" spans="1:11" s="34" customFormat="1" ht="30">
      <c r="A1444" s="30"/>
      <c r="B1444" s="43" t="s">
        <v>1750</v>
      </c>
      <c r="C1444" s="45" t="s">
        <v>1751</v>
      </c>
      <c r="D1444" s="46" t="s">
        <v>4</v>
      </c>
      <c r="E1444" s="44">
        <v>9.888</v>
      </c>
      <c r="F1444" s="31">
        <f>TRUNC(24.61,2)</f>
        <v>24.61</v>
      </c>
      <c r="G1444" s="32">
        <f t="shared" si="55"/>
        <v>243.34</v>
      </c>
      <c r="H1444" s="32"/>
      <c r="I1444" s="33"/>
      <c r="J1444" s="33"/>
      <c r="K1444" s="44"/>
    </row>
    <row r="1445" spans="1:11" s="34" customFormat="1" ht="15">
      <c r="A1445" s="30"/>
      <c r="B1445" s="43" t="s">
        <v>35</v>
      </c>
      <c r="C1445" s="45" t="s">
        <v>36</v>
      </c>
      <c r="D1445" s="46" t="s">
        <v>4</v>
      </c>
      <c r="E1445" s="44">
        <v>4.573200000000001</v>
      </c>
      <c r="F1445" s="31">
        <f>TRUNC(22.86,2)</f>
        <v>22.86</v>
      </c>
      <c r="G1445" s="32">
        <f t="shared" si="55"/>
        <v>104.54</v>
      </c>
      <c r="H1445" s="32"/>
      <c r="I1445" s="33"/>
      <c r="J1445" s="33"/>
      <c r="K1445" s="44"/>
    </row>
    <row r="1446" spans="1:11" s="34" customFormat="1" ht="30">
      <c r="A1446" s="30"/>
      <c r="B1446" s="43" t="s">
        <v>2360</v>
      </c>
      <c r="C1446" s="45" t="s">
        <v>2361</v>
      </c>
      <c r="D1446" s="46" t="s">
        <v>3</v>
      </c>
      <c r="E1446" s="44">
        <v>14.83</v>
      </c>
      <c r="F1446" s="31">
        <f>TRUNC(15.0701,2)</f>
        <v>15.07</v>
      </c>
      <c r="G1446" s="32">
        <f t="shared" si="55"/>
        <v>223.48</v>
      </c>
      <c r="H1446" s="32"/>
      <c r="I1446" s="33"/>
      <c r="J1446" s="33"/>
      <c r="K1446" s="44"/>
    </row>
    <row r="1447" spans="1:11" s="34" customFormat="1" ht="15">
      <c r="A1447" s="30"/>
      <c r="B1447" s="43" t="s">
        <v>2362</v>
      </c>
      <c r="C1447" s="45" t="s">
        <v>2363</v>
      </c>
      <c r="D1447" s="46" t="s">
        <v>0</v>
      </c>
      <c r="E1447" s="44">
        <v>11.31</v>
      </c>
      <c r="F1447" s="31">
        <f>TRUNC(136.1403,2)</f>
        <v>136.14</v>
      </c>
      <c r="G1447" s="32">
        <f t="shared" si="55"/>
        <v>1539.74</v>
      </c>
      <c r="H1447" s="32"/>
      <c r="I1447" s="33"/>
      <c r="J1447" s="33"/>
      <c r="K1447" s="44"/>
    </row>
    <row r="1448" spans="1:11" s="34" customFormat="1" ht="15">
      <c r="A1448" s="30"/>
      <c r="B1448" s="43" t="s">
        <v>2350</v>
      </c>
      <c r="C1448" s="45" t="s">
        <v>2351</v>
      </c>
      <c r="D1448" s="46" t="s">
        <v>0</v>
      </c>
      <c r="E1448" s="44">
        <v>7.36</v>
      </c>
      <c r="F1448" s="31">
        <f>TRUNC(28.0612,2)</f>
        <v>28.06</v>
      </c>
      <c r="G1448" s="32">
        <f t="shared" si="55"/>
        <v>206.52</v>
      </c>
      <c r="H1448" s="32"/>
      <c r="I1448" s="33"/>
      <c r="J1448" s="33"/>
      <c r="K1448" s="44"/>
    </row>
    <row r="1449" spans="1:11" s="34" customFormat="1" ht="15">
      <c r="A1449" s="30"/>
      <c r="B1449" s="43" t="s">
        <v>2364</v>
      </c>
      <c r="C1449" s="45" t="s">
        <v>2365</v>
      </c>
      <c r="D1449" s="46" t="s">
        <v>1</v>
      </c>
      <c r="E1449" s="44">
        <v>0.66</v>
      </c>
      <c r="F1449" s="31">
        <f>TRUNC(122.7432,2)</f>
        <v>122.74</v>
      </c>
      <c r="G1449" s="32">
        <f t="shared" si="55"/>
        <v>81</v>
      </c>
      <c r="H1449" s="32"/>
      <c r="I1449" s="33"/>
      <c r="J1449" s="33"/>
      <c r="K1449" s="44"/>
    </row>
    <row r="1450" spans="1:11" s="34" customFormat="1" ht="15">
      <c r="A1450" s="30"/>
      <c r="B1450" s="43" t="s">
        <v>1764</v>
      </c>
      <c r="C1450" s="45" t="s">
        <v>1765</v>
      </c>
      <c r="D1450" s="46" t="s">
        <v>1</v>
      </c>
      <c r="E1450" s="44">
        <v>0.66</v>
      </c>
      <c r="F1450" s="31">
        <f>TRUNC(82.5898,2)</f>
        <v>82.58</v>
      </c>
      <c r="G1450" s="32">
        <f t="shared" si="55"/>
        <v>54.5</v>
      </c>
      <c r="H1450" s="32"/>
      <c r="I1450" s="33"/>
      <c r="J1450" s="33"/>
      <c r="K1450" s="44"/>
    </row>
    <row r="1451" spans="1:11" s="34" customFormat="1" ht="15">
      <c r="A1451" s="30"/>
      <c r="B1451" s="43" t="s">
        <v>1762</v>
      </c>
      <c r="C1451" s="45" t="s">
        <v>1763</v>
      </c>
      <c r="D1451" s="46" t="s">
        <v>1</v>
      </c>
      <c r="E1451" s="44">
        <v>0.66</v>
      </c>
      <c r="F1451" s="31">
        <f>TRUNC(277.3833,2)</f>
        <v>277.38</v>
      </c>
      <c r="G1451" s="32">
        <f t="shared" si="55"/>
        <v>183.07</v>
      </c>
      <c r="H1451" s="32"/>
      <c r="I1451" s="33"/>
      <c r="J1451" s="33"/>
      <c r="K1451" s="44"/>
    </row>
    <row r="1452" spans="1:11" s="34" customFormat="1" ht="15">
      <c r="A1452" s="30"/>
      <c r="B1452" s="43" t="s">
        <v>2366</v>
      </c>
      <c r="C1452" s="45" t="s">
        <v>2367</v>
      </c>
      <c r="D1452" s="46" t="s">
        <v>1</v>
      </c>
      <c r="E1452" s="44">
        <v>0.47</v>
      </c>
      <c r="F1452" s="31">
        <f>TRUNC(268.7009,2)</f>
        <v>268.7</v>
      </c>
      <c r="G1452" s="32">
        <f t="shared" si="55"/>
        <v>126.28</v>
      </c>
      <c r="H1452" s="32"/>
      <c r="I1452" s="33"/>
      <c r="J1452" s="33"/>
      <c r="K1452" s="44"/>
    </row>
    <row r="1453" spans="1:11" s="34" customFormat="1" ht="26.25" customHeight="1">
      <c r="A1453" s="30"/>
      <c r="B1453" s="52" t="s">
        <v>827</v>
      </c>
      <c r="C1453" s="55" t="s">
        <v>2369</v>
      </c>
      <c r="D1453" s="46" t="s">
        <v>10</v>
      </c>
      <c r="E1453" s="44">
        <v>1</v>
      </c>
      <c r="F1453" s="31">
        <v>145.2</v>
      </c>
      <c r="G1453" s="32">
        <f t="shared" si="55"/>
        <v>145.2</v>
      </c>
      <c r="H1453" s="32"/>
      <c r="I1453" s="33"/>
      <c r="J1453" s="33"/>
      <c r="K1453" s="44"/>
    </row>
    <row r="1454" spans="1:11" s="34" customFormat="1" ht="15">
      <c r="A1454" s="30"/>
      <c r="B1454" s="52" t="s">
        <v>827</v>
      </c>
      <c r="C1454" s="55" t="s">
        <v>2370</v>
      </c>
      <c r="D1454" s="56" t="s">
        <v>10</v>
      </c>
      <c r="E1454" s="44">
        <v>1</v>
      </c>
      <c r="F1454" s="31">
        <v>307</v>
      </c>
      <c r="G1454" s="32">
        <f t="shared" si="55"/>
        <v>307</v>
      </c>
      <c r="H1454" s="32"/>
      <c r="I1454" s="33"/>
      <c r="J1454" s="33"/>
      <c r="K1454" s="44"/>
    </row>
    <row r="1455" spans="1:11" s="34" customFormat="1" ht="15">
      <c r="A1455" s="30"/>
      <c r="B1455" s="52" t="s">
        <v>827</v>
      </c>
      <c r="C1455" s="55" t="s">
        <v>2371</v>
      </c>
      <c r="D1455" s="56" t="s">
        <v>10</v>
      </c>
      <c r="E1455" s="44">
        <v>1</v>
      </c>
      <c r="F1455" s="59">
        <v>273.79</v>
      </c>
      <c r="G1455" s="32">
        <f t="shared" si="55"/>
        <v>273.79</v>
      </c>
      <c r="H1455" s="32"/>
      <c r="I1455" s="33"/>
      <c r="J1455" s="33"/>
      <c r="K1455" s="44"/>
    </row>
    <row r="1456" spans="1:11" s="34" customFormat="1" ht="29.25" customHeight="1">
      <c r="A1456" s="30"/>
      <c r="B1456" s="52" t="s">
        <v>827</v>
      </c>
      <c r="C1456" s="55" t="s">
        <v>1357</v>
      </c>
      <c r="D1456" s="56" t="s">
        <v>10</v>
      </c>
      <c r="E1456" s="44">
        <v>1</v>
      </c>
      <c r="F1456" s="59">
        <v>139.59</v>
      </c>
      <c r="G1456" s="32">
        <f t="shared" si="55"/>
        <v>139.59</v>
      </c>
      <c r="H1456" s="32"/>
      <c r="I1456" s="33"/>
      <c r="J1456" s="33"/>
      <c r="K1456" s="44"/>
    </row>
    <row r="1457" spans="1:11" s="34" customFormat="1" ht="15">
      <c r="A1457" s="30"/>
      <c r="B1457" s="43"/>
      <c r="C1457" s="45"/>
      <c r="D1457" s="46"/>
      <c r="E1457" s="44" t="s">
        <v>5</v>
      </c>
      <c r="F1457" s="31"/>
      <c r="G1457" s="32">
        <f>TRUNC(SUM(G1437:G1456),2)</f>
        <v>6698.6</v>
      </c>
      <c r="H1457" s="32"/>
      <c r="I1457" s="33"/>
      <c r="J1457" s="33"/>
      <c r="K1457" s="44"/>
    </row>
    <row r="1458" spans="1:11" s="58" customFormat="1" ht="42.75">
      <c r="A1458" s="54"/>
      <c r="B1458" s="52" t="s">
        <v>2368</v>
      </c>
      <c r="C1458" s="55" t="s">
        <v>1322</v>
      </c>
      <c r="D1458" s="56" t="s">
        <v>2</v>
      </c>
      <c r="E1458" s="57">
        <v>12</v>
      </c>
      <c r="F1458" s="53">
        <f>TRUNC(49.94545,2)</f>
        <v>49.94</v>
      </c>
      <c r="G1458" s="32">
        <f aca="true" t="shared" si="56" ref="G1458:G1463">TRUNC(E1458*F1458,2)</f>
        <v>599.28</v>
      </c>
      <c r="H1458" s="50"/>
      <c r="I1458" s="51"/>
      <c r="J1458" s="51"/>
      <c r="K1458" s="57"/>
    </row>
    <row r="1459" spans="1:11" s="58" customFormat="1" ht="15">
      <c r="A1459" s="54"/>
      <c r="B1459" s="52" t="s">
        <v>1324</v>
      </c>
      <c r="C1459" s="55" t="s">
        <v>1325</v>
      </c>
      <c r="D1459" s="56" t="s">
        <v>10</v>
      </c>
      <c r="E1459" s="57">
        <v>1</v>
      </c>
      <c r="F1459" s="53">
        <v>27.94</v>
      </c>
      <c r="G1459" s="32">
        <f t="shared" si="56"/>
        <v>27.94</v>
      </c>
      <c r="H1459" s="50"/>
      <c r="I1459" s="51"/>
      <c r="J1459" s="51"/>
      <c r="K1459" s="57"/>
    </row>
    <row r="1460" spans="1:11" s="58" customFormat="1" ht="15">
      <c r="A1460" s="54"/>
      <c r="B1460" s="52" t="s">
        <v>827</v>
      </c>
      <c r="C1460" s="55" t="s">
        <v>1326</v>
      </c>
      <c r="D1460" s="56" t="s">
        <v>10</v>
      </c>
      <c r="E1460" s="57">
        <v>1</v>
      </c>
      <c r="F1460" s="53">
        <f>G1468</f>
        <v>141.36</v>
      </c>
      <c r="G1460" s="32">
        <f t="shared" si="56"/>
        <v>141.36</v>
      </c>
      <c r="H1460" s="50"/>
      <c r="I1460" s="51"/>
      <c r="J1460" s="51"/>
      <c r="K1460" s="57"/>
    </row>
    <row r="1461" spans="1:11" s="58" customFormat="1" ht="15">
      <c r="A1461" s="54"/>
      <c r="B1461" s="52" t="s">
        <v>827</v>
      </c>
      <c r="C1461" s="55" t="s">
        <v>1330</v>
      </c>
      <c r="D1461" s="56" t="s">
        <v>10</v>
      </c>
      <c r="E1461" s="57">
        <v>1</v>
      </c>
      <c r="F1461" s="53">
        <f>G1472</f>
        <v>307</v>
      </c>
      <c r="G1461" s="32">
        <f t="shared" si="56"/>
        <v>307</v>
      </c>
      <c r="H1461" s="50"/>
      <c r="I1461" s="51"/>
      <c r="J1461" s="51"/>
      <c r="K1461" s="57"/>
    </row>
    <row r="1462" spans="1:11" s="58" customFormat="1" ht="15">
      <c r="A1462" s="54"/>
      <c r="B1462" s="52" t="s">
        <v>827</v>
      </c>
      <c r="C1462" s="55" t="s">
        <v>1334</v>
      </c>
      <c r="D1462" s="56" t="s">
        <v>10</v>
      </c>
      <c r="E1462" s="57">
        <v>1</v>
      </c>
      <c r="F1462" s="53">
        <f>G1476</f>
        <v>273.79</v>
      </c>
      <c r="G1462" s="32">
        <f t="shared" si="56"/>
        <v>273.79</v>
      </c>
      <c r="H1462" s="50"/>
      <c r="I1462" s="51"/>
      <c r="J1462" s="51"/>
      <c r="K1462" s="57"/>
    </row>
    <row r="1463" spans="1:11" s="58" customFormat="1" ht="15">
      <c r="A1463" s="54"/>
      <c r="B1463" s="52" t="s">
        <v>827</v>
      </c>
      <c r="C1463" s="55" t="s">
        <v>1357</v>
      </c>
      <c r="D1463" s="56" t="s">
        <v>10</v>
      </c>
      <c r="E1463" s="57">
        <v>1</v>
      </c>
      <c r="F1463" s="53">
        <f>G1480</f>
        <v>139.59</v>
      </c>
      <c r="G1463" s="32">
        <f t="shared" si="56"/>
        <v>139.59</v>
      </c>
      <c r="H1463" s="50"/>
      <c r="I1463" s="51"/>
      <c r="J1463" s="51"/>
      <c r="K1463" s="57"/>
    </row>
    <row r="1464" spans="1:11" s="34" customFormat="1" ht="15">
      <c r="A1464" s="30"/>
      <c r="B1464" s="43"/>
      <c r="C1464" s="45"/>
      <c r="D1464" s="46"/>
      <c r="E1464" s="57" t="s">
        <v>5</v>
      </c>
      <c r="F1464" s="53"/>
      <c r="G1464" s="50">
        <f>TRUNC(SUM(G1458:G1463),2)</f>
        <v>1488.96</v>
      </c>
      <c r="H1464" s="32"/>
      <c r="I1464" s="33"/>
      <c r="J1464" s="33"/>
      <c r="K1464" s="44"/>
    </row>
    <row r="1465" spans="1:11" s="34" customFormat="1" ht="15">
      <c r="A1465" s="30"/>
      <c r="B1465" s="52" t="s">
        <v>827</v>
      </c>
      <c r="C1465" s="55" t="s">
        <v>1327</v>
      </c>
      <c r="D1465" s="46" t="s">
        <v>10</v>
      </c>
      <c r="E1465" s="44">
        <v>1</v>
      </c>
      <c r="F1465" s="31">
        <v>141.36</v>
      </c>
      <c r="G1465" s="32">
        <f>TRUNC(E1465*F1465,2)</f>
        <v>141.36</v>
      </c>
      <c r="H1465" s="32"/>
      <c r="I1465" s="33"/>
      <c r="J1465" s="33"/>
      <c r="K1465" s="44"/>
    </row>
    <row r="1466" spans="1:11" s="34" customFormat="1" ht="15">
      <c r="A1466" s="30"/>
      <c r="B1466" s="52" t="s">
        <v>827</v>
      </c>
      <c r="C1466" s="55" t="s">
        <v>1328</v>
      </c>
      <c r="D1466" s="46" t="s">
        <v>10</v>
      </c>
      <c r="E1466" s="44">
        <v>1</v>
      </c>
      <c r="F1466" s="31">
        <v>111.3</v>
      </c>
      <c r="G1466" s="32">
        <f>TRUNC(E1466*F1466,2)</f>
        <v>111.3</v>
      </c>
      <c r="H1466" s="32"/>
      <c r="I1466" s="33"/>
      <c r="J1466" s="33"/>
      <c r="K1466" s="44"/>
    </row>
    <row r="1467" spans="1:11" s="34" customFormat="1" ht="26.25" customHeight="1">
      <c r="A1467" s="30"/>
      <c r="B1467" s="52" t="s">
        <v>827</v>
      </c>
      <c r="C1467" s="55" t="s">
        <v>1329</v>
      </c>
      <c r="D1467" s="46" t="s">
        <v>10</v>
      </c>
      <c r="E1467" s="44">
        <v>1</v>
      </c>
      <c r="F1467" s="31">
        <v>145.2</v>
      </c>
      <c r="G1467" s="32">
        <f>TRUNC(E1467*F1467,2)</f>
        <v>145.2</v>
      </c>
      <c r="H1467" s="32"/>
      <c r="I1467" s="33"/>
      <c r="J1467" s="33"/>
      <c r="K1467" s="44"/>
    </row>
    <row r="1468" spans="1:11" s="34" customFormat="1" ht="15">
      <c r="A1468" s="30"/>
      <c r="B1468" s="52"/>
      <c r="C1468" s="55"/>
      <c r="D1468" s="46"/>
      <c r="E1468" s="44" t="s">
        <v>1218</v>
      </c>
      <c r="F1468" s="59" t="s">
        <v>957</v>
      </c>
      <c r="G1468" s="32">
        <f>G1465</f>
        <v>141.36</v>
      </c>
      <c r="H1468" s="32"/>
      <c r="I1468" s="33"/>
      <c r="J1468" s="33"/>
      <c r="K1468" s="44"/>
    </row>
    <row r="1469" spans="1:11" s="34" customFormat="1" ht="28.5">
      <c r="A1469" s="30"/>
      <c r="B1469" s="52" t="s">
        <v>827</v>
      </c>
      <c r="C1469" s="55" t="s">
        <v>1331</v>
      </c>
      <c r="D1469" s="56" t="s">
        <v>10</v>
      </c>
      <c r="E1469" s="44">
        <v>1</v>
      </c>
      <c r="F1469" s="31">
        <v>307</v>
      </c>
      <c r="G1469" s="32">
        <f>TRUNC(E1469*F1469,2)</f>
        <v>307</v>
      </c>
      <c r="H1469" s="32"/>
      <c r="I1469" s="33"/>
      <c r="J1469" s="33"/>
      <c r="K1469" s="44"/>
    </row>
    <row r="1470" spans="1:11" s="34" customFormat="1" ht="28.5">
      <c r="A1470" s="30"/>
      <c r="B1470" s="52" t="s">
        <v>827</v>
      </c>
      <c r="C1470" s="55" t="s">
        <v>1332</v>
      </c>
      <c r="D1470" s="56" t="s">
        <v>10</v>
      </c>
      <c r="E1470" s="44">
        <v>1</v>
      </c>
      <c r="F1470" s="31">
        <v>276.3</v>
      </c>
      <c r="G1470" s="32">
        <f>TRUNC(E1470*F1470,2)</f>
        <v>276.3</v>
      </c>
      <c r="H1470" s="32"/>
      <c r="I1470" s="33"/>
      <c r="J1470" s="33"/>
      <c r="K1470" s="44"/>
    </row>
    <row r="1471" spans="1:11" s="34" customFormat="1" ht="28.5">
      <c r="A1471" s="30"/>
      <c r="B1471" s="52" t="s">
        <v>827</v>
      </c>
      <c r="C1471" s="55" t="s">
        <v>1333</v>
      </c>
      <c r="D1471" s="56" t="s">
        <v>10</v>
      </c>
      <c r="E1471" s="44">
        <v>1</v>
      </c>
      <c r="F1471" s="31">
        <v>328.18</v>
      </c>
      <c r="G1471" s="32">
        <f>TRUNC(E1471*F1471,2)</f>
        <v>328.18</v>
      </c>
      <c r="H1471" s="32"/>
      <c r="I1471" s="33"/>
      <c r="J1471" s="33"/>
      <c r="K1471" s="44"/>
    </row>
    <row r="1472" spans="1:11" s="34" customFormat="1" ht="15">
      <c r="A1472" s="30"/>
      <c r="B1472" s="52"/>
      <c r="C1472" s="55"/>
      <c r="D1472" s="46"/>
      <c r="E1472" s="44" t="s">
        <v>1218</v>
      </c>
      <c r="F1472" s="59" t="s">
        <v>957</v>
      </c>
      <c r="G1472" s="32">
        <f>G1469</f>
        <v>307</v>
      </c>
      <c r="H1472" s="32"/>
      <c r="I1472" s="33"/>
      <c r="J1472" s="33"/>
      <c r="K1472" s="44"/>
    </row>
    <row r="1473" spans="1:11" s="34" customFormat="1" ht="28.5">
      <c r="A1473" s="30"/>
      <c r="B1473" s="52" t="s">
        <v>827</v>
      </c>
      <c r="C1473" s="55" t="s">
        <v>1337</v>
      </c>
      <c r="D1473" s="56" t="s">
        <v>10</v>
      </c>
      <c r="E1473" s="44">
        <v>1</v>
      </c>
      <c r="F1473" s="59">
        <v>273.79</v>
      </c>
      <c r="G1473" s="32">
        <f>TRUNC(E1473*F1473,2)</f>
        <v>273.79</v>
      </c>
      <c r="H1473" s="32"/>
      <c r="I1473" s="33"/>
      <c r="J1473" s="33"/>
      <c r="K1473" s="44"/>
    </row>
    <row r="1474" spans="1:11" s="34" customFormat="1" ht="28.5">
      <c r="A1474" s="30"/>
      <c r="B1474" s="52" t="s">
        <v>827</v>
      </c>
      <c r="C1474" s="55" t="s">
        <v>1336</v>
      </c>
      <c r="D1474" s="56" t="s">
        <v>10</v>
      </c>
      <c r="E1474" s="44">
        <v>1</v>
      </c>
      <c r="F1474" s="59">
        <v>319.2</v>
      </c>
      <c r="G1474" s="32">
        <f>TRUNC(E1474*F1474,2)</f>
        <v>319.2</v>
      </c>
      <c r="H1474" s="32"/>
      <c r="I1474" s="33"/>
      <c r="J1474" s="33"/>
      <c r="K1474" s="44"/>
    </row>
    <row r="1475" spans="1:11" s="34" customFormat="1" ht="28.5">
      <c r="A1475" s="30"/>
      <c r="B1475" s="52" t="s">
        <v>827</v>
      </c>
      <c r="C1475" s="55" t="s">
        <v>1335</v>
      </c>
      <c r="D1475" s="56" t="s">
        <v>10</v>
      </c>
      <c r="E1475" s="44">
        <v>1</v>
      </c>
      <c r="F1475" s="59">
        <v>218.41</v>
      </c>
      <c r="G1475" s="32">
        <f>TRUNC(E1475*F1475,2)</f>
        <v>218.41</v>
      </c>
      <c r="H1475" s="32"/>
      <c r="I1475" s="33"/>
      <c r="J1475" s="33"/>
      <c r="K1475" s="44"/>
    </row>
    <row r="1476" spans="1:11" s="34" customFormat="1" ht="15">
      <c r="A1476" s="30"/>
      <c r="B1476" s="43"/>
      <c r="C1476" s="45"/>
      <c r="D1476" s="46"/>
      <c r="E1476" s="44" t="s">
        <v>1218</v>
      </c>
      <c r="F1476" s="59" t="s">
        <v>957</v>
      </c>
      <c r="G1476" s="32">
        <f>G1473</f>
        <v>273.79</v>
      </c>
      <c r="H1476" s="32"/>
      <c r="I1476" s="33"/>
      <c r="J1476" s="33"/>
      <c r="K1476" s="44"/>
    </row>
    <row r="1477" spans="1:11" s="34" customFormat="1" ht="27.75" customHeight="1">
      <c r="A1477" s="30"/>
      <c r="B1477" s="52" t="s">
        <v>827</v>
      </c>
      <c r="C1477" s="55" t="s">
        <v>1338</v>
      </c>
      <c r="D1477" s="56" t="s">
        <v>10</v>
      </c>
      <c r="E1477" s="44">
        <v>1</v>
      </c>
      <c r="F1477" s="59">
        <v>81.99</v>
      </c>
      <c r="G1477" s="32">
        <f>TRUNC(E1477*F1477,2)</f>
        <v>81.99</v>
      </c>
      <c r="H1477" s="32"/>
      <c r="I1477" s="33"/>
      <c r="J1477" s="33"/>
      <c r="K1477" s="44"/>
    </row>
    <row r="1478" spans="1:11" s="34" customFormat="1" ht="29.25" customHeight="1">
      <c r="A1478" s="30"/>
      <c r="B1478" s="52" t="s">
        <v>827</v>
      </c>
      <c r="C1478" s="55" t="s">
        <v>1355</v>
      </c>
      <c r="D1478" s="56" t="s">
        <v>10</v>
      </c>
      <c r="E1478" s="44">
        <v>1</v>
      </c>
      <c r="F1478" s="59">
        <v>139.59</v>
      </c>
      <c r="G1478" s="32">
        <f>TRUNC(E1478*F1478,2)</f>
        <v>139.59</v>
      </c>
      <c r="H1478" s="32"/>
      <c r="I1478" s="33"/>
      <c r="J1478" s="33"/>
      <c r="K1478" s="44"/>
    </row>
    <row r="1479" spans="1:11" s="34" customFormat="1" ht="15">
      <c r="A1479" s="30"/>
      <c r="B1479" s="52" t="s">
        <v>827</v>
      </c>
      <c r="C1479" s="55" t="s">
        <v>1356</v>
      </c>
      <c r="D1479" s="56" t="s">
        <v>10</v>
      </c>
      <c r="E1479" s="44">
        <v>1</v>
      </c>
      <c r="F1479" s="59">
        <v>395.99</v>
      </c>
      <c r="G1479" s="32">
        <f>TRUNC(E1479*F1479,2)</f>
        <v>395.99</v>
      </c>
      <c r="H1479" s="32"/>
      <c r="I1479" s="33"/>
      <c r="J1479" s="33"/>
      <c r="K1479" s="44"/>
    </row>
    <row r="1480" spans="1:11" s="34" customFormat="1" ht="15">
      <c r="A1480" s="30"/>
      <c r="B1480" s="43"/>
      <c r="C1480" s="45"/>
      <c r="D1480" s="46"/>
      <c r="E1480" s="44" t="s">
        <v>1218</v>
      </c>
      <c r="F1480" s="59" t="s">
        <v>957</v>
      </c>
      <c r="G1480" s="32">
        <f>G1478</f>
        <v>139.59</v>
      </c>
      <c r="H1480" s="32"/>
      <c r="I1480" s="33"/>
      <c r="J1480" s="33"/>
      <c r="K1480" s="44"/>
    </row>
    <row r="1481" spans="1:11" s="72" customFormat="1" ht="15">
      <c r="A1481" s="65" t="s">
        <v>1363</v>
      </c>
      <c r="B1481" s="66"/>
      <c r="C1481" s="67"/>
      <c r="D1481" s="68"/>
      <c r="E1481" s="69"/>
      <c r="F1481" s="70"/>
      <c r="G1481" s="73" t="s">
        <v>1713</v>
      </c>
      <c r="H1481" s="75">
        <f>H1436</f>
        <v>13397.2</v>
      </c>
      <c r="I1481" s="75">
        <f>I1436</f>
        <v>16407.54</v>
      </c>
      <c r="J1481" s="71"/>
      <c r="K1481" s="69"/>
    </row>
    <row r="1482" spans="1:11" s="21" customFormat="1" ht="15.75">
      <c r="A1482" s="21" t="s">
        <v>1714</v>
      </c>
      <c r="B1482" s="28"/>
      <c r="C1482" s="29" t="s">
        <v>1343</v>
      </c>
      <c r="D1482" s="29"/>
      <c r="E1482" s="29"/>
      <c r="F1482" s="29"/>
      <c r="G1482" s="29"/>
      <c r="H1482" s="29"/>
      <c r="I1482" s="27"/>
      <c r="J1482" s="29"/>
      <c r="K1482" s="29"/>
    </row>
    <row r="1483" spans="1:11" s="107" customFormat="1" ht="30">
      <c r="A1483" s="99" t="s">
        <v>1715</v>
      </c>
      <c r="B1483" s="100" t="s">
        <v>2373</v>
      </c>
      <c r="C1483" s="101" t="s">
        <v>1340</v>
      </c>
      <c r="D1483" s="102" t="s">
        <v>10</v>
      </c>
      <c r="E1483" s="103">
        <v>4</v>
      </c>
      <c r="F1483" s="104">
        <f>TRUNC(G1488,2)</f>
        <v>215.22</v>
      </c>
      <c r="G1483" s="105">
        <f>TRUNC(F1483*1.2247,2)</f>
        <v>263.57</v>
      </c>
      <c r="H1483" s="105">
        <f>TRUNC(F1483*E1483,2)</f>
        <v>860.88</v>
      </c>
      <c r="I1483" s="106">
        <f>TRUNC(E1483*G1483,2)</f>
        <v>1054.28</v>
      </c>
      <c r="J1483" s="106"/>
      <c r="K1483" s="103"/>
    </row>
    <row r="1484" spans="1:11" s="34" customFormat="1" ht="30">
      <c r="A1484" s="30"/>
      <c r="B1484" s="43" t="s">
        <v>2374</v>
      </c>
      <c r="C1484" s="45" t="s">
        <v>1342</v>
      </c>
      <c r="D1484" s="46" t="s">
        <v>10</v>
      </c>
      <c r="E1484" s="44">
        <v>1</v>
      </c>
      <c r="F1484" s="31">
        <f>TRUNC(190,2)</f>
        <v>190</v>
      </c>
      <c r="G1484" s="32">
        <f>TRUNC(E1484*F1484,2)</f>
        <v>190</v>
      </c>
      <c r="H1484" s="32"/>
      <c r="I1484" s="33"/>
      <c r="J1484" s="33"/>
      <c r="K1484" s="44"/>
    </row>
    <row r="1485" spans="1:11" s="34" customFormat="1" ht="30">
      <c r="A1485" s="30"/>
      <c r="B1485" s="43" t="s">
        <v>2375</v>
      </c>
      <c r="C1485" s="45" t="s">
        <v>797</v>
      </c>
      <c r="D1485" s="46" t="s">
        <v>10</v>
      </c>
      <c r="E1485" s="44">
        <v>2</v>
      </c>
      <c r="F1485" s="31">
        <f>TRUNC(0.72,2)</f>
        <v>0.72</v>
      </c>
      <c r="G1485" s="32">
        <f>TRUNC(E1485*F1485,2)</f>
        <v>1.44</v>
      </c>
      <c r="H1485" s="32"/>
      <c r="I1485" s="33"/>
      <c r="J1485" s="33"/>
      <c r="K1485" s="44"/>
    </row>
    <row r="1486" spans="1:11" s="34" customFormat="1" ht="15">
      <c r="A1486" s="30"/>
      <c r="B1486" s="43" t="s">
        <v>1933</v>
      </c>
      <c r="C1486" s="45" t="s">
        <v>417</v>
      </c>
      <c r="D1486" s="46" t="s">
        <v>4</v>
      </c>
      <c r="E1486" s="44">
        <v>0.4574</v>
      </c>
      <c r="F1486" s="31">
        <f>TRUNC(29.32,2)</f>
        <v>29.32</v>
      </c>
      <c r="G1486" s="32">
        <f>TRUNC(E1486*F1486,2)</f>
        <v>13.41</v>
      </c>
      <c r="H1486" s="32"/>
      <c r="I1486" s="33"/>
      <c r="J1486" s="33"/>
      <c r="K1486" s="44"/>
    </row>
    <row r="1487" spans="1:11" s="34" customFormat="1" ht="30">
      <c r="A1487" s="30"/>
      <c r="B1487" s="43" t="s">
        <v>1974</v>
      </c>
      <c r="C1487" s="45" t="s">
        <v>419</v>
      </c>
      <c r="D1487" s="46" t="s">
        <v>4</v>
      </c>
      <c r="E1487" s="44">
        <v>0.4574</v>
      </c>
      <c r="F1487" s="31">
        <f>TRUNC(22.69,2)</f>
        <v>22.69</v>
      </c>
      <c r="G1487" s="32">
        <f>TRUNC(E1487*F1487,2)</f>
        <v>10.37</v>
      </c>
      <c r="H1487" s="32"/>
      <c r="I1487" s="33"/>
      <c r="J1487" s="33"/>
      <c r="K1487" s="44"/>
    </row>
    <row r="1488" spans="1:11" s="34" customFormat="1" ht="15">
      <c r="A1488" s="30"/>
      <c r="B1488" s="43"/>
      <c r="C1488" s="45"/>
      <c r="D1488" s="46"/>
      <c r="E1488" s="44" t="s">
        <v>5</v>
      </c>
      <c r="F1488" s="31"/>
      <c r="G1488" s="32">
        <f>TRUNC(SUM(G1484:G1487),2)</f>
        <v>215.22</v>
      </c>
      <c r="H1488" s="32"/>
      <c r="I1488" s="33"/>
      <c r="J1488" s="33"/>
      <c r="K1488" s="44"/>
    </row>
    <row r="1489" spans="1:11" s="107" customFormat="1" ht="30">
      <c r="A1489" s="99" t="s">
        <v>1716</v>
      </c>
      <c r="B1489" s="100" t="s">
        <v>2376</v>
      </c>
      <c r="C1489" s="101" t="s">
        <v>793</v>
      </c>
      <c r="D1489" s="102" t="s">
        <v>10</v>
      </c>
      <c r="E1489" s="103">
        <v>1</v>
      </c>
      <c r="F1489" s="104">
        <f>TRUNC(G1494,2)</f>
        <v>595.22</v>
      </c>
      <c r="G1489" s="105">
        <f>TRUNC(F1489*1.2247,2)</f>
        <v>728.96</v>
      </c>
      <c r="H1489" s="105">
        <f>TRUNC(F1489*E1489,2)</f>
        <v>595.22</v>
      </c>
      <c r="I1489" s="106">
        <f>TRUNC(E1489*G1489,2)</f>
        <v>728.96</v>
      </c>
      <c r="J1489" s="106"/>
      <c r="K1489" s="103"/>
    </row>
    <row r="1490" spans="1:11" s="34" customFormat="1" ht="30">
      <c r="A1490" s="30"/>
      <c r="B1490" s="43" t="s">
        <v>2377</v>
      </c>
      <c r="C1490" s="45" t="s">
        <v>795</v>
      </c>
      <c r="D1490" s="46" t="s">
        <v>10</v>
      </c>
      <c r="E1490" s="44">
        <v>1</v>
      </c>
      <c r="F1490" s="31">
        <f>TRUNC(570,2)</f>
        <v>570</v>
      </c>
      <c r="G1490" s="32">
        <f>TRUNC(E1490*F1490,2)</f>
        <v>570</v>
      </c>
      <c r="H1490" s="32"/>
      <c r="I1490" s="33"/>
      <c r="J1490" s="33"/>
      <c r="K1490" s="44"/>
    </row>
    <row r="1491" spans="1:11" s="34" customFormat="1" ht="30">
      <c r="A1491" s="30"/>
      <c r="B1491" s="43" t="s">
        <v>2375</v>
      </c>
      <c r="C1491" s="45" t="s">
        <v>797</v>
      </c>
      <c r="D1491" s="46" t="s">
        <v>10</v>
      </c>
      <c r="E1491" s="44">
        <v>2</v>
      </c>
      <c r="F1491" s="31">
        <f>TRUNC(0.72,2)</f>
        <v>0.72</v>
      </c>
      <c r="G1491" s="32">
        <f>TRUNC(E1491*F1491,2)</f>
        <v>1.44</v>
      </c>
      <c r="H1491" s="32"/>
      <c r="I1491" s="33"/>
      <c r="J1491" s="33"/>
      <c r="K1491" s="44"/>
    </row>
    <row r="1492" spans="1:11" s="34" customFormat="1" ht="15">
      <c r="A1492" s="30"/>
      <c r="B1492" s="43" t="s">
        <v>1933</v>
      </c>
      <c r="C1492" s="45" t="s">
        <v>417</v>
      </c>
      <c r="D1492" s="46" t="s">
        <v>4</v>
      </c>
      <c r="E1492" s="44">
        <v>0.4574</v>
      </c>
      <c r="F1492" s="31">
        <f>TRUNC(29.32,2)</f>
        <v>29.32</v>
      </c>
      <c r="G1492" s="32">
        <f>TRUNC(E1492*F1492,2)</f>
        <v>13.41</v>
      </c>
      <c r="H1492" s="32"/>
      <c r="I1492" s="33"/>
      <c r="J1492" s="33"/>
      <c r="K1492" s="44"/>
    </row>
    <row r="1493" spans="1:11" s="34" customFormat="1" ht="30">
      <c r="A1493" s="30"/>
      <c r="B1493" s="43" t="s">
        <v>1974</v>
      </c>
      <c r="C1493" s="45" t="s">
        <v>419</v>
      </c>
      <c r="D1493" s="46" t="s">
        <v>4</v>
      </c>
      <c r="E1493" s="44">
        <v>0.4574</v>
      </c>
      <c r="F1493" s="31">
        <f>TRUNC(22.69,2)</f>
        <v>22.69</v>
      </c>
      <c r="G1493" s="32">
        <f>TRUNC(E1493*F1493,2)</f>
        <v>10.37</v>
      </c>
      <c r="H1493" s="32"/>
      <c r="I1493" s="33"/>
      <c r="J1493" s="33"/>
      <c r="K1493" s="44"/>
    </row>
    <row r="1494" spans="1:11" s="34" customFormat="1" ht="15">
      <c r="A1494" s="30"/>
      <c r="B1494" s="43"/>
      <c r="C1494" s="45"/>
      <c r="D1494" s="46"/>
      <c r="E1494" s="44" t="s">
        <v>5</v>
      </c>
      <c r="F1494" s="31"/>
      <c r="G1494" s="32">
        <f>TRUNC(SUM(G1490:G1493),2)</f>
        <v>595.22</v>
      </c>
      <c r="H1494" s="32"/>
      <c r="I1494" s="33"/>
      <c r="J1494" s="33"/>
      <c r="K1494" s="44"/>
    </row>
    <row r="1495" spans="1:11" s="107" customFormat="1" ht="60">
      <c r="A1495" s="99" t="s">
        <v>1717</v>
      </c>
      <c r="B1495" s="100" t="s">
        <v>2378</v>
      </c>
      <c r="C1495" s="101" t="s">
        <v>1590</v>
      </c>
      <c r="D1495" s="102" t="s">
        <v>10</v>
      </c>
      <c r="E1495" s="103">
        <v>3</v>
      </c>
      <c r="F1495" s="104">
        <f>TRUNC(G1500,2)</f>
        <v>34.57</v>
      </c>
      <c r="G1495" s="105">
        <f>TRUNC(F1495*1.2247,2)</f>
        <v>42.33</v>
      </c>
      <c r="H1495" s="105">
        <f>TRUNC(F1495*E1495,2)</f>
        <v>103.71</v>
      </c>
      <c r="I1495" s="106">
        <f>TRUNC(E1495*G1495,2)</f>
        <v>126.99</v>
      </c>
      <c r="J1495" s="106"/>
      <c r="K1495" s="103"/>
    </row>
    <row r="1496" spans="1:11" s="34" customFormat="1" ht="15">
      <c r="A1496" s="30"/>
      <c r="B1496" s="43" t="s">
        <v>1591</v>
      </c>
      <c r="C1496" s="45" t="s">
        <v>1592</v>
      </c>
      <c r="D1496" s="46" t="s">
        <v>10</v>
      </c>
      <c r="E1496" s="44">
        <v>0.2</v>
      </c>
      <c r="F1496" s="31">
        <f>TRUNC(5.92,2)</f>
        <v>5.92</v>
      </c>
      <c r="G1496" s="32">
        <f>TRUNC(E1496*F1496,2)</f>
        <v>1.18</v>
      </c>
      <c r="H1496" s="32"/>
      <c r="I1496" s="33"/>
      <c r="J1496" s="33"/>
      <c r="K1496" s="44"/>
    </row>
    <row r="1497" spans="1:11" s="34" customFormat="1" ht="30">
      <c r="A1497" s="30"/>
      <c r="B1497" s="43" t="s">
        <v>1593</v>
      </c>
      <c r="C1497" s="45" t="s">
        <v>1594</v>
      </c>
      <c r="D1497" s="46" t="s">
        <v>10</v>
      </c>
      <c r="E1497" s="44">
        <v>0.0111</v>
      </c>
      <c r="F1497" s="31">
        <f>TRUNC(272.7,2)</f>
        <v>272.7</v>
      </c>
      <c r="G1497" s="32">
        <f>TRUNC(E1497*F1497,2)</f>
        <v>3.02</v>
      </c>
      <c r="H1497" s="32"/>
      <c r="I1497" s="33"/>
      <c r="J1497" s="33"/>
      <c r="K1497" s="44"/>
    </row>
    <row r="1498" spans="1:11" s="34" customFormat="1" ht="30">
      <c r="A1498" s="30"/>
      <c r="B1498" s="43" t="s">
        <v>33</v>
      </c>
      <c r="C1498" s="45" t="s">
        <v>34</v>
      </c>
      <c r="D1498" s="46" t="s">
        <v>4</v>
      </c>
      <c r="E1498" s="44">
        <v>0.4841</v>
      </c>
      <c r="F1498" s="31">
        <f>TRUNC(16.55,2)</f>
        <v>16.55</v>
      </c>
      <c r="G1498" s="32">
        <f>TRUNC(E1498*F1498,2)</f>
        <v>8.01</v>
      </c>
      <c r="H1498" s="32"/>
      <c r="I1498" s="33"/>
      <c r="J1498" s="33"/>
      <c r="K1498" s="44"/>
    </row>
    <row r="1499" spans="1:11" s="34" customFormat="1" ht="15">
      <c r="A1499" s="30"/>
      <c r="B1499" s="43" t="s">
        <v>1962</v>
      </c>
      <c r="C1499" s="45" t="s">
        <v>1963</v>
      </c>
      <c r="D1499" s="46" t="s">
        <v>4</v>
      </c>
      <c r="E1499" s="44">
        <v>0.9784999999999999</v>
      </c>
      <c r="F1499" s="31">
        <f>TRUNC(22.86,2)</f>
        <v>22.86</v>
      </c>
      <c r="G1499" s="32">
        <f>TRUNC(E1499*F1499,2)</f>
        <v>22.36</v>
      </c>
      <c r="H1499" s="32"/>
      <c r="I1499" s="33"/>
      <c r="J1499" s="33"/>
      <c r="K1499" s="44"/>
    </row>
    <row r="1500" spans="1:11" s="34" customFormat="1" ht="15">
      <c r="A1500" s="30"/>
      <c r="B1500" s="43"/>
      <c r="C1500" s="45"/>
      <c r="D1500" s="46"/>
      <c r="E1500" s="44" t="s">
        <v>5</v>
      </c>
      <c r="F1500" s="31"/>
      <c r="G1500" s="32">
        <f>TRUNC(SUM(G1496:G1499),2)</f>
        <v>34.57</v>
      </c>
      <c r="H1500" s="32"/>
      <c r="I1500" s="33"/>
      <c r="J1500" s="33"/>
      <c r="K1500" s="44"/>
    </row>
    <row r="1501" spans="1:11" s="107" customFormat="1" ht="60">
      <c r="A1501" s="99" t="s">
        <v>1718</v>
      </c>
      <c r="B1501" s="100" t="s">
        <v>2379</v>
      </c>
      <c r="C1501" s="101" t="s">
        <v>1345</v>
      </c>
      <c r="D1501" s="102" t="s">
        <v>10</v>
      </c>
      <c r="E1501" s="103">
        <v>5</v>
      </c>
      <c r="F1501" s="104">
        <f>TRUNC(G1504,2)</f>
        <v>35.6</v>
      </c>
      <c r="G1501" s="105">
        <f>TRUNC(F1501*1.2247,2)</f>
        <v>43.59</v>
      </c>
      <c r="H1501" s="105">
        <f>TRUNC(F1501*E1501,2)</f>
        <v>178</v>
      </c>
      <c r="I1501" s="106">
        <f>TRUNC(E1501*G1501,2)</f>
        <v>217.95</v>
      </c>
      <c r="J1501" s="106"/>
      <c r="K1501" s="103"/>
    </row>
    <row r="1502" spans="1:11" s="34" customFormat="1" ht="30">
      <c r="A1502" s="30"/>
      <c r="B1502" s="43" t="s">
        <v>1346</v>
      </c>
      <c r="C1502" s="45" t="s">
        <v>1347</v>
      </c>
      <c r="D1502" s="46" t="s">
        <v>10</v>
      </c>
      <c r="E1502" s="44">
        <v>1</v>
      </c>
      <c r="F1502" s="31">
        <f>TRUNC(30.9,2)</f>
        <v>30.9</v>
      </c>
      <c r="G1502" s="32">
        <f>TRUNC(E1502*F1502,2)</f>
        <v>30.9</v>
      </c>
      <c r="H1502" s="32"/>
      <c r="I1502" s="33"/>
      <c r="J1502" s="33"/>
      <c r="K1502" s="44"/>
    </row>
    <row r="1503" spans="1:11" s="34" customFormat="1" ht="15">
      <c r="A1503" s="30"/>
      <c r="B1503" s="43" t="s">
        <v>35</v>
      </c>
      <c r="C1503" s="45" t="s">
        <v>36</v>
      </c>
      <c r="D1503" s="46" t="s">
        <v>4</v>
      </c>
      <c r="E1503" s="44">
        <v>0.20600000000000002</v>
      </c>
      <c r="F1503" s="31">
        <f>TRUNC(22.86,2)</f>
        <v>22.86</v>
      </c>
      <c r="G1503" s="32">
        <f>TRUNC(E1503*F1503,2)</f>
        <v>4.7</v>
      </c>
      <c r="H1503" s="32"/>
      <c r="I1503" s="33"/>
      <c r="J1503" s="33"/>
      <c r="K1503" s="44"/>
    </row>
    <row r="1504" spans="1:11" s="34" customFormat="1" ht="15">
      <c r="A1504" s="30"/>
      <c r="B1504" s="43"/>
      <c r="C1504" s="45"/>
      <c r="D1504" s="46"/>
      <c r="E1504" s="44" t="s">
        <v>5</v>
      </c>
      <c r="F1504" s="31"/>
      <c r="G1504" s="32">
        <f>TRUNC(SUM(G1502:G1503),2)</f>
        <v>35.6</v>
      </c>
      <c r="H1504" s="32"/>
      <c r="I1504" s="33"/>
      <c r="J1504" s="33"/>
      <c r="K1504" s="44"/>
    </row>
    <row r="1505" spans="1:11" s="107" customFormat="1" ht="60">
      <c r="A1505" s="99" t="s">
        <v>1719</v>
      </c>
      <c r="B1505" s="100" t="s">
        <v>2379</v>
      </c>
      <c r="C1505" s="101" t="s">
        <v>1345</v>
      </c>
      <c r="D1505" s="102" t="s">
        <v>10</v>
      </c>
      <c r="E1505" s="103">
        <v>1</v>
      </c>
      <c r="F1505" s="104">
        <f>TRUNC(G1508,2)</f>
        <v>35.6</v>
      </c>
      <c r="G1505" s="105">
        <f>TRUNC(F1505*1.2247,2)</f>
        <v>43.59</v>
      </c>
      <c r="H1505" s="105">
        <f>TRUNC(F1505*E1505,2)</f>
        <v>35.6</v>
      </c>
      <c r="I1505" s="106">
        <f>TRUNC(E1505*G1505,2)</f>
        <v>43.59</v>
      </c>
      <c r="J1505" s="106"/>
      <c r="K1505" s="103"/>
    </row>
    <row r="1506" spans="1:11" s="34" customFormat="1" ht="30">
      <c r="A1506" s="30"/>
      <c r="B1506" s="43" t="s">
        <v>1346</v>
      </c>
      <c r="C1506" s="45" t="s">
        <v>1347</v>
      </c>
      <c r="D1506" s="46" t="s">
        <v>10</v>
      </c>
      <c r="E1506" s="44">
        <v>1</v>
      </c>
      <c r="F1506" s="31">
        <f>TRUNC(30.9,2)</f>
        <v>30.9</v>
      </c>
      <c r="G1506" s="32">
        <f>TRUNC(E1506*F1506,2)</f>
        <v>30.9</v>
      </c>
      <c r="H1506" s="32"/>
      <c r="I1506" s="33"/>
      <c r="J1506" s="33"/>
      <c r="K1506" s="44"/>
    </row>
    <row r="1507" spans="1:11" s="34" customFormat="1" ht="15">
      <c r="A1507" s="30"/>
      <c r="B1507" s="43" t="s">
        <v>35</v>
      </c>
      <c r="C1507" s="45" t="s">
        <v>36</v>
      </c>
      <c r="D1507" s="46" t="s">
        <v>4</v>
      </c>
      <c r="E1507" s="44">
        <v>0.20600000000000002</v>
      </c>
      <c r="F1507" s="31">
        <f>TRUNC(22.86,2)</f>
        <v>22.86</v>
      </c>
      <c r="G1507" s="32">
        <f>TRUNC(E1507*F1507,2)</f>
        <v>4.7</v>
      </c>
      <c r="H1507" s="32"/>
      <c r="I1507" s="33"/>
      <c r="J1507" s="33"/>
      <c r="K1507" s="44"/>
    </row>
    <row r="1508" spans="1:11" s="34" customFormat="1" ht="15">
      <c r="A1508" s="30"/>
      <c r="B1508" s="43"/>
      <c r="C1508" s="45"/>
      <c r="D1508" s="46"/>
      <c r="E1508" s="44" t="s">
        <v>5</v>
      </c>
      <c r="F1508" s="31"/>
      <c r="G1508" s="32">
        <f>TRUNC(SUM(G1506:G1507),2)</f>
        <v>35.6</v>
      </c>
      <c r="H1508" s="32"/>
      <c r="I1508" s="33"/>
      <c r="J1508" s="33"/>
      <c r="K1508" s="44"/>
    </row>
    <row r="1509" spans="1:11" s="107" customFormat="1" ht="75">
      <c r="A1509" s="99" t="s">
        <v>1720</v>
      </c>
      <c r="B1509" s="100" t="s">
        <v>2380</v>
      </c>
      <c r="C1509" s="101" t="s">
        <v>1349</v>
      </c>
      <c r="D1509" s="102" t="s">
        <v>10</v>
      </c>
      <c r="E1509" s="103">
        <v>5</v>
      </c>
      <c r="F1509" s="104">
        <f>TRUNC(G1512,2)</f>
        <v>48.99</v>
      </c>
      <c r="G1509" s="105">
        <f>TRUNC(F1509*1.2247,2)</f>
        <v>59.99</v>
      </c>
      <c r="H1509" s="105">
        <f>TRUNC(F1509*E1509,2)</f>
        <v>244.95</v>
      </c>
      <c r="I1509" s="106">
        <f>TRUNC(E1509*G1509,2)</f>
        <v>299.95</v>
      </c>
      <c r="J1509" s="106"/>
      <c r="K1509" s="103"/>
    </row>
    <row r="1510" spans="1:11" s="34" customFormat="1" ht="30">
      <c r="A1510" s="30"/>
      <c r="B1510" s="43" t="s">
        <v>1350</v>
      </c>
      <c r="C1510" s="45" t="s">
        <v>1351</v>
      </c>
      <c r="D1510" s="46" t="s">
        <v>10</v>
      </c>
      <c r="E1510" s="44">
        <v>1</v>
      </c>
      <c r="F1510" s="31">
        <f>TRUNC(44.29,2)</f>
        <v>44.29</v>
      </c>
      <c r="G1510" s="32">
        <f>TRUNC(E1510*F1510,2)</f>
        <v>44.29</v>
      </c>
      <c r="H1510" s="32"/>
      <c r="I1510" s="33"/>
      <c r="J1510" s="33"/>
      <c r="K1510" s="44"/>
    </row>
    <row r="1511" spans="1:11" s="34" customFormat="1" ht="15">
      <c r="A1511" s="30"/>
      <c r="B1511" s="43" t="s">
        <v>35</v>
      </c>
      <c r="C1511" s="45" t="s">
        <v>36</v>
      </c>
      <c r="D1511" s="46" t="s">
        <v>4</v>
      </c>
      <c r="E1511" s="44">
        <v>0.20600000000000002</v>
      </c>
      <c r="F1511" s="31">
        <f>TRUNC(22.86,2)</f>
        <v>22.86</v>
      </c>
      <c r="G1511" s="32">
        <f>TRUNC(E1511*F1511,2)</f>
        <v>4.7</v>
      </c>
      <c r="H1511" s="32"/>
      <c r="I1511" s="33"/>
      <c r="J1511" s="33"/>
      <c r="K1511" s="44"/>
    </row>
    <row r="1512" spans="1:11" s="34" customFormat="1" ht="15">
      <c r="A1512" s="30"/>
      <c r="B1512" s="43"/>
      <c r="C1512" s="45"/>
      <c r="D1512" s="46"/>
      <c r="E1512" s="44" t="s">
        <v>5</v>
      </c>
      <c r="F1512" s="31"/>
      <c r="G1512" s="32">
        <f>TRUNC(SUM(G1510:G1511),2)</f>
        <v>48.99</v>
      </c>
      <c r="H1512" s="32"/>
      <c r="I1512" s="33"/>
      <c r="J1512" s="33"/>
      <c r="K1512" s="44"/>
    </row>
    <row r="1513" spans="1:11" s="107" customFormat="1" ht="30">
      <c r="A1513" s="99" t="s">
        <v>1721</v>
      </c>
      <c r="B1513" s="100" t="s">
        <v>2381</v>
      </c>
      <c r="C1513" s="101" t="s">
        <v>1352</v>
      </c>
      <c r="D1513" s="102" t="s">
        <v>10</v>
      </c>
      <c r="E1513" s="103">
        <v>9</v>
      </c>
      <c r="F1513" s="104">
        <f>TRUNC(G1517,2)</f>
        <v>29.73</v>
      </c>
      <c r="G1513" s="105">
        <f>TRUNC(F1513*1.2247,2)</f>
        <v>36.41</v>
      </c>
      <c r="H1513" s="105">
        <f>TRUNC(F1513*E1513,2)</f>
        <v>267.57</v>
      </c>
      <c r="I1513" s="106">
        <f>TRUNC(E1513*G1513,2)</f>
        <v>327.69</v>
      </c>
      <c r="J1513" s="106"/>
      <c r="K1513" s="103"/>
    </row>
    <row r="1514" spans="1:11" s="34" customFormat="1" ht="30">
      <c r="A1514" s="30"/>
      <c r="B1514" s="43" t="s">
        <v>2382</v>
      </c>
      <c r="C1514" s="45" t="s">
        <v>1354</v>
      </c>
      <c r="D1514" s="46" t="s">
        <v>10</v>
      </c>
      <c r="E1514" s="44">
        <v>1</v>
      </c>
      <c r="F1514" s="31">
        <f>TRUNC(22.61,2)</f>
        <v>22.61</v>
      </c>
      <c r="G1514" s="32">
        <f>TRUNC(E1514*F1514,2)</f>
        <v>22.61</v>
      </c>
      <c r="H1514" s="32"/>
      <c r="I1514" s="33"/>
      <c r="J1514" s="33"/>
      <c r="K1514" s="44"/>
    </row>
    <row r="1515" spans="1:11" s="34" customFormat="1" ht="15">
      <c r="A1515" s="30"/>
      <c r="B1515" s="43" t="s">
        <v>2271</v>
      </c>
      <c r="C1515" s="45" t="s">
        <v>481</v>
      </c>
      <c r="D1515" s="46" t="s">
        <v>4</v>
      </c>
      <c r="E1515" s="44">
        <v>0.1795</v>
      </c>
      <c r="F1515" s="31">
        <f>TRUNC(30.08,2)</f>
        <v>30.08</v>
      </c>
      <c r="G1515" s="32">
        <f>TRUNC(E1515*F1515,2)</f>
        <v>5.39</v>
      </c>
      <c r="H1515" s="32"/>
      <c r="I1515" s="33"/>
      <c r="J1515" s="33"/>
      <c r="K1515" s="44"/>
    </row>
    <row r="1516" spans="1:11" s="34" customFormat="1" ht="15">
      <c r="A1516" s="30"/>
      <c r="B1516" s="43" t="s">
        <v>2272</v>
      </c>
      <c r="C1516" s="45" t="s">
        <v>483</v>
      </c>
      <c r="D1516" s="46" t="s">
        <v>4</v>
      </c>
      <c r="E1516" s="44">
        <v>0.0748</v>
      </c>
      <c r="F1516" s="31">
        <f>TRUNC(23.24,2)</f>
        <v>23.24</v>
      </c>
      <c r="G1516" s="32">
        <f>TRUNC(E1516*F1516,2)</f>
        <v>1.73</v>
      </c>
      <c r="H1516" s="32"/>
      <c r="I1516" s="33"/>
      <c r="J1516" s="33"/>
      <c r="K1516" s="44"/>
    </row>
    <row r="1517" spans="1:11" s="34" customFormat="1" ht="15">
      <c r="A1517" s="30"/>
      <c r="B1517" s="43"/>
      <c r="C1517" s="45"/>
      <c r="D1517" s="46"/>
      <c r="E1517" s="44" t="s">
        <v>5</v>
      </c>
      <c r="F1517" s="31"/>
      <c r="G1517" s="32">
        <f>TRUNC(SUM(G1514:G1516),2)</f>
        <v>29.73</v>
      </c>
      <c r="H1517" s="32"/>
      <c r="I1517" s="33"/>
      <c r="J1517" s="33"/>
      <c r="K1517" s="44"/>
    </row>
    <row r="1518" spans="1:11" s="72" customFormat="1" ht="15">
      <c r="A1518" s="65" t="s">
        <v>1363</v>
      </c>
      <c r="B1518" s="66"/>
      <c r="C1518" s="67"/>
      <c r="D1518" s="68"/>
      <c r="E1518" s="69"/>
      <c r="F1518" s="70"/>
      <c r="G1518" s="73" t="s">
        <v>1456</v>
      </c>
      <c r="H1518" s="75">
        <f>H1513+H1509+H1501+H1489+H1483+H1505+H1495</f>
        <v>2285.93</v>
      </c>
      <c r="I1518" s="75">
        <f>I1513+I1509+I1501+I1489+I1483+I1505+I1495</f>
        <v>2799.41</v>
      </c>
      <c r="J1518" s="71"/>
      <c r="K1518" s="69"/>
    </row>
    <row r="1519" spans="1:11" s="21" customFormat="1" ht="15.75">
      <c r="A1519" s="21" t="s">
        <v>1722</v>
      </c>
      <c r="B1519" s="28"/>
      <c r="C1519" s="29" t="s">
        <v>1463</v>
      </c>
      <c r="D1519" s="29"/>
      <c r="E1519" s="29"/>
      <c r="F1519" s="29"/>
      <c r="G1519" s="29"/>
      <c r="H1519" s="29"/>
      <c r="I1519" s="27"/>
      <c r="J1519" s="29"/>
      <c r="K1519" s="29"/>
    </row>
    <row r="1520" spans="1:11" s="107" customFormat="1" ht="45">
      <c r="A1520" s="99" t="s">
        <v>1723</v>
      </c>
      <c r="B1520" s="100" t="s">
        <v>2383</v>
      </c>
      <c r="C1520" s="101" t="s">
        <v>568</v>
      </c>
      <c r="D1520" s="102" t="s">
        <v>0</v>
      </c>
      <c r="E1520" s="103">
        <v>803.15</v>
      </c>
      <c r="F1520" s="104">
        <f>TRUNC(G1524,2)</f>
        <v>68.39</v>
      </c>
      <c r="G1520" s="105">
        <f>TRUNC(F1520*1.2247,2)</f>
        <v>83.75</v>
      </c>
      <c r="H1520" s="105">
        <f>TRUNC(F1520*E1520,2)</f>
        <v>54927.42</v>
      </c>
      <c r="I1520" s="106">
        <f>TRUNC(E1520*G1520,2)</f>
        <v>67263.81</v>
      </c>
      <c r="J1520" s="106"/>
      <c r="K1520" s="103"/>
    </row>
    <row r="1521" spans="1:10" s="34" customFormat="1" ht="15.75">
      <c r="A1521" s="60"/>
      <c r="B1521" s="43" t="s">
        <v>569</v>
      </c>
      <c r="C1521" s="45" t="s">
        <v>570</v>
      </c>
      <c r="D1521" s="46" t="s">
        <v>10</v>
      </c>
      <c r="E1521" s="44">
        <v>16</v>
      </c>
      <c r="F1521" s="32">
        <f>TRUNC(1.5,2)</f>
        <v>1.5</v>
      </c>
      <c r="G1521" s="32">
        <f>TRUNC(E1521*F1521,2)</f>
        <v>24</v>
      </c>
      <c r="H1521" s="32"/>
      <c r="I1521" s="33"/>
      <c r="J1521" s="117"/>
    </row>
    <row r="1522" spans="1:10" s="34" customFormat="1" ht="30">
      <c r="A1522" s="60"/>
      <c r="B1522" s="43" t="s">
        <v>33</v>
      </c>
      <c r="C1522" s="45" t="s">
        <v>34</v>
      </c>
      <c r="D1522" s="46" t="s">
        <v>4</v>
      </c>
      <c r="E1522" s="44">
        <v>1.545</v>
      </c>
      <c r="F1522" s="32">
        <f>TRUNC(16.55,2)</f>
        <v>16.55</v>
      </c>
      <c r="G1522" s="32">
        <f>TRUNC(E1522*F1522,2)</f>
        <v>25.56</v>
      </c>
      <c r="H1522" s="32"/>
      <c r="I1522" s="33"/>
      <c r="J1522" s="117"/>
    </row>
    <row r="1523" spans="1:10" s="34" customFormat="1" ht="15.75">
      <c r="A1523" s="60"/>
      <c r="B1523" s="43" t="s">
        <v>35</v>
      </c>
      <c r="C1523" s="45" t="s">
        <v>36</v>
      </c>
      <c r="D1523" s="46" t="s">
        <v>4</v>
      </c>
      <c r="E1523" s="44">
        <v>0.8240000000000001</v>
      </c>
      <c r="F1523" s="32">
        <f>TRUNC(22.86,2)</f>
        <v>22.86</v>
      </c>
      <c r="G1523" s="32">
        <f>TRUNC(E1523*F1523,2)</f>
        <v>18.83</v>
      </c>
      <c r="H1523" s="32"/>
      <c r="I1523" s="33"/>
      <c r="J1523" s="117"/>
    </row>
    <row r="1524" spans="1:10" s="34" customFormat="1" ht="15.75">
      <c r="A1524" s="60"/>
      <c r="B1524" s="43"/>
      <c r="C1524" s="45"/>
      <c r="D1524" s="46"/>
      <c r="E1524" s="44" t="s">
        <v>5</v>
      </c>
      <c r="F1524" s="32"/>
      <c r="G1524" s="32">
        <f>TRUNC(SUM(G1521:G1523),2)</f>
        <v>68.39</v>
      </c>
      <c r="H1524" s="32"/>
      <c r="I1524" s="33"/>
      <c r="J1524" s="117"/>
    </row>
    <row r="1525" spans="1:11" s="107" customFormat="1" ht="45">
      <c r="A1525" s="99" t="s">
        <v>1724</v>
      </c>
      <c r="B1525" s="100" t="s">
        <v>2384</v>
      </c>
      <c r="C1525" s="101" t="s">
        <v>585</v>
      </c>
      <c r="D1525" s="102" t="s">
        <v>2</v>
      </c>
      <c r="E1525" s="103">
        <v>220.46</v>
      </c>
      <c r="F1525" s="104">
        <f>TRUNC(G1531,2)</f>
        <v>28</v>
      </c>
      <c r="G1525" s="105">
        <f>TRUNC(F1525*1.2247,2)</f>
        <v>34.29</v>
      </c>
      <c r="H1525" s="105">
        <f>TRUNC(F1525*E1525,2)</f>
        <v>6172.88</v>
      </c>
      <c r="I1525" s="106">
        <f>TRUNC(E1525*G1525,2)</f>
        <v>7559.57</v>
      </c>
      <c r="J1525" s="106"/>
      <c r="K1525" s="103"/>
    </row>
    <row r="1526" spans="1:10" s="34" customFormat="1" ht="15.75">
      <c r="A1526" s="60"/>
      <c r="B1526" s="43" t="s">
        <v>586</v>
      </c>
      <c r="C1526" s="45" t="s">
        <v>587</v>
      </c>
      <c r="D1526" s="46" t="s">
        <v>10</v>
      </c>
      <c r="E1526" s="44">
        <v>3</v>
      </c>
      <c r="F1526" s="32">
        <f>TRUNC(2.1,2)</f>
        <v>2.1</v>
      </c>
      <c r="G1526" s="32">
        <f>TRUNC(E1526*F1526,2)</f>
        <v>6.3</v>
      </c>
      <c r="H1526" s="32"/>
      <c r="I1526" s="33"/>
      <c r="J1526" s="117"/>
    </row>
    <row r="1527" spans="1:10" s="34" customFormat="1" ht="15.75">
      <c r="A1527" s="60"/>
      <c r="B1527" s="43" t="s">
        <v>348</v>
      </c>
      <c r="C1527" s="45" t="s">
        <v>349</v>
      </c>
      <c r="D1527" s="46" t="s">
        <v>3</v>
      </c>
      <c r="E1527" s="44">
        <v>0.86</v>
      </c>
      <c r="F1527" s="32">
        <f>TRUNC(0.47,2)</f>
        <v>0.47</v>
      </c>
      <c r="G1527" s="32">
        <f>TRUNC(E1527*F1527,2)</f>
        <v>0.4</v>
      </c>
      <c r="H1527" s="32"/>
      <c r="I1527" s="33"/>
      <c r="J1527" s="117"/>
    </row>
    <row r="1528" spans="1:10" s="34" customFormat="1" ht="15.75">
      <c r="A1528" s="60"/>
      <c r="B1528" s="43" t="s">
        <v>350</v>
      </c>
      <c r="C1528" s="45" t="s">
        <v>351</v>
      </c>
      <c r="D1528" s="46" t="s">
        <v>1</v>
      </c>
      <c r="E1528" s="44">
        <v>0.002</v>
      </c>
      <c r="F1528" s="32">
        <f>TRUNC(80,2)</f>
        <v>80</v>
      </c>
      <c r="G1528" s="32">
        <f>TRUNC(E1528*F1528,2)</f>
        <v>0.16</v>
      </c>
      <c r="H1528" s="32"/>
      <c r="I1528" s="33"/>
      <c r="J1528" s="117"/>
    </row>
    <row r="1529" spans="1:10" s="34" customFormat="1" ht="30">
      <c r="A1529" s="60"/>
      <c r="B1529" s="43" t="s">
        <v>33</v>
      </c>
      <c r="C1529" s="45" t="s">
        <v>34</v>
      </c>
      <c r="D1529" s="46" t="s">
        <v>4</v>
      </c>
      <c r="E1529" s="44">
        <v>0.5665000000000001</v>
      </c>
      <c r="F1529" s="32">
        <f>TRUNC(16.55,2)</f>
        <v>16.55</v>
      </c>
      <c r="G1529" s="32">
        <f>TRUNC(E1529*F1529,2)</f>
        <v>9.37</v>
      </c>
      <c r="H1529" s="32"/>
      <c r="I1529" s="33"/>
      <c r="J1529" s="117"/>
    </row>
    <row r="1530" spans="1:10" s="34" customFormat="1" ht="15.75">
      <c r="A1530" s="60"/>
      <c r="B1530" s="43" t="s">
        <v>35</v>
      </c>
      <c r="C1530" s="45" t="s">
        <v>36</v>
      </c>
      <c r="D1530" s="46" t="s">
        <v>4</v>
      </c>
      <c r="E1530" s="44">
        <v>0.515</v>
      </c>
      <c r="F1530" s="32">
        <f>TRUNC(22.86,2)</f>
        <v>22.86</v>
      </c>
      <c r="G1530" s="32">
        <f>TRUNC(E1530*F1530,2)</f>
        <v>11.77</v>
      </c>
      <c r="H1530" s="32"/>
      <c r="I1530" s="33"/>
      <c r="J1530" s="117"/>
    </row>
    <row r="1531" spans="1:10" s="34" customFormat="1" ht="15.75">
      <c r="A1531" s="60"/>
      <c r="B1531" s="43"/>
      <c r="C1531" s="45"/>
      <c r="D1531" s="46"/>
      <c r="E1531" s="44" t="s">
        <v>5</v>
      </c>
      <c r="F1531" s="32"/>
      <c r="G1531" s="32">
        <f>TRUNC(SUM(G1526:G1530),2)</f>
        <v>28</v>
      </c>
      <c r="H1531" s="32"/>
      <c r="I1531" s="33"/>
      <c r="J1531" s="117"/>
    </row>
    <row r="1532" spans="1:11" s="107" customFormat="1" ht="75">
      <c r="A1532" s="99" t="s">
        <v>1725</v>
      </c>
      <c r="B1532" s="100" t="s">
        <v>2385</v>
      </c>
      <c r="C1532" s="101" t="s">
        <v>572</v>
      </c>
      <c r="D1532" s="102" t="s">
        <v>0</v>
      </c>
      <c r="E1532" s="103">
        <v>803.15</v>
      </c>
      <c r="F1532" s="104">
        <f>TRUNC(G1540,2)</f>
        <v>121.33</v>
      </c>
      <c r="G1532" s="105">
        <f>TRUNC(F1532*1.2247,2)</f>
        <v>148.59</v>
      </c>
      <c r="H1532" s="105">
        <f>TRUNC(F1532*E1532,2)</f>
        <v>97446.18</v>
      </c>
      <c r="I1532" s="106">
        <f>TRUNC(E1532*G1532,2)</f>
        <v>119340.05</v>
      </c>
      <c r="J1532" s="106"/>
      <c r="K1532" s="103"/>
    </row>
    <row r="1533" spans="1:10" s="34" customFormat="1" ht="15.75">
      <c r="A1533" s="60"/>
      <c r="B1533" s="43" t="s">
        <v>573</v>
      </c>
      <c r="C1533" s="45" t="s">
        <v>574</v>
      </c>
      <c r="D1533" s="46" t="s">
        <v>2</v>
      </c>
      <c r="E1533" s="44">
        <v>2.82</v>
      </c>
      <c r="F1533" s="32">
        <f>TRUNC(12.26,2)</f>
        <v>12.26</v>
      </c>
      <c r="G1533" s="32">
        <f aca="true" t="shared" si="57" ref="G1533:G1539">TRUNC(E1533*F1533,2)</f>
        <v>34.57</v>
      </c>
      <c r="H1533" s="32"/>
      <c r="I1533" s="33"/>
      <c r="J1533" s="117"/>
    </row>
    <row r="1534" spans="1:10" s="34" customFormat="1" ht="15.75">
      <c r="A1534" s="60"/>
      <c r="B1534" s="43" t="s">
        <v>575</v>
      </c>
      <c r="C1534" s="45" t="s">
        <v>576</v>
      </c>
      <c r="D1534" s="46" t="s">
        <v>2</v>
      </c>
      <c r="E1534" s="44">
        <v>4.24</v>
      </c>
      <c r="F1534" s="32">
        <f>TRUNC(4.25,2)</f>
        <v>4.25</v>
      </c>
      <c r="G1534" s="32">
        <f t="shared" si="57"/>
        <v>18.02</v>
      </c>
      <c r="H1534" s="32"/>
      <c r="I1534" s="33"/>
      <c r="J1534" s="117"/>
    </row>
    <row r="1535" spans="1:10" s="34" customFormat="1" ht="15.75">
      <c r="A1535" s="60"/>
      <c r="B1535" s="43" t="s">
        <v>577</v>
      </c>
      <c r="C1535" s="45" t="s">
        <v>578</v>
      </c>
      <c r="D1535" s="46" t="s">
        <v>2</v>
      </c>
      <c r="E1535" s="44">
        <v>0.2</v>
      </c>
      <c r="F1535" s="32">
        <f>TRUNC(22.9,2)</f>
        <v>22.9</v>
      </c>
      <c r="G1535" s="32">
        <f t="shared" si="57"/>
        <v>4.58</v>
      </c>
      <c r="H1535" s="32"/>
      <c r="I1535" s="33"/>
      <c r="J1535" s="117"/>
    </row>
    <row r="1536" spans="1:10" s="34" customFormat="1" ht="15.75">
      <c r="A1536" s="60"/>
      <c r="B1536" s="43" t="s">
        <v>579</v>
      </c>
      <c r="C1536" s="45" t="s">
        <v>580</v>
      </c>
      <c r="D1536" s="46" t="s">
        <v>2</v>
      </c>
      <c r="E1536" s="44">
        <v>0.4</v>
      </c>
      <c r="F1536" s="32">
        <f>TRUNC(37.08,2)</f>
        <v>37.08</v>
      </c>
      <c r="G1536" s="32">
        <f t="shared" si="57"/>
        <v>14.83</v>
      </c>
      <c r="H1536" s="32"/>
      <c r="I1536" s="33"/>
      <c r="J1536" s="117"/>
    </row>
    <row r="1537" spans="1:10" s="34" customFormat="1" ht="30">
      <c r="A1537" s="60"/>
      <c r="B1537" s="43" t="s">
        <v>63</v>
      </c>
      <c r="C1537" s="45" t="s">
        <v>64</v>
      </c>
      <c r="D1537" s="46" t="s">
        <v>3</v>
      </c>
      <c r="E1537" s="44">
        <v>0.04</v>
      </c>
      <c r="F1537" s="32">
        <f>TRUNC(15.94,2)</f>
        <v>15.94</v>
      </c>
      <c r="G1537" s="32">
        <f t="shared" si="57"/>
        <v>0.63</v>
      </c>
      <c r="H1537" s="32"/>
      <c r="I1537" s="33"/>
      <c r="J1537" s="117"/>
    </row>
    <row r="1538" spans="1:10" s="34" customFormat="1" ht="30">
      <c r="A1538" s="60"/>
      <c r="B1538" s="43" t="s">
        <v>33</v>
      </c>
      <c r="C1538" s="45" t="s">
        <v>34</v>
      </c>
      <c r="D1538" s="46" t="s">
        <v>4</v>
      </c>
      <c r="E1538" s="44">
        <v>1.236</v>
      </c>
      <c r="F1538" s="32">
        <f>TRUNC(16.55,2)</f>
        <v>16.55</v>
      </c>
      <c r="G1538" s="32">
        <f t="shared" si="57"/>
        <v>20.45</v>
      </c>
      <c r="H1538" s="32"/>
      <c r="I1538" s="33"/>
      <c r="J1538" s="117"/>
    </row>
    <row r="1539" spans="1:10" s="34" customFormat="1" ht="30">
      <c r="A1539" s="60"/>
      <c r="B1539" s="43" t="s">
        <v>1852</v>
      </c>
      <c r="C1539" s="45" t="s">
        <v>1853</v>
      </c>
      <c r="D1539" s="46" t="s">
        <v>4</v>
      </c>
      <c r="E1539" s="44">
        <v>1.236</v>
      </c>
      <c r="F1539" s="32">
        <f>TRUNC(22.86,2)</f>
        <v>22.86</v>
      </c>
      <c r="G1539" s="32">
        <f t="shared" si="57"/>
        <v>28.25</v>
      </c>
      <c r="H1539" s="32"/>
      <c r="I1539" s="33"/>
      <c r="J1539" s="117"/>
    </row>
    <row r="1540" spans="1:10" s="34" customFormat="1" ht="15.75">
      <c r="A1540" s="60"/>
      <c r="B1540" s="43"/>
      <c r="C1540" s="45"/>
      <c r="D1540" s="46"/>
      <c r="E1540" s="44" t="s">
        <v>5</v>
      </c>
      <c r="F1540" s="32"/>
      <c r="G1540" s="32">
        <f>TRUNC(SUM(G1533:G1539),2)</f>
        <v>121.33</v>
      </c>
      <c r="H1540" s="32"/>
      <c r="I1540" s="33"/>
      <c r="J1540" s="117"/>
    </row>
    <row r="1541" spans="1:11" s="107" customFormat="1" ht="30">
      <c r="A1541" s="99" t="s">
        <v>1726</v>
      </c>
      <c r="B1541" s="100" t="s">
        <v>2386</v>
      </c>
      <c r="C1541" s="101" t="s">
        <v>2387</v>
      </c>
      <c r="D1541" s="102" t="s">
        <v>10</v>
      </c>
      <c r="E1541" s="103">
        <v>29</v>
      </c>
      <c r="F1541" s="104">
        <f>TRUNC(G1549,2)</f>
        <v>1344.45</v>
      </c>
      <c r="G1541" s="105">
        <f>TRUNC(F1541*1.2247,2)</f>
        <v>1646.54</v>
      </c>
      <c r="H1541" s="105">
        <f>TRUNC(F1541*E1541,2)</f>
        <v>38989.05</v>
      </c>
      <c r="I1541" s="106">
        <f>TRUNC(E1541*G1541,2)</f>
        <v>47749.66</v>
      </c>
      <c r="J1541" s="106"/>
      <c r="K1541" s="103"/>
    </row>
    <row r="1542" spans="1:10" s="34" customFormat="1" ht="15.75">
      <c r="A1542" s="60"/>
      <c r="B1542" s="43" t="s">
        <v>577</v>
      </c>
      <c r="C1542" s="45" t="s">
        <v>578</v>
      </c>
      <c r="D1542" s="46" t="s">
        <v>2</v>
      </c>
      <c r="E1542" s="44">
        <v>2</v>
      </c>
      <c r="F1542" s="32">
        <f>TRUNC(22.9,2)</f>
        <v>22.9</v>
      </c>
      <c r="G1542" s="32">
        <f aca="true" t="shared" si="58" ref="G1542:G1548">TRUNC(E1542*F1542,2)</f>
        <v>45.8</v>
      </c>
      <c r="H1542" s="32"/>
      <c r="I1542" s="33"/>
      <c r="J1542" s="117"/>
    </row>
    <row r="1543" spans="1:10" s="34" customFormat="1" ht="15.75">
      <c r="A1543" s="60"/>
      <c r="B1543" s="43" t="s">
        <v>579</v>
      </c>
      <c r="C1543" s="45" t="s">
        <v>580</v>
      </c>
      <c r="D1543" s="46" t="s">
        <v>2</v>
      </c>
      <c r="E1543" s="44">
        <v>4.5</v>
      </c>
      <c r="F1543" s="32">
        <f>TRUNC(37.08,2)</f>
        <v>37.08</v>
      </c>
      <c r="G1543" s="32">
        <f t="shared" si="58"/>
        <v>166.86</v>
      </c>
      <c r="H1543" s="32"/>
      <c r="I1543" s="33"/>
      <c r="J1543" s="117"/>
    </row>
    <row r="1544" spans="1:10" s="34" customFormat="1" ht="15.75">
      <c r="A1544" s="60"/>
      <c r="B1544" s="43" t="s">
        <v>77</v>
      </c>
      <c r="C1544" s="45" t="s">
        <v>78</v>
      </c>
      <c r="D1544" s="46" t="s">
        <v>2</v>
      </c>
      <c r="E1544" s="44">
        <v>5.5</v>
      </c>
      <c r="F1544" s="32">
        <f>TRUNC(54.1,2)</f>
        <v>54.1</v>
      </c>
      <c r="G1544" s="32">
        <f t="shared" si="58"/>
        <v>297.55</v>
      </c>
      <c r="H1544" s="32"/>
      <c r="I1544" s="33"/>
      <c r="J1544" s="117"/>
    </row>
    <row r="1545" spans="1:10" s="34" customFormat="1" ht="30">
      <c r="A1545" s="60"/>
      <c r="B1545" s="43" t="s">
        <v>63</v>
      </c>
      <c r="C1545" s="45" t="s">
        <v>64</v>
      </c>
      <c r="D1545" s="46" t="s">
        <v>3</v>
      </c>
      <c r="E1545" s="44">
        <v>1</v>
      </c>
      <c r="F1545" s="32">
        <f>TRUNC(15.94,2)</f>
        <v>15.94</v>
      </c>
      <c r="G1545" s="32">
        <f t="shared" si="58"/>
        <v>15.94</v>
      </c>
      <c r="H1545" s="32"/>
      <c r="I1545" s="33"/>
      <c r="J1545" s="117"/>
    </row>
    <row r="1546" spans="1:10" s="34" customFormat="1" ht="30">
      <c r="A1546" s="60"/>
      <c r="B1546" s="43" t="s">
        <v>111</v>
      </c>
      <c r="C1546" s="45" t="s">
        <v>112</v>
      </c>
      <c r="D1546" s="46" t="s">
        <v>3</v>
      </c>
      <c r="E1546" s="44">
        <v>6</v>
      </c>
      <c r="F1546" s="32">
        <f>TRUNC(8.11,2)</f>
        <v>8.11</v>
      </c>
      <c r="G1546" s="32">
        <f t="shared" si="58"/>
        <v>48.66</v>
      </c>
      <c r="H1546" s="32"/>
      <c r="I1546" s="33"/>
      <c r="J1546" s="117"/>
    </row>
    <row r="1547" spans="1:10" s="34" customFormat="1" ht="30">
      <c r="A1547" s="60"/>
      <c r="B1547" s="43" t="s">
        <v>33</v>
      </c>
      <c r="C1547" s="45" t="s">
        <v>34</v>
      </c>
      <c r="D1547" s="46" t="s">
        <v>4</v>
      </c>
      <c r="E1547" s="44">
        <v>12.36</v>
      </c>
      <c r="F1547" s="32">
        <f>TRUNC(16.55,2)</f>
        <v>16.55</v>
      </c>
      <c r="G1547" s="32">
        <f t="shared" si="58"/>
        <v>204.55</v>
      </c>
      <c r="H1547" s="32"/>
      <c r="I1547" s="33"/>
      <c r="J1547" s="117"/>
    </row>
    <row r="1548" spans="1:10" s="34" customFormat="1" ht="30">
      <c r="A1548" s="60"/>
      <c r="B1548" s="43" t="s">
        <v>1852</v>
      </c>
      <c r="C1548" s="45" t="s">
        <v>1853</v>
      </c>
      <c r="D1548" s="46" t="s">
        <v>4</v>
      </c>
      <c r="E1548" s="44">
        <v>24.72</v>
      </c>
      <c r="F1548" s="32">
        <f>TRUNC(22.86,2)</f>
        <v>22.86</v>
      </c>
      <c r="G1548" s="32">
        <f t="shared" si="58"/>
        <v>565.09</v>
      </c>
      <c r="H1548" s="32"/>
      <c r="I1548" s="33"/>
      <c r="J1548" s="117"/>
    </row>
    <row r="1549" spans="1:10" s="34" customFormat="1" ht="15.75">
      <c r="A1549" s="60"/>
      <c r="B1549" s="43"/>
      <c r="C1549" s="45"/>
      <c r="D1549" s="46"/>
      <c r="E1549" s="44" t="s">
        <v>5</v>
      </c>
      <c r="F1549" s="32"/>
      <c r="G1549" s="32">
        <f>TRUNC(SUM(G1542:G1548),2)</f>
        <v>1344.45</v>
      </c>
      <c r="H1549" s="32"/>
      <c r="I1549" s="33"/>
      <c r="J1549" s="117"/>
    </row>
    <row r="1550" spans="1:11" s="107" customFormat="1" ht="45">
      <c r="A1550" s="99" t="s">
        <v>1727</v>
      </c>
      <c r="B1550" s="100" t="s">
        <v>2388</v>
      </c>
      <c r="C1550" s="101" t="s">
        <v>589</v>
      </c>
      <c r="D1550" s="102" t="s">
        <v>0</v>
      </c>
      <c r="E1550" s="103">
        <v>317.66</v>
      </c>
      <c r="F1550" s="104">
        <f>TRUNC(G1554,2)</f>
        <v>22.74</v>
      </c>
      <c r="G1550" s="105">
        <f>TRUNC(F1550*1.2247,2)</f>
        <v>27.84</v>
      </c>
      <c r="H1550" s="105">
        <f>TRUNC(F1550*E1550,2)</f>
        <v>7223.58</v>
      </c>
      <c r="I1550" s="106">
        <f>TRUNC(E1550*G1550,2)</f>
        <v>8843.65</v>
      </c>
      <c r="J1550" s="106"/>
      <c r="K1550" s="103"/>
    </row>
    <row r="1551" spans="1:10" s="34" customFormat="1" ht="15.75">
      <c r="A1551" s="60"/>
      <c r="B1551" s="43" t="s">
        <v>590</v>
      </c>
      <c r="C1551" s="45" t="s">
        <v>591</v>
      </c>
      <c r="D1551" s="46" t="s">
        <v>3</v>
      </c>
      <c r="E1551" s="44">
        <v>1.2</v>
      </c>
      <c r="F1551" s="32">
        <f>TRUNC(13.62,2)</f>
        <v>13.62</v>
      </c>
      <c r="G1551" s="32">
        <f>TRUNC(E1551*F1551,2)</f>
        <v>16.34</v>
      </c>
      <c r="H1551" s="32"/>
      <c r="I1551" s="33"/>
      <c r="J1551" s="117"/>
    </row>
    <row r="1552" spans="1:10" s="34" customFormat="1" ht="30">
      <c r="A1552" s="60"/>
      <c r="B1552" s="43" t="s">
        <v>33</v>
      </c>
      <c r="C1552" s="45" t="s">
        <v>34</v>
      </c>
      <c r="D1552" s="46" t="s">
        <v>4</v>
      </c>
      <c r="E1552" s="44">
        <v>0.10300000000000001</v>
      </c>
      <c r="F1552" s="32">
        <f>TRUNC(16.55,2)</f>
        <v>16.55</v>
      </c>
      <c r="G1552" s="32">
        <f>TRUNC(E1552*F1552,2)</f>
        <v>1.7</v>
      </c>
      <c r="H1552" s="32"/>
      <c r="I1552" s="33"/>
      <c r="J1552" s="117"/>
    </row>
    <row r="1553" spans="1:10" s="34" customFormat="1" ht="15.75">
      <c r="A1553" s="60"/>
      <c r="B1553" s="43" t="s">
        <v>35</v>
      </c>
      <c r="C1553" s="45" t="s">
        <v>36</v>
      </c>
      <c r="D1553" s="46" t="s">
        <v>4</v>
      </c>
      <c r="E1553" s="44">
        <v>0.20600000000000002</v>
      </c>
      <c r="F1553" s="32">
        <f>TRUNC(22.86,2)</f>
        <v>22.86</v>
      </c>
      <c r="G1553" s="32">
        <f>TRUNC(E1553*F1553,2)</f>
        <v>4.7</v>
      </c>
      <c r="H1553" s="32"/>
      <c r="I1553" s="33"/>
      <c r="J1553" s="117"/>
    </row>
    <row r="1554" spans="1:10" s="34" customFormat="1" ht="15.75">
      <c r="A1554" s="60"/>
      <c r="B1554" s="43"/>
      <c r="C1554" s="45"/>
      <c r="D1554" s="46"/>
      <c r="E1554" s="44" t="s">
        <v>5</v>
      </c>
      <c r="F1554" s="32"/>
      <c r="G1554" s="32">
        <f>TRUNC(SUM(G1551:G1553),2)</f>
        <v>22.74</v>
      </c>
      <c r="H1554" s="32"/>
      <c r="I1554" s="33"/>
      <c r="J1554" s="117"/>
    </row>
    <row r="1555" spans="1:11" s="107" customFormat="1" ht="60">
      <c r="A1555" s="99" t="s">
        <v>1728</v>
      </c>
      <c r="B1555" s="100" t="s">
        <v>1917</v>
      </c>
      <c r="C1555" s="101" t="s">
        <v>2389</v>
      </c>
      <c r="D1555" s="102" t="s">
        <v>2</v>
      </c>
      <c r="E1555" s="103">
        <v>182.2</v>
      </c>
      <c r="F1555" s="104">
        <f>TRUNC(G1562,2)</f>
        <v>101.89</v>
      </c>
      <c r="G1555" s="105">
        <f>TRUNC(F1555*1.2247,2)</f>
        <v>124.78</v>
      </c>
      <c r="H1555" s="105">
        <f>TRUNC(F1555*E1555,2)</f>
        <v>18564.35</v>
      </c>
      <c r="I1555" s="106">
        <f>TRUNC(E1555*G1555,2)</f>
        <v>22734.91</v>
      </c>
      <c r="J1555" s="106"/>
      <c r="K1555" s="103"/>
    </row>
    <row r="1556" spans="1:10" s="34" customFormat="1" ht="15.75">
      <c r="A1556" s="60"/>
      <c r="B1556" s="43" t="s">
        <v>379</v>
      </c>
      <c r="C1556" s="45" t="s">
        <v>380</v>
      </c>
      <c r="D1556" s="46" t="s">
        <v>2</v>
      </c>
      <c r="E1556" s="44">
        <v>1.05</v>
      </c>
      <c r="F1556" s="32">
        <f>TRUNC(74.98,2)</f>
        <v>74.98</v>
      </c>
      <c r="G1556" s="32">
        <f aca="true" t="shared" si="59" ref="G1556:G1561">TRUNC(E1556*F1556,2)</f>
        <v>78.72</v>
      </c>
      <c r="H1556" s="32"/>
      <c r="I1556" s="33"/>
      <c r="J1556" s="117"/>
    </row>
    <row r="1557" spans="1:10" s="34" customFormat="1" ht="15.75">
      <c r="A1557" s="60"/>
      <c r="B1557" s="43" t="s">
        <v>374</v>
      </c>
      <c r="C1557" s="45" t="s">
        <v>375</v>
      </c>
      <c r="D1557" s="46" t="s">
        <v>3</v>
      </c>
      <c r="E1557" s="44">
        <v>1</v>
      </c>
      <c r="F1557" s="32">
        <f>TRUNC(1.4,2)</f>
        <v>1.4</v>
      </c>
      <c r="G1557" s="32">
        <f t="shared" si="59"/>
        <v>1.4</v>
      </c>
      <c r="H1557" s="32"/>
      <c r="I1557" s="33"/>
      <c r="J1557" s="117"/>
    </row>
    <row r="1558" spans="1:10" s="34" customFormat="1" ht="30">
      <c r="A1558" s="60"/>
      <c r="B1558" s="43" t="s">
        <v>33</v>
      </c>
      <c r="C1558" s="45" t="s">
        <v>34</v>
      </c>
      <c r="D1558" s="46" t="s">
        <v>4</v>
      </c>
      <c r="E1558" s="44">
        <v>0.4635</v>
      </c>
      <c r="F1558" s="32">
        <f>TRUNC(16.55,2)</f>
        <v>16.55</v>
      </c>
      <c r="G1558" s="32">
        <f t="shared" si="59"/>
        <v>7.67</v>
      </c>
      <c r="H1558" s="32"/>
      <c r="I1558" s="33"/>
      <c r="J1558" s="117"/>
    </row>
    <row r="1559" spans="1:10" s="34" customFormat="1" ht="30">
      <c r="A1559" s="60"/>
      <c r="B1559" s="43" t="s">
        <v>1899</v>
      </c>
      <c r="C1559" s="45" t="s">
        <v>1900</v>
      </c>
      <c r="D1559" s="46" t="s">
        <v>4</v>
      </c>
      <c r="E1559" s="44">
        <v>0.41200000000000003</v>
      </c>
      <c r="F1559" s="32">
        <f>TRUNC(22.86,2)</f>
        <v>22.86</v>
      </c>
      <c r="G1559" s="32">
        <f t="shared" si="59"/>
        <v>9.41</v>
      </c>
      <c r="H1559" s="32"/>
      <c r="I1559" s="33"/>
      <c r="J1559" s="117"/>
    </row>
    <row r="1560" spans="1:10" s="34" customFormat="1" ht="15.75">
      <c r="A1560" s="60"/>
      <c r="B1560" s="43" t="s">
        <v>1913</v>
      </c>
      <c r="C1560" s="45" t="s">
        <v>1914</v>
      </c>
      <c r="D1560" s="46" t="s">
        <v>1</v>
      </c>
      <c r="E1560" s="44">
        <v>0.01</v>
      </c>
      <c r="F1560" s="32">
        <f>TRUNC(410.1515,2)</f>
        <v>410.15</v>
      </c>
      <c r="G1560" s="32">
        <f t="shared" si="59"/>
        <v>4.1</v>
      </c>
      <c r="H1560" s="32"/>
      <c r="I1560" s="33"/>
      <c r="J1560" s="117"/>
    </row>
    <row r="1561" spans="1:10" s="34" customFormat="1" ht="15.75">
      <c r="A1561" s="60"/>
      <c r="B1561" s="43" t="s">
        <v>1915</v>
      </c>
      <c r="C1561" s="45" t="s">
        <v>1916</v>
      </c>
      <c r="D1561" s="46" t="s">
        <v>1</v>
      </c>
      <c r="E1561" s="44">
        <v>0.0008</v>
      </c>
      <c r="F1561" s="32">
        <f>TRUNC(740.9185,2)</f>
        <v>740.91</v>
      </c>
      <c r="G1561" s="32">
        <f t="shared" si="59"/>
        <v>0.59</v>
      </c>
      <c r="H1561" s="32"/>
      <c r="I1561" s="33"/>
      <c r="J1561" s="117"/>
    </row>
    <row r="1562" spans="1:10" s="34" customFormat="1" ht="15.75">
      <c r="A1562" s="60"/>
      <c r="B1562" s="43"/>
      <c r="C1562" s="45"/>
      <c r="D1562" s="46"/>
      <c r="E1562" s="44" t="s">
        <v>5</v>
      </c>
      <c r="F1562" s="32"/>
      <c r="G1562" s="32">
        <f>TRUNC(SUM(G1556:G1561),2)</f>
        <v>101.89</v>
      </c>
      <c r="H1562" s="32"/>
      <c r="I1562" s="33"/>
      <c r="J1562" s="117"/>
    </row>
    <row r="1563" spans="1:11" s="72" customFormat="1" ht="15">
      <c r="A1563" s="65" t="s">
        <v>1363</v>
      </c>
      <c r="B1563" s="66"/>
      <c r="C1563" s="67"/>
      <c r="D1563" s="68"/>
      <c r="E1563" s="69"/>
      <c r="F1563" s="70"/>
      <c r="G1563" s="73" t="s">
        <v>1729</v>
      </c>
      <c r="H1563" s="75">
        <f>H1550+H1541+H1532+H1525+H1520+H1555</f>
        <v>223323.46</v>
      </c>
      <c r="I1563" s="75">
        <f>I1550+I1541+I1532+I1525+I1520+I1555</f>
        <v>273491.65</v>
      </c>
      <c r="J1563" s="71"/>
      <c r="K1563" s="69"/>
    </row>
    <row r="1564" spans="1:11" s="21" customFormat="1" ht="15.75">
      <c r="A1564" s="21" t="s">
        <v>1730</v>
      </c>
      <c r="B1564" s="28"/>
      <c r="C1564" s="29" t="s">
        <v>1554</v>
      </c>
      <c r="D1564" s="29"/>
      <c r="E1564" s="29"/>
      <c r="F1564" s="29"/>
      <c r="G1564" s="29"/>
      <c r="H1564" s="29"/>
      <c r="I1564" s="27"/>
      <c r="J1564" s="29"/>
      <c r="K1564" s="29"/>
    </row>
    <row r="1565" spans="1:11" s="107" customFormat="1" ht="75">
      <c r="A1565" s="99" t="s">
        <v>1731</v>
      </c>
      <c r="B1565" s="100" t="s">
        <v>2390</v>
      </c>
      <c r="C1565" s="101" t="s">
        <v>605</v>
      </c>
      <c r="D1565" s="102" t="s">
        <v>2</v>
      </c>
      <c r="E1565" s="103">
        <v>33.6</v>
      </c>
      <c r="F1565" s="104">
        <f>TRUNC(G1573,2)</f>
        <v>109.64</v>
      </c>
      <c r="G1565" s="105">
        <f>TRUNC(F1565*1.2247,2)</f>
        <v>134.27</v>
      </c>
      <c r="H1565" s="105">
        <f>TRUNC(F1565*E1565,2)</f>
        <v>3683.9</v>
      </c>
      <c r="I1565" s="106">
        <f>TRUNC(E1565*G1565,2)</f>
        <v>4511.47</v>
      </c>
      <c r="J1565" s="106"/>
      <c r="K1565" s="103"/>
    </row>
    <row r="1566" spans="1:10" s="34" customFormat="1" ht="30">
      <c r="A1566" s="60"/>
      <c r="B1566" s="43" t="s">
        <v>33</v>
      </c>
      <c r="C1566" s="45" t="s">
        <v>34</v>
      </c>
      <c r="D1566" s="46" t="s">
        <v>4</v>
      </c>
      <c r="E1566" s="44">
        <v>0.3399</v>
      </c>
      <c r="F1566" s="32">
        <f>TRUNC(16.55,2)</f>
        <v>16.55</v>
      </c>
      <c r="G1566" s="32">
        <f aca="true" t="shared" si="60" ref="G1566:G1572">TRUNC(E1566*F1566,2)</f>
        <v>5.62</v>
      </c>
      <c r="H1566" s="32"/>
      <c r="I1566" s="33"/>
      <c r="J1566" s="117"/>
    </row>
    <row r="1567" spans="1:10" s="34" customFormat="1" ht="15.75">
      <c r="A1567" s="60"/>
      <c r="B1567" s="43" t="s">
        <v>2391</v>
      </c>
      <c r="C1567" s="45" t="s">
        <v>2392</v>
      </c>
      <c r="D1567" s="46" t="s">
        <v>4</v>
      </c>
      <c r="E1567" s="44">
        <v>0.11330000000000001</v>
      </c>
      <c r="F1567" s="32">
        <f>TRUNC(22.86,2)</f>
        <v>22.86</v>
      </c>
      <c r="G1567" s="32">
        <f t="shared" si="60"/>
        <v>2.59</v>
      </c>
      <c r="H1567" s="32"/>
      <c r="I1567" s="33"/>
      <c r="J1567" s="117"/>
    </row>
    <row r="1568" spans="1:10" s="34" customFormat="1" ht="15.75">
      <c r="A1568" s="60"/>
      <c r="B1568" s="43" t="s">
        <v>1758</v>
      </c>
      <c r="C1568" s="45" t="s">
        <v>1759</v>
      </c>
      <c r="D1568" s="46" t="s">
        <v>1</v>
      </c>
      <c r="E1568" s="44">
        <v>0.06820000000000001</v>
      </c>
      <c r="F1568" s="32">
        <f>TRUNC(75.3534,2)</f>
        <v>75.35</v>
      </c>
      <c r="G1568" s="32">
        <f t="shared" si="60"/>
        <v>5.13</v>
      </c>
      <c r="H1568" s="32"/>
      <c r="I1568" s="33"/>
      <c r="J1568" s="117"/>
    </row>
    <row r="1569" spans="1:10" s="34" customFormat="1" ht="15.75">
      <c r="A1569" s="60"/>
      <c r="B1569" s="43" t="s">
        <v>1764</v>
      </c>
      <c r="C1569" s="45" t="s">
        <v>1765</v>
      </c>
      <c r="D1569" s="46" t="s">
        <v>1</v>
      </c>
      <c r="E1569" s="44">
        <v>0.06820000000000001</v>
      </c>
      <c r="F1569" s="32">
        <f>TRUNC(82.5898,2)</f>
        <v>82.58</v>
      </c>
      <c r="G1569" s="32">
        <f t="shared" si="60"/>
        <v>5.63</v>
      </c>
      <c r="H1569" s="32"/>
      <c r="I1569" s="33"/>
      <c r="J1569" s="117"/>
    </row>
    <row r="1570" spans="1:10" s="34" customFormat="1" ht="15.75">
      <c r="A1570" s="60"/>
      <c r="B1570" s="43" t="s">
        <v>2036</v>
      </c>
      <c r="C1570" s="45" t="s">
        <v>2037</v>
      </c>
      <c r="D1570" s="46" t="s">
        <v>0</v>
      </c>
      <c r="E1570" s="44">
        <v>1.0230000000000001</v>
      </c>
      <c r="F1570" s="32">
        <f>TRUNC(69.2212,2)</f>
        <v>69.22</v>
      </c>
      <c r="G1570" s="32">
        <f t="shared" si="60"/>
        <v>70.81</v>
      </c>
      <c r="H1570" s="32"/>
      <c r="I1570" s="33"/>
      <c r="J1570" s="117"/>
    </row>
    <row r="1571" spans="1:10" s="34" customFormat="1" ht="15.75">
      <c r="A1571" s="60"/>
      <c r="B1571" s="43" t="s">
        <v>1762</v>
      </c>
      <c r="C1571" s="45" t="s">
        <v>1763</v>
      </c>
      <c r="D1571" s="46" t="s">
        <v>1</v>
      </c>
      <c r="E1571" s="44">
        <v>0.06820000000000001</v>
      </c>
      <c r="F1571" s="32">
        <f>TRUNC(277.3833,2)</f>
        <v>277.38</v>
      </c>
      <c r="G1571" s="32">
        <f t="shared" si="60"/>
        <v>18.91</v>
      </c>
      <c r="H1571" s="32"/>
      <c r="I1571" s="33"/>
      <c r="J1571" s="117"/>
    </row>
    <row r="1572" spans="1:10" s="34" customFormat="1" ht="15.75">
      <c r="A1572" s="60"/>
      <c r="B1572" s="43" t="s">
        <v>2215</v>
      </c>
      <c r="C1572" s="45" t="s">
        <v>2216</v>
      </c>
      <c r="D1572" s="46" t="s">
        <v>1</v>
      </c>
      <c r="E1572" s="44">
        <v>0.0027500000000000003</v>
      </c>
      <c r="F1572" s="32">
        <f>TRUNC(348.842,2)</f>
        <v>348.84</v>
      </c>
      <c r="G1572" s="32">
        <f t="shared" si="60"/>
        <v>0.95</v>
      </c>
      <c r="H1572" s="32"/>
      <c r="I1572" s="33"/>
      <c r="J1572" s="117"/>
    </row>
    <row r="1573" spans="1:10" s="34" customFormat="1" ht="15.75">
      <c r="A1573" s="60"/>
      <c r="B1573" s="43"/>
      <c r="C1573" s="45"/>
      <c r="D1573" s="46"/>
      <c r="E1573" s="44" t="s">
        <v>5</v>
      </c>
      <c r="F1573" s="32"/>
      <c r="G1573" s="32">
        <f>TRUNC(SUM(G1566:G1572),2)</f>
        <v>109.64</v>
      </c>
      <c r="H1573" s="32"/>
      <c r="I1573" s="33"/>
      <c r="J1573" s="117"/>
    </row>
    <row r="1574" spans="1:11" s="107" customFormat="1" ht="45">
      <c r="A1574" s="99" t="s">
        <v>1732</v>
      </c>
      <c r="B1574" s="100" t="s">
        <v>2393</v>
      </c>
      <c r="C1574" s="101" t="s">
        <v>1485</v>
      </c>
      <c r="D1574" s="102" t="s">
        <v>1</v>
      </c>
      <c r="E1574" s="103">
        <v>6.27</v>
      </c>
      <c r="F1574" s="104">
        <f>TRUNC(G1581,2)</f>
        <v>721.63</v>
      </c>
      <c r="G1574" s="105">
        <f>TRUNC(F1574*1.2247,2)</f>
        <v>883.78</v>
      </c>
      <c r="H1574" s="105">
        <f>TRUNC(F1574*E1574,2)</f>
        <v>4524.62</v>
      </c>
      <c r="I1574" s="106">
        <f>TRUNC(E1574*G1574,2)</f>
        <v>5541.3</v>
      </c>
      <c r="J1574" s="106"/>
      <c r="K1574" s="103"/>
    </row>
    <row r="1575" spans="1:10" s="34" customFormat="1" ht="15.75">
      <c r="A1575" s="60"/>
      <c r="B1575" s="43" t="s">
        <v>2394</v>
      </c>
      <c r="C1575" s="45" t="s">
        <v>1487</v>
      </c>
      <c r="D1575" s="46" t="s">
        <v>2</v>
      </c>
      <c r="E1575" s="44">
        <v>2</v>
      </c>
      <c r="F1575" s="32">
        <f>TRUNC(2.14,2)</f>
        <v>2.14</v>
      </c>
      <c r="G1575" s="32">
        <f aca="true" t="shared" si="61" ref="G1575:G1580">TRUNC(E1575*F1575,2)</f>
        <v>4.28</v>
      </c>
      <c r="H1575" s="32"/>
      <c r="I1575" s="33"/>
      <c r="J1575" s="117"/>
    </row>
    <row r="1576" spans="1:10" s="34" customFormat="1" ht="30">
      <c r="A1576" s="60"/>
      <c r="B1576" s="43" t="s">
        <v>2395</v>
      </c>
      <c r="C1576" s="45" t="s">
        <v>1489</v>
      </c>
      <c r="D1576" s="46" t="s">
        <v>2</v>
      </c>
      <c r="E1576" s="44">
        <v>2.5</v>
      </c>
      <c r="F1576" s="32">
        <f>TRUNC(9.1,2)</f>
        <v>9.1</v>
      </c>
      <c r="G1576" s="32">
        <f t="shared" si="61"/>
        <v>22.75</v>
      </c>
      <c r="H1576" s="32"/>
      <c r="I1576" s="33"/>
      <c r="J1576" s="117"/>
    </row>
    <row r="1577" spans="1:10" s="34" customFormat="1" ht="15.75">
      <c r="A1577" s="60"/>
      <c r="B1577" s="43" t="s">
        <v>43</v>
      </c>
      <c r="C1577" s="45" t="s">
        <v>32</v>
      </c>
      <c r="D1577" s="46" t="s">
        <v>4</v>
      </c>
      <c r="E1577" s="44">
        <v>4.239</v>
      </c>
      <c r="F1577" s="32">
        <f>TRUNC(23.42,2)</f>
        <v>23.42</v>
      </c>
      <c r="G1577" s="32">
        <f t="shared" si="61"/>
        <v>99.27</v>
      </c>
      <c r="H1577" s="32"/>
      <c r="I1577" s="33"/>
      <c r="J1577" s="117"/>
    </row>
    <row r="1578" spans="1:10" s="34" customFormat="1" ht="15.75">
      <c r="A1578" s="60"/>
      <c r="B1578" s="43" t="s">
        <v>1842</v>
      </c>
      <c r="C1578" s="45" t="s">
        <v>307</v>
      </c>
      <c r="D1578" s="46" t="s">
        <v>4</v>
      </c>
      <c r="E1578" s="44">
        <v>1.983</v>
      </c>
      <c r="F1578" s="32">
        <f>TRUNC(29.96,2)</f>
        <v>29.96</v>
      </c>
      <c r="G1578" s="32">
        <f t="shared" si="61"/>
        <v>59.41</v>
      </c>
      <c r="H1578" s="32"/>
      <c r="I1578" s="33"/>
      <c r="J1578" s="117"/>
    </row>
    <row r="1579" spans="1:10" s="34" customFormat="1" ht="15.75">
      <c r="A1579" s="60"/>
      <c r="B1579" s="43" t="s">
        <v>1780</v>
      </c>
      <c r="C1579" s="45" t="s">
        <v>261</v>
      </c>
      <c r="D1579" s="46" t="s">
        <v>4</v>
      </c>
      <c r="E1579" s="44">
        <v>2.256</v>
      </c>
      <c r="F1579" s="32">
        <f>TRUNC(29.7,2)</f>
        <v>29.7</v>
      </c>
      <c r="G1579" s="32">
        <f t="shared" si="61"/>
        <v>67</v>
      </c>
      <c r="H1579" s="32"/>
      <c r="I1579" s="33"/>
      <c r="J1579" s="117"/>
    </row>
    <row r="1580" spans="1:10" s="34" customFormat="1" ht="30">
      <c r="A1580" s="60"/>
      <c r="B1580" s="43" t="s">
        <v>2396</v>
      </c>
      <c r="C1580" s="45" t="s">
        <v>2397</v>
      </c>
      <c r="D1580" s="46" t="s">
        <v>1</v>
      </c>
      <c r="E1580" s="44">
        <v>1.213</v>
      </c>
      <c r="F1580" s="32">
        <f>TRUNC(386.58,2)</f>
        <v>386.58</v>
      </c>
      <c r="G1580" s="32">
        <f t="shared" si="61"/>
        <v>468.92</v>
      </c>
      <c r="H1580" s="32"/>
      <c r="I1580" s="33"/>
      <c r="J1580" s="117"/>
    </row>
    <row r="1581" spans="1:10" s="34" customFormat="1" ht="15.75">
      <c r="A1581" s="60"/>
      <c r="B1581" s="43"/>
      <c r="C1581" s="45"/>
      <c r="D1581" s="46"/>
      <c r="E1581" s="44" t="s">
        <v>5</v>
      </c>
      <c r="F1581" s="32"/>
      <c r="G1581" s="32">
        <f>TRUNC(SUM(G1575:G1580),2)</f>
        <v>721.63</v>
      </c>
      <c r="H1581" s="32"/>
      <c r="I1581" s="33"/>
      <c r="J1581" s="117"/>
    </row>
    <row r="1582" spans="1:11" s="107" customFormat="1" ht="30">
      <c r="A1582" s="99" t="s">
        <v>1733</v>
      </c>
      <c r="B1582" s="100" t="s">
        <v>2401</v>
      </c>
      <c r="C1582" s="101" t="s">
        <v>2398</v>
      </c>
      <c r="D1582" s="102" t="s">
        <v>0</v>
      </c>
      <c r="E1582" s="103">
        <v>125.48</v>
      </c>
      <c r="F1582" s="104">
        <f>TRUNC(G1586,2)</f>
        <v>19.19</v>
      </c>
      <c r="G1582" s="105">
        <f>TRUNC(F1582*1.2247,2)</f>
        <v>23.5</v>
      </c>
      <c r="H1582" s="105">
        <f>TRUNC(F1582*E1582,2)</f>
        <v>2407.96</v>
      </c>
      <c r="I1582" s="106">
        <f>TRUNC(E1582*G1582,2)</f>
        <v>2948.78</v>
      </c>
      <c r="J1582" s="106"/>
      <c r="K1582" s="103"/>
    </row>
    <row r="1583" spans="1:10" s="34" customFormat="1" ht="15.75">
      <c r="A1583" s="60"/>
      <c r="B1583" s="43" t="s">
        <v>43</v>
      </c>
      <c r="C1583" s="45" t="s">
        <v>32</v>
      </c>
      <c r="D1583" s="46" t="s">
        <v>4</v>
      </c>
      <c r="E1583" s="44">
        <v>0.0741</v>
      </c>
      <c r="F1583" s="32">
        <f>TRUNC(23.42,2)</f>
        <v>23.42</v>
      </c>
      <c r="G1583" s="32">
        <f>TRUNC(E1583*F1583,2)</f>
        <v>1.73</v>
      </c>
      <c r="H1583" s="32"/>
      <c r="I1583" s="33"/>
      <c r="J1583" s="117"/>
    </row>
    <row r="1584" spans="1:10" s="34" customFormat="1" ht="15.75">
      <c r="A1584" s="60"/>
      <c r="B1584" s="43" t="s">
        <v>1842</v>
      </c>
      <c r="C1584" s="45" t="s">
        <v>307</v>
      </c>
      <c r="D1584" s="46" t="s">
        <v>4</v>
      </c>
      <c r="E1584" s="44">
        <v>0.2718</v>
      </c>
      <c r="F1584" s="32">
        <f>TRUNC(29.96,2)</f>
        <v>29.96</v>
      </c>
      <c r="G1584" s="32">
        <f>TRUNC(E1584*F1584,2)</f>
        <v>8.14</v>
      </c>
      <c r="H1584" s="32"/>
      <c r="I1584" s="33"/>
      <c r="J1584" s="117"/>
    </row>
    <row r="1585" spans="1:10" s="58" customFormat="1" ht="42.75">
      <c r="A1585" s="61"/>
      <c r="B1585" s="52" t="s">
        <v>2399</v>
      </c>
      <c r="C1585" s="55" t="s">
        <v>2400</v>
      </c>
      <c r="D1585" s="56" t="s">
        <v>1</v>
      </c>
      <c r="E1585" s="57">
        <v>0.03</v>
      </c>
      <c r="F1585" s="50">
        <f>TRUNC(310.75,2)</f>
        <v>310.75</v>
      </c>
      <c r="G1585" s="50">
        <f>TRUNC(E1585*F1585,2)</f>
        <v>9.32</v>
      </c>
      <c r="H1585" s="50"/>
      <c r="I1585" s="51"/>
      <c r="J1585" s="117"/>
    </row>
    <row r="1586" spans="1:10" s="34" customFormat="1" ht="15.75">
      <c r="A1586" s="60"/>
      <c r="B1586" s="43"/>
      <c r="C1586" s="45"/>
      <c r="D1586" s="46"/>
      <c r="E1586" s="44" t="s">
        <v>5</v>
      </c>
      <c r="F1586" s="32"/>
      <c r="G1586" s="32">
        <f>TRUNC(SUM(G1583:G1585),2)</f>
        <v>19.19</v>
      </c>
      <c r="H1586" s="32"/>
      <c r="I1586" s="33"/>
      <c r="J1586" s="117"/>
    </row>
    <row r="1587" spans="1:11" s="107" customFormat="1" ht="60">
      <c r="A1587" s="99" t="s">
        <v>1734</v>
      </c>
      <c r="B1587" s="100" t="s">
        <v>2402</v>
      </c>
      <c r="C1587" s="101" t="s">
        <v>1513</v>
      </c>
      <c r="D1587" s="102" t="s">
        <v>0</v>
      </c>
      <c r="E1587" s="103">
        <v>125.48</v>
      </c>
      <c r="F1587" s="104">
        <f>TRUNC(G1596,2)</f>
        <v>78.02</v>
      </c>
      <c r="G1587" s="105">
        <f>TRUNC(F1587*1.2247,2)</f>
        <v>95.55</v>
      </c>
      <c r="H1587" s="105">
        <f>TRUNC(F1587*E1587,2)</f>
        <v>9789.94</v>
      </c>
      <c r="I1587" s="106">
        <f>TRUNC(E1587*G1587,2)</f>
        <v>11989.61</v>
      </c>
      <c r="J1587" s="106"/>
      <c r="K1587" s="103"/>
    </row>
    <row r="1588" spans="1:10" s="34" customFormat="1" ht="15.75">
      <c r="A1588" s="60"/>
      <c r="B1588" s="43" t="s">
        <v>718</v>
      </c>
      <c r="C1588" s="45" t="s">
        <v>719</v>
      </c>
      <c r="D1588" s="46" t="s">
        <v>2</v>
      </c>
      <c r="E1588" s="44">
        <v>1</v>
      </c>
      <c r="F1588" s="32">
        <f>TRUNC(9.23,2)</f>
        <v>9.23</v>
      </c>
      <c r="G1588" s="32">
        <f aca="true" t="shared" si="62" ref="G1588:G1595">TRUNC(E1588*F1588,2)</f>
        <v>9.23</v>
      </c>
      <c r="H1588" s="32"/>
      <c r="I1588" s="33"/>
      <c r="J1588" s="117"/>
    </row>
    <row r="1589" spans="1:10" s="34" customFormat="1" ht="30">
      <c r="A1589" s="60"/>
      <c r="B1589" s="43" t="s">
        <v>33</v>
      </c>
      <c r="C1589" s="45" t="s">
        <v>34</v>
      </c>
      <c r="D1589" s="46" t="s">
        <v>4</v>
      </c>
      <c r="E1589" s="44">
        <v>0.927</v>
      </c>
      <c r="F1589" s="32">
        <f>TRUNC(16.55,2)</f>
        <v>16.55</v>
      </c>
      <c r="G1589" s="32">
        <f t="shared" si="62"/>
        <v>15.34</v>
      </c>
      <c r="H1589" s="32"/>
      <c r="I1589" s="33"/>
      <c r="J1589" s="117"/>
    </row>
    <row r="1590" spans="1:10" s="34" customFormat="1" ht="30">
      <c r="A1590" s="60"/>
      <c r="B1590" s="43" t="s">
        <v>1852</v>
      </c>
      <c r="C1590" s="45" t="s">
        <v>1853</v>
      </c>
      <c r="D1590" s="46" t="s">
        <v>4</v>
      </c>
      <c r="E1590" s="44">
        <v>0.618</v>
      </c>
      <c r="F1590" s="32">
        <f>TRUNC(22.86,2)</f>
        <v>22.86</v>
      </c>
      <c r="G1590" s="32">
        <f t="shared" si="62"/>
        <v>14.12</v>
      </c>
      <c r="H1590" s="32"/>
      <c r="I1590" s="33"/>
      <c r="J1590" s="117"/>
    </row>
    <row r="1591" spans="1:10" s="34" customFormat="1" ht="15.75">
      <c r="A1591" s="60"/>
      <c r="B1591" s="43" t="s">
        <v>35</v>
      </c>
      <c r="C1591" s="45" t="s">
        <v>36</v>
      </c>
      <c r="D1591" s="46" t="s">
        <v>4</v>
      </c>
      <c r="E1591" s="44">
        <v>0.309</v>
      </c>
      <c r="F1591" s="32">
        <f>TRUNC(22.86,2)</f>
        <v>22.86</v>
      </c>
      <c r="G1591" s="32">
        <f t="shared" si="62"/>
        <v>7.06</v>
      </c>
      <c r="H1591" s="32"/>
      <c r="I1591" s="33"/>
      <c r="J1591" s="117"/>
    </row>
    <row r="1592" spans="1:10" s="34" customFormat="1" ht="15.75">
      <c r="A1592" s="60"/>
      <c r="B1592" s="43" t="s">
        <v>2403</v>
      </c>
      <c r="C1592" s="45" t="s">
        <v>2404</v>
      </c>
      <c r="D1592" s="46" t="s">
        <v>1</v>
      </c>
      <c r="E1592" s="44">
        <v>0.05</v>
      </c>
      <c r="F1592" s="32">
        <f>TRUNC(110.8653,2)</f>
        <v>110.86</v>
      </c>
      <c r="G1592" s="32">
        <f t="shared" si="62"/>
        <v>5.54</v>
      </c>
      <c r="H1592" s="32"/>
      <c r="I1592" s="33"/>
      <c r="J1592" s="117"/>
    </row>
    <row r="1593" spans="1:10" s="34" customFormat="1" ht="15.75">
      <c r="A1593" s="60"/>
      <c r="B1593" s="43" t="s">
        <v>1764</v>
      </c>
      <c r="C1593" s="45" t="s">
        <v>1765</v>
      </c>
      <c r="D1593" s="46" t="s">
        <v>1</v>
      </c>
      <c r="E1593" s="44">
        <v>0.05</v>
      </c>
      <c r="F1593" s="32">
        <f>TRUNC(82.5898,2)</f>
        <v>82.58</v>
      </c>
      <c r="G1593" s="32">
        <f t="shared" si="62"/>
        <v>4.12</v>
      </c>
      <c r="H1593" s="32"/>
      <c r="I1593" s="33"/>
      <c r="J1593" s="117"/>
    </row>
    <row r="1594" spans="1:10" s="34" customFormat="1" ht="15.75">
      <c r="A1594" s="60"/>
      <c r="B1594" s="43" t="s">
        <v>1760</v>
      </c>
      <c r="C1594" s="45" t="s">
        <v>1761</v>
      </c>
      <c r="D1594" s="46" t="s">
        <v>1</v>
      </c>
      <c r="E1594" s="44">
        <v>0.05</v>
      </c>
      <c r="F1594" s="32">
        <f>TRUNC(258.9348,2)</f>
        <v>258.93</v>
      </c>
      <c r="G1594" s="32">
        <f t="shared" si="62"/>
        <v>12.94</v>
      </c>
      <c r="H1594" s="32"/>
      <c r="I1594" s="33"/>
      <c r="J1594" s="117"/>
    </row>
    <row r="1595" spans="1:10" s="34" customFormat="1" ht="15.75">
      <c r="A1595" s="60"/>
      <c r="B1595" s="43" t="s">
        <v>2405</v>
      </c>
      <c r="C1595" s="45" t="s">
        <v>2406</v>
      </c>
      <c r="D1595" s="46" t="s">
        <v>1</v>
      </c>
      <c r="E1595" s="44">
        <v>0.03</v>
      </c>
      <c r="F1595" s="32">
        <f>TRUNC(322.572,2)</f>
        <v>322.57</v>
      </c>
      <c r="G1595" s="32">
        <f t="shared" si="62"/>
        <v>9.67</v>
      </c>
      <c r="H1595" s="32"/>
      <c r="I1595" s="33"/>
      <c r="J1595" s="117"/>
    </row>
    <row r="1596" spans="1:10" s="34" customFormat="1" ht="15.75">
      <c r="A1596" s="60"/>
      <c r="B1596" s="43"/>
      <c r="C1596" s="45"/>
      <c r="D1596" s="46"/>
      <c r="E1596" s="44" t="s">
        <v>5</v>
      </c>
      <c r="F1596" s="32"/>
      <c r="G1596" s="32">
        <f>TRUNC(SUM(G1588:G1595),2)</f>
        <v>78.02</v>
      </c>
      <c r="H1596" s="32"/>
      <c r="I1596" s="33"/>
      <c r="J1596" s="117"/>
    </row>
    <row r="1597" spans="1:11" s="107" customFormat="1" ht="30">
      <c r="A1597" s="99" t="s">
        <v>1735</v>
      </c>
      <c r="B1597" s="100" t="s">
        <v>2407</v>
      </c>
      <c r="C1597" s="101" t="s">
        <v>1498</v>
      </c>
      <c r="D1597" s="102" t="s">
        <v>0</v>
      </c>
      <c r="E1597" s="103">
        <v>46.74</v>
      </c>
      <c r="F1597" s="104">
        <f>TRUNC(G1607,2)</f>
        <v>88.35</v>
      </c>
      <c r="G1597" s="105">
        <f>TRUNC(F1597*1.2247,2)</f>
        <v>108.2</v>
      </c>
      <c r="H1597" s="105">
        <f>TRUNC(F1597*E1597,2)</f>
        <v>4129.47</v>
      </c>
      <c r="I1597" s="106">
        <f>TRUNC(E1597*G1597,2)</f>
        <v>5057.26</v>
      </c>
      <c r="J1597" s="106"/>
      <c r="K1597" s="103"/>
    </row>
    <row r="1598" spans="1:10" s="34" customFormat="1" ht="45">
      <c r="A1598" s="60"/>
      <c r="B1598" s="43" t="s">
        <v>2408</v>
      </c>
      <c r="C1598" s="45" t="s">
        <v>1500</v>
      </c>
      <c r="D1598" s="46" t="s">
        <v>0</v>
      </c>
      <c r="E1598" s="44">
        <v>1.0131</v>
      </c>
      <c r="F1598" s="32">
        <f>TRUNC(63.08,2)</f>
        <v>63.08</v>
      </c>
      <c r="G1598" s="32">
        <f aca="true" t="shared" si="63" ref="G1598:G1606">TRUNC(E1598*F1598,2)</f>
        <v>63.9</v>
      </c>
      <c r="H1598" s="32"/>
      <c r="I1598" s="33"/>
      <c r="J1598" s="117"/>
    </row>
    <row r="1599" spans="1:10" s="34" customFormat="1" ht="15.75">
      <c r="A1599" s="60"/>
      <c r="B1599" s="43" t="s">
        <v>2409</v>
      </c>
      <c r="C1599" s="45" t="s">
        <v>48</v>
      </c>
      <c r="D1599" s="46" t="s">
        <v>1</v>
      </c>
      <c r="E1599" s="44">
        <v>0.0109</v>
      </c>
      <c r="F1599" s="32">
        <f>TRUNC(61.24,2)</f>
        <v>61.24</v>
      </c>
      <c r="G1599" s="32">
        <f t="shared" si="63"/>
        <v>0.66</v>
      </c>
      <c r="H1599" s="32"/>
      <c r="I1599" s="33"/>
      <c r="J1599" s="117"/>
    </row>
    <row r="1600" spans="1:10" s="34" customFormat="1" ht="30">
      <c r="A1600" s="60"/>
      <c r="B1600" s="43" t="s">
        <v>2410</v>
      </c>
      <c r="C1600" s="45" t="s">
        <v>41</v>
      </c>
      <c r="D1600" s="46" t="s">
        <v>1</v>
      </c>
      <c r="E1600" s="44">
        <v>0.0568</v>
      </c>
      <c r="F1600" s="32">
        <f>TRUNC(67.66,2)</f>
        <v>67.66</v>
      </c>
      <c r="G1600" s="32">
        <f t="shared" si="63"/>
        <v>3.84</v>
      </c>
      <c r="H1600" s="32"/>
      <c r="I1600" s="33"/>
      <c r="J1600" s="117"/>
    </row>
    <row r="1601" spans="1:10" s="34" customFormat="1" ht="15.75">
      <c r="A1601" s="60"/>
      <c r="B1601" s="43" t="s">
        <v>43</v>
      </c>
      <c r="C1601" s="45" t="s">
        <v>32</v>
      </c>
      <c r="D1601" s="46" t="s">
        <v>4</v>
      </c>
      <c r="E1601" s="44">
        <v>0.3638</v>
      </c>
      <c r="F1601" s="32">
        <f>TRUNC(23.42,2)</f>
        <v>23.42</v>
      </c>
      <c r="G1601" s="32">
        <f t="shared" si="63"/>
        <v>8.52</v>
      </c>
      <c r="H1601" s="32"/>
      <c r="I1601" s="33"/>
      <c r="J1601" s="117"/>
    </row>
    <row r="1602" spans="1:10" s="34" customFormat="1" ht="15.75">
      <c r="A1602" s="60"/>
      <c r="B1602" s="43" t="s">
        <v>2411</v>
      </c>
      <c r="C1602" s="45" t="s">
        <v>39</v>
      </c>
      <c r="D1602" s="46" t="s">
        <v>4</v>
      </c>
      <c r="E1602" s="44">
        <v>0.3638</v>
      </c>
      <c r="F1602" s="32">
        <f>TRUNC(29.8,2)</f>
        <v>29.8</v>
      </c>
      <c r="G1602" s="32">
        <f t="shared" si="63"/>
        <v>10.84</v>
      </c>
      <c r="H1602" s="32"/>
      <c r="I1602" s="33"/>
      <c r="J1602" s="117"/>
    </row>
    <row r="1603" spans="1:10" s="34" customFormat="1" ht="45">
      <c r="A1603" s="60"/>
      <c r="B1603" s="43" t="s">
        <v>2412</v>
      </c>
      <c r="C1603" s="45" t="s">
        <v>2413</v>
      </c>
      <c r="D1603" s="46" t="s">
        <v>38</v>
      </c>
      <c r="E1603" s="44">
        <v>0.1685</v>
      </c>
      <c r="F1603" s="32">
        <f>TRUNC(0.76,2)</f>
        <v>0.76</v>
      </c>
      <c r="G1603" s="32">
        <f t="shared" si="63"/>
        <v>0.12</v>
      </c>
      <c r="H1603" s="32"/>
      <c r="I1603" s="33"/>
      <c r="J1603" s="117"/>
    </row>
    <row r="1604" spans="1:10" s="34" customFormat="1" ht="45">
      <c r="A1604" s="60"/>
      <c r="B1604" s="43" t="s">
        <v>2414</v>
      </c>
      <c r="C1604" s="45" t="s">
        <v>2415</v>
      </c>
      <c r="D1604" s="46" t="s">
        <v>21</v>
      </c>
      <c r="E1604" s="44">
        <v>0.0135</v>
      </c>
      <c r="F1604" s="32">
        <f>TRUNC(23.31,2)</f>
        <v>23.31</v>
      </c>
      <c r="G1604" s="32">
        <f t="shared" si="63"/>
        <v>0.31</v>
      </c>
      <c r="H1604" s="32"/>
      <c r="I1604" s="33"/>
      <c r="J1604" s="117"/>
    </row>
    <row r="1605" spans="1:10" s="34" customFormat="1" ht="30">
      <c r="A1605" s="60"/>
      <c r="B1605" s="43" t="s">
        <v>2416</v>
      </c>
      <c r="C1605" s="45" t="s">
        <v>2417</v>
      </c>
      <c r="D1605" s="46" t="s">
        <v>38</v>
      </c>
      <c r="E1605" s="44">
        <v>0.1751</v>
      </c>
      <c r="F1605" s="32">
        <f>TRUNC(0.52,2)</f>
        <v>0.52</v>
      </c>
      <c r="G1605" s="32">
        <f t="shared" si="63"/>
        <v>0.09</v>
      </c>
      <c r="H1605" s="32"/>
      <c r="I1605" s="33"/>
      <c r="J1605" s="117"/>
    </row>
    <row r="1606" spans="1:10" s="34" customFormat="1" ht="30">
      <c r="A1606" s="60"/>
      <c r="B1606" s="43" t="s">
        <v>2418</v>
      </c>
      <c r="C1606" s="45" t="s">
        <v>2419</v>
      </c>
      <c r="D1606" s="46" t="s">
        <v>21</v>
      </c>
      <c r="E1606" s="44">
        <v>0.0069</v>
      </c>
      <c r="F1606" s="32">
        <f>TRUNC(10.17,2)</f>
        <v>10.17</v>
      </c>
      <c r="G1606" s="32">
        <f t="shared" si="63"/>
        <v>0.07</v>
      </c>
      <c r="H1606" s="32"/>
      <c r="I1606" s="33"/>
      <c r="J1606" s="117"/>
    </row>
    <row r="1607" spans="1:10" s="34" customFormat="1" ht="15.75">
      <c r="A1607" s="60"/>
      <c r="B1607" s="43"/>
      <c r="C1607" s="45"/>
      <c r="D1607" s="46"/>
      <c r="E1607" s="44" t="s">
        <v>5</v>
      </c>
      <c r="F1607" s="32"/>
      <c r="G1607" s="32">
        <f>TRUNC(SUM(G1598:G1606),2)</f>
        <v>88.35</v>
      </c>
      <c r="H1607" s="32"/>
      <c r="I1607" s="33"/>
      <c r="J1607" s="117"/>
    </row>
    <row r="1608" spans="1:11" s="107" customFormat="1" ht="60">
      <c r="A1608" s="99" t="s">
        <v>1736</v>
      </c>
      <c r="B1608" s="100" t="s">
        <v>2420</v>
      </c>
      <c r="C1608" s="101" t="s">
        <v>537</v>
      </c>
      <c r="D1608" s="102" t="s">
        <v>10</v>
      </c>
      <c r="E1608" s="103">
        <v>3</v>
      </c>
      <c r="F1608" s="104">
        <f>TRUNC(G1613,2)</f>
        <v>1278.7</v>
      </c>
      <c r="G1608" s="105">
        <f>TRUNC(F1608*1.2247,2)</f>
        <v>1566.02</v>
      </c>
      <c r="H1608" s="105">
        <f>TRUNC(F1608*E1608,2)</f>
        <v>3836.1</v>
      </c>
      <c r="I1608" s="106">
        <f>TRUNC(E1608*G1608,2)</f>
        <v>4698.06</v>
      </c>
      <c r="J1608" s="106"/>
      <c r="K1608" s="103"/>
    </row>
    <row r="1609" spans="1:10" s="34" customFormat="1" ht="15.75">
      <c r="A1609" s="60"/>
      <c r="B1609" s="43" t="s">
        <v>538</v>
      </c>
      <c r="C1609" s="45" t="s">
        <v>539</v>
      </c>
      <c r="D1609" s="46" t="s">
        <v>2</v>
      </c>
      <c r="E1609" s="44">
        <v>10.296</v>
      </c>
      <c r="F1609" s="32">
        <f>TRUNC(84.25,2)</f>
        <v>84.25</v>
      </c>
      <c r="G1609" s="32">
        <f>TRUNC(E1609*F1609,2)</f>
        <v>867.43</v>
      </c>
      <c r="H1609" s="32"/>
      <c r="I1609" s="33"/>
      <c r="J1609" s="117"/>
    </row>
    <row r="1610" spans="1:10" s="34" customFormat="1" ht="30">
      <c r="A1610" s="60"/>
      <c r="B1610" s="43" t="s">
        <v>33</v>
      </c>
      <c r="C1610" s="45" t="s">
        <v>34</v>
      </c>
      <c r="D1610" s="46" t="s">
        <v>4</v>
      </c>
      <c r="E1610" s="44">
        <v>8.24</v>
      </c>
      <c r="F1610" s="32">
        <f>TRUNC(16.55,2)</f>
        <v>16.55</v>
      </c>
      <c r="G1610" s="32">
        <f>TRUNC(E1610*F1610,2)</f>
        <v>136.37</v>
      </c>
      <c r="H1610" s="32"/>
      <c r="I1610" s="33"/>
      <c r="J1610" s="117"/>
    </row>
    <row r="1611" spans="1:10" s="34" customFormat="1" ht="15.75">
      <c r="A1611" s="60"/>
      <c r="B1611" s="43" t="s">
        <v>35</v>
      </c>
      <c r="C1611" s="45" t="s">
        <v>36</v>
      </c>
      <c r="D1611" s="46" t="s">
        <v>4</v>
      </c>
      <c r="E1611" s="44">
        <v>8.24</v>
      </c>
      <c r="F1611" s="32">
        <f>TRUNC(22.86,2)</f>
        <v>22.86</v>
      </c>
      <c r="G1611" s="32">
        <f>TRUNC(E1611*F1611,2)</f>
        <v>188.36</v>
      </c>
      <c r="H1611" s="32"/>
      <c r="I1611" s="33"/>
      <c r="J1611" s="117"/>
    </row>
    <row r="1612" spans="1:10" s="34" customFormat="1" ht="15.75">
      <c r="A1612" s="60"/>
      <c r="B1612" s="43" t="s">
        <v>1762</v>
      </c>
      <c r="C1612" s="45" t="s">
        <v>1763</v>
      </c>
      <c r="D1612" s="46" t="s">
        <v>1</v>
      </c>
      <c r="E1612" s="44">
        <v>0.31200000000000006</v>
      </c>
      <c r="F1612" s="32">
        <f>TRUNC(277.3833,2)</f>
        <v>277.38</v>
      </c>
      <c r="G1612" s="32">
        <f>TRUNC(E1612*F1612,2)</f>
        <v>86.54</v>
      </c>
      <c r="H1612" s="32"/>
      <c r="I1612" s="33"/>
      <c r="J1612" s="117"/>
    </row>
    <row r="1613" spans="1:10" s="34" customFormat="1" ht="15.75">
      <c r="A1613" s="60"/>
      <c r="B1613" s="43"/>
      <c r="C1613" s="45"/>
      <c r="D1613" s="46"/>
      <c r="E1613" s="44" t="s">
        <v>5</v>
      </c>
      <c r="F1613" s="32"/>
      <c r="G1613" s="32">
        <f>TRUNC(SUM(G1609:G1612),2)</f>
        <v>1278.7</v>
      </c>
      <c r="H1613" s="32"/>
      <c r="I1613" s="33"/>
      <c r="J1613" s="117"/>
    </row>
    <row r="1614" spans="1:11" s="107" customFormat="1" ht="45">
      <c r="A1614" s="99" t="s">
        <v>2434</v>
      </c>
      <c r="B1614" s="100" t="s">
        <v>2436</v>
      </c>
      <c r="C1614" s="101" t="s">
        <v>2424</v>
      </c>
      <c r="D1614" s="102" t="s">
        <v>0</v>
      </c>
      <c r="E1614" s="103">
        <v>207.8</v>
      </c>
      <c r="F1614" s="104">
        <f>TRUNC(11.33813,2)</f>
        <v>11.33</v>
      </c>
      <c r="G1614" s="105">
        <f>TRUNC(F1614*1.2247,2)</f>
        <v>13.87</v>
      </c>
      <c r="H1614" s="105">
        <f>TRUNC(F1614*E1614,2)</f>
        <v>2354.37</v>
      </c>
      <c r="I1614" s="106">
        <f>TRUNC(E1614*G1614,2)</f>
        <v>2882.18</v>
      </c>
      <c r="J1614" s="106"/>
      <c r="K1614" s="103"/>
    </row>
    <row r="1615" spans="1:10" s="34" customFormat="1" ht="15.75">
      <c r="A1615" s="60"/>
      <c r="B1615" s="43" t="s">
        <v>2425</v>
      </c>
      <c r="C1615" s="45" t="s">
        <v>2426</v>
      </c>
      <c r="D1615" s="46" t="s">
        <v>0</v>
      </c>
      <c r="E1615" s="44">
        <v>1.02</v>
      </c>
      <c r="F1615" s="32">
        <f>TRUNC(6.5,2)</f>
        <v>6.5</v>
      </c>
      <c r="G1615" s="32">
        <f>TRUNC(E1615*F1615,2)</f>
        <v>6.63</v>
      </c>
      <c r="H1615" s="32"/>
      <c r="I1615" s="33"/>
      <c r="J1615" s="117"/>
    </row>
    <row r="1616" spans="1:10" s="34" customFormat="1" ht="30">
      <c r="A1616" s="60"/>
      <c r="B1616" s="43" t="s">
        <v>2437</v>
      </c>
      <c r="C1616" s="45" t="s">
        <v>2438</v>
      </c>
      <c r="D1616" s="46" t="s">
        <v>4</v>
      </c>
      <c r="E1616" s="44">
        <v>0.3605</v>
      </c>
      <c r="F1616" s="32">
        <f>TRUNC(13.06,2)</f>
        <v>13.06</v>
      </c>
      <c r="G1616" s="32">
        <f>TRUNC(E1616*F1616,2)</f>
        <v>4.7</v>
      </c>
      <c r="H1616" s="32"/>
      <c r="I1616" s="33"/>
      <c r="J1616" s="117"/>
    </row>
    <row r="1617" spans="1:10" s="34" customFormat="1" ht="15.75">
      <c r="A1617" s="60"/>
      <c r="B1617" s="43"/>
      <c r="C1617" s="45"/>
      <c r="D1617" s="46"/>
      <c r="E1617" s="44" t="s">
        <v>5</v>
      </c>
      <c r="F1617" s="32"/>
      <c r="G1617" s="32">
        <f>TRUNC(SUM(G1615:G1616),2)</f>
        <v>11.33</v>
      </c>
      <c r="H1617" s="32"/>
      <c r="I1617" s="33"/>
      <c r="J1617" s="117"/>
    </row>
    <row r="1618" spans="1:11" s="107" customFormat="1" ht="60">
      <c r="A1618" s="99" t="s">
        <v>2435</v>
      </c>
      <c r="B1618" s="100" t="s">
        <v>2429</v>
      </c>
      <c r="C1618" s="101" t="s">
        <v>2430</v>
      </c>
      <c r="D1618" s="102" t="s">
        <v>0</v>
      </c>
      <c r="E1618" s="103">
        <v>10</v>
      </c>
      <c r="F1618" s="104">
        <f>TRUNC(13.2,2)</f>
        <v>13.2</v>
      </c>
      <c r="G1618" s="105">
        <f>TRUNC(F1618*1.2247,2)</f>
        <v>16.16</v>
      </c>
      <c r="H1618" s="105">
        <f>TRUNC(F1618*E1618,2)</f>
        <v>132</v>
      </c>
      <c r="I1618" s="106">
        <f>TRUNC(E1618*G1618,2)</f>
        <v>161.6</v>
      </c>
      <c r="J1618" s="106"/>
      <c r="K1618" s="103"/>
    </row>
    <row r="1619" spans="1:10" s="34" customFormat="1" ht="15.75">
      <c r="A1619" s="60"/>
      <c r="B1619" s="43" t="s">
        <v>2431</v>
      </c>
      <c r="C1619" s="45" t="s">
        <v>2432</v>
      </c>
      <c r="D1619" s="46" t="s">
        <v>10</v>
      </c>
      <c r="E1619" s="44">
        <v>12</v>
      </c>
      <c r="F1619" s="32">
        <f>TRUNC(1.1,2)</f>
        <v>1.1</v>
      </c>
      <c r="G1619" s="32">
        <f>TRUNC(E1619*F1619,2)</f>
        <v>13.2</v>
      </c>
      <c r="H1619" s="32"/>
      <c r="I1619" s="33"/>
      <c r="J1619" s="117"/>
    </row>
    <row r="1620" spans="1:10" s="34" customFormat="1" ht="15.75">
      <c r="A1620" s="60"/>
      <c r="B1620" s="43"/>
      <c r="C1620" s="45"/>
      <c r="D1620" s="46"/>
      <c r="E1620" s="44" t="s">
        <v>5</v>
      </c>
      <c r="F1620" s="32"/>
      <c r="G1620" s="32">
        <f>TRUNC(SUM(G1619:G1619),2)</f>
        <v>13.2</v>
      </c>
      <c r="H1620" s="32"/>
      <c r="I1620" s="33"/>
      <c r="J1620" s="117"/>
    </row>
    <row r="1621" spans="1:11" s="107" customFormat="1" ht="45">
      <c r="A1621" s="99" t="s">
        <v>2461</v>
      </c>
      <c r="B1621" s="100" t="s">
        <v>2457</v>
      </c>
      <c r="C1621" s="101" t="s">
        <v>2462</v>
      </c>
      <c r="D1621" s="102" t="s">
        <v>0</v>
      </c>
      <c r="E1621" s="103">
        <v>14.38</v>
      </c>
      <c r="F1621" s="104">
        <f>TRUNC(G1629,2)</f>
        <v>104.97</v>
      </c>
      <c r="G1621" s="105">
        <f>TRUNC(F1621*1.2247,2)</f>
        <v>128.55</v>
      </c>
      <c r="H1621" s="105">
        <f>TRUNC(F1621*E1621,2)</f>
        <v>1509.46</v>
      </c>
      <c r="I1621" s="106">
        <f>TRUNC(E1621*G1621,2)</f>
        <v>1848.54</v>
      </c>
      <c r="J1621" s="106"/>
      <c r="K1621" s="103"/>
    </row>
    <row r="1622" spans="1:11" s="34" customFormat="1" ht="30">
      <c r="A1622" s="30"/>
      <c r="B1622" s="43" t="s">
        <v>2458</v>
      </c>
      <c r="C1622" s="45" t="s">
        <v>2454</v>
      </c>
      <c r="D1622" s="46" t="s">
        <v>0</v>
      </c>
      <c r="E1622" s="44">
        <v>1.1224</v>
      </c>
      <c r="F1622" s="31">
        <f>TRUNC(40.75,2)</f>
        <v>40.75</v>
      </c>
      <c r="G1622" s="32">
        <f aca="true" t="shared" si="64" ref="G1622:G1628">TRUNC(E1622*F1622,2)</f>
        <v>45.73</v>
      </c>
      <c r="H1622" s="32"/>
      <c r="I1622" s="33"/>
      <c r="J1622" s="33"/>
      <c r="K1622" s="37"/>
    </row>
    <row r="1623" spans="1:11" s="34" customFormat="1" ht="15">
      <c r="A1623" s="30"/>
      <c r="B1623" s="43" t="s">
        <v>2394</v>
      </c>
      <c r="C1623" s="45" t="s">
        <v>1487</v>
      </c>
      <c r="D1623" s="46" t="s">
        <v>2</v>
      </c>
      <c r="E1623" s="44">
        <v>0.45</v>
      </c>
      <c r="F1623" s="31">
        <f>TRUNC(2.14,2)</f>
        <v>2.14</v>
      </c>
      <c r="G1623" s="32">
        <f t="shared" si="64"/>
        <v>0.96</v>
      </c>
      <c r="H1623" s="32"/>
      <c r="I1623" s="33"/>
      <c r="J1623" s="33"/>
      <c r="K1623" s="37"/>
    </row>
    <row r="1624" spans="1:11" s="34" customFormat="1" ht="15">
      <c r="A1624" s="30"/>
      <c r="B1624" s="43" t="s">
        <v>2459</v>
      </c>
      <c r="C1624" s="45" t="s">
        <v>2456</v>
      </c>
      <c r="D1624" s="46" t="s">
        <v>0</v>
      </c>
      <c r="E1624" s="44">
        <v>1.128</v>
      </c>
      <c r="F1624" s="31">
        <f>TRUNC(1.23,2)</f>
        <v>1.23</v>
      </c>
      <c r="G1624" s="32">
        <f t="shared" si="64"/>
        <v>1.38</v>
      </c>
      <c r="H1624" s="32"/>
      <c r="I1624" s="33"/>
      <c r="J1624" s="33"/>
      <c r="K1624" s="37"/>
    </row>
    <row r="1625" spans="1:11" s="34" customFormat="1" ht="30">
      <c r="A1625" s="30"/>
      <c r="B1625" s="43" t="s">
        <v>2460</v>
      </c>
      <c r="C1625" s="45" t="s">
        <v>2452</v>
      </c>
      <c r="D1625" s="46" t="s">
        <v>1</v>
      </c>
      <c r="E1625" s="44">
        <v>0.14</v>
      </c>
      <c r="F1625" s="31">
        <f>TRUNC(310,2)</f>
        <v>310</v>
      </c>
      <c r="G1625" s="32">
        <f t="shared" si="64"/>
        <v>43.4</v>
      </c>
      <c r="H1625" s="32"/>
      <c r="I1625" s="33"/>
      <c r="J1625" s="33"/>
      <c r="K1625" s="37"/>
    </row>
    <row r="1626" spans="1:11" s="34" customFormat="1" ht="15">
      <c r="A1626" s="30"/>
      <c r="B1626" s="43" t="s">
        <v>43</v>
      </c>
      <c r="C1626" s="45" t="s">
        <v>32</v>
      </c>
      <c r="D1626" s="46" t="s">
        <v>4</v>
      </c>
      <c r="E1626" s="44">
        <v>0.2537</v>
      </c>
      <c r="F1626" s="31">
        <f>TRUNC(23.42,2)</f>
        <v>23.42</v>
      </c>
      <c r="G1626" s="32">
        <f t="shared" si="64"/>
        <v>5.94</v>
      </c>
      <c r="H1626" s="32"/>
      <c r="I1626" s="33"/>
      <c r="J1626" s="33"/>
      <c r="K1626" s="37"/>
    </row>
    <row r="1627" spans="1:11" s="34" customFormat="1" ht="15">
      <c r="A1627" s="30"/>
      <c r="B1627" s="43" t="s">
        <v>1842</v>
      </c>
      <c r="C1627" s="45" t="s">
        <v>307</v>
      </c>
      <c r="D1627" s="46" t="s">
        <v>4</v>
      </c>
      <c r="E1627" s="44">
        <v>0.1183</v>
      </c>
      <c r="F1627" s="31">
        <f>TRUNC(29.96,2)</f>
        <v>29.96</v>
      </c>
      <c r="G1627" s="32">
        <f t="shared" si="64"/>
        <v>3.54</v>
      </c>
      <c r="H1627" s="32"/>
      <c r="I1627" s="33"/>
      <c r="J1627" s="33"/>
      <c r="K1627" s="37"/>
    </row>
    <row r="1628" spans="1:11" s="34" customFormat="1" ht="15">
      <c r="A1628" s="30"/>
      <c r="B1628" s="43" t="s">
        <v>1780</v>
      </c>
      <c r="C1628" s="45" t="s">
        <v>261</v>
      </c>
      <c r="D1628" s="46" t="s">
        <v>4</v>
      </c>
      <c r="E1628" s="44">
        <v>0.1354</v>
      </c>
      <c r="F1628" s="31">
        <f>TRUNC(29.7,2)</f>
        <v>29.7</v>
      </c>
      <c r="G1628" s="32">
        <f t="shared" si="64"/>
        <v>4.02</v>
      </c>
      <c r="H1628" s="32"/>
      <c r="I1628" s="33"/>
      <c r="J1628" s="33"/>
      <c r="K1628" s="37"/>
    </row>
    <row r="1629" spans="1:11" s="34" customFormat="1" ht="15">
      <c r="A1629" s="30"/>
      <c r="B1629" s="43"/>
      <c r="C1629" s="45"/>
      <c r="D1629" s="46"/>
      <c r="E1629" s="44" t="s">
        <v>5</v>
      </c>
      <c r="F1629" s="31"/>
      <c r="G1629" s="32">
        <f>TRUNC(SUM(G1622:G1628),2)</f>
        <v>104.97</v>
      </c>
      <c r="H1629" s="32"/>
      <c r="I1629" s="33"/>
      <c r="J1629" s="33"/>
      <c r="K1629" s="37"/>
    </row>
    <row r="1630" spans="1:11" s="72" customFormat="1" ht="15">
      <c r="A1630" s="65" t="s">
        <v>1363</v>
      </c>
      <c r="B1630" s="66"/>
      <c r="C1630" s="67"/>
      <c r="D1630" s="68"/>
      <c r="E1630" s="69"/>
      <c r="F1630" s="70"/>
      <c r="G1630" s="73" t="s">
        <v>1737</v>
      </c>
      <c r="H1630" s="75">
        <f>H1608+H1597+H1587+H1582+H1574+H1565+H1614+H1618+H1621</f>
        <v>32367.82</v>
      </c>
      <c r="I1630" s="75">
        <f>I1608+I1597+I1587+I1582+I1574+I1565+I1614+I1618+I1621</f>
        <v>39638.799999999996</v>
      </c>
      <c r="J1630" s="71"/>
      <c r="K1630" s="69"/>
    </row>
    <row r="1631" spans="1:11" s="21" customFormat="1" ht="15.75">
      <c r="A1631" s="21" t="s">
        <v>1738</v>
      </c>
      <c r="B1631" s="28"/>
      <c r="C1631" s="29" t="s">
        <v>1518</v>
      </c>
      <c r="D1631" s="29"/>
      <c r="E1631" s="29"/>
      <c r="F1631" s="29"/>
      <c r="G1631" s="29"/>
      <c r="H1631" s="29"/>
      <c r="I1631" s="27"/>
      <c r="J1631" s="29"/>
      <c r="K1631" s="29"/>
    </row>
    <row r="1632" spans="1:11" s="107" customFormat="1" ht="60">
      <c r="A1632" s="99" t="s">
        <v>1739</v>
      </c>
      <c r="B1632" s="100" t="s">
        <v>2421</v>
      </c>
      <c r="C1632" s="101" t="s">
        <v>1557</v>
      </c>
      <c r="D1632" s="102" t="s">
        <v>0</v>
      </c>
      <c r="E1632" s="103">
        <v>53.74</v>
      </c>
      <c r="F1632" s="104">
        <f>TRUNC(G1636,2)</f>
        <v>438.16</v>
      </c>
      <c r="G1632" s="105">
        <f>TRUNC(F1632*1.2247,2)</f>
        <v>536.61</v>
      </c>
      <c r="H1632" s="105">
        <f>TRUNC(F1632*E1632,2)</f>
        <v>23546.71</v>
      </c>
      <c r="I1632" s="106">
        <f>TRUNC(E1632*G1632,2)</f>
        <v>28837.42</v>
      </c>
      <c r="J1632" s="106"/>
      <c r="K1632" s="103"/>
    </row>
    <row r="1633" spans="1:11" s="34" customFormat="1" ht="60">
      <c r="A1633" s="30"/>
      <c r="B1633" s="52" t="s">
        <v>827</v>
      </c>
      <c r="C1633" s="45" t="s">
        <v>1561</v>
      </c>
      <c r="D1633" s="46" t="s">
        <v>0</v>
      </c>
      <c r="E1633" s="44">
        <v>1</v>
      </c>
      <c r="F1633" s="31">
        <f>TRUNC(G1640,2)</f>
        <v>296.15</v>
      </c>
      <c r="G1633" s="32">
        <f>TRUNC(E1633*F1633,2)</f>
        <v>296.15</v>
      </c>
      <c r="H1633" s="32"/>
      <c r="I1633" s="33"/>
      <c r="J1633" s="33"/>
      <c r="K1633" s="37"/>
    </row>
    <row r="1634" spans="1:11" s="34" customFormat="1" ht="30">
      <c r="A1634" s="30"/>
      <c r="B1634" s="43" t="s">
        <v>33</v>
      </c>
      <c r="C1634" s="45" t="s">
        <v>34</v>
      </c>
      <c r="D1634" s="46" t="s">
        <v>4</v>
      </c>
      <c r="E1634" s="44">
        <v>3.4505000000000003</v>
      </c>
      <c r="F1634" s="31">
        <v>16.55</v>
      </c>
      <c r="G1634" s="32">
        <f>TRUNC(E1634*F1634,2)</f>
        <v>57.1</v>
      </c>
      <c r="H1634" s="32"/>
      <c r="I1634" s="33"/>
      <c r="J1634" s="33"/>
      <c r="K1634" s="37"/>
    </row>
    <row r="1635" spans="1:11" s="34" customFormat="1" ht="30">
      <c r="A1635" s="30"/>
      <c r="B1635" s="43" t="s">
        <v>1750</v>
      </c>
      <c r="C1635" s="45" t="s">
        <v>1751</v>
      </c>
      <c r="D1635" s="46" t="s">
        <v>4</v>
      </c>
      <c r="E1635" s="44">
        <v>3.4505000000000003</v>
      </c>
      <c r="F1635" s="31">
        <v>24.61</v>
      </c>
      <c r="G1635" s="32">
        <f>TRUNC(E1635*F1635,2)</f>
        <v>84.91</v>
      </c>
      <c r="H1635" s="32"/>
      <c r="I1635" s="33"/>
      <c r="J1635" s="33"/>
      <c r="K1635" s="37"/>
    </row>
    <row r="1636" spans="1:11" s="34" customFormat="1" ht="15">
      <c r="A1636" s="30"/>
      <c r="B1636" s="43"/>
      <c r="C1636" s="45"/>
      <c r="D1636" s="46"/>
      <c r="E1636" s="44" t="s">
        <v>5</v>
      </c>
      <c r="F1636" s="31"/>
      <c r="G1636" s="32">
        <f>TRUNC(SUM(G1633:G1635),2)</f>
        <v>438.16</v>
      </c>
      <c r="H1636" s="32"/>
      <c r="I1636" s="33"/>
      <c r="J1636" s="33"/>
      <c r="K1636" s="37"/>
    </row>
    <row r="1637" spans="1:11" s="34" customFormat="1" ht="75">
      <c r="A1637" s="30"/>
      <c r="B1637" s="52" t="s">
        <v>827</v>
      </c>
      <c r="C1637" s="45" t="s">
        <v>1564</v>
      </c>
      <c r="D1637" s="46" t="s">
        <v>0</v>
      </c>
      <c r="E1637" s="44">
        <v>1</v>
      </c>
      <c r="F1637" s="31">
        <v>347.3</v>
      </c>
      <c r="G1637" s="32">
        <f>TRUNC(E1637*F1637,2)</f>
        <v>347.3</v>
      </c>
      <c r="H1637" s="32"/>
      <c r="I1637" s="33"/>
      <c r="J1637" s="33"/>
      <c r="K1637" s="37"/>
    </row>
    <row r="1638" spans="1:11" s="34" customFormat="1" ht="75">
      <c r="A1638" s="30"/>
      <c r="B1638" s="52" t="s">
        <v>827</v>
      </c>
      <c r="C1638" s="45" t="s">
        <v>1558</v>
      </c>
      <c r="D1638" s="46" t="s">
        <v>0</v>
      </c>
      <c r="E1638" s="44">
        <v>1</v>
      </c>
      <c r="F1638" s="31">
        <v>265.87</v>
      </c>
      <c r="G1638" s="32">
        <f>TRUNC(E1638*F1638,2)</f>
        <v>265.87</v>
      </c>
      <c r="H1638" s="32"/>
      <c r="I1638" s="33"/>
      <c r="J1638" s="33"/>
      <c r="K1638" s="37"/>
    </row>
    <row r="1639" spans="1:11" s="34" customFormat="1" ht="75">
      <c r="A1639" s="30"/>
      <c r="B1639" s="52" t="s">
        <v>827</v>
      </c>
      <c r="C1639" s="45" t="s">
        <v>1563</v>
      </c>
      <c r="D1639" s="46" t="s">
        <v>0</v>
      </c>
      <c r="E1639" s="44">
        <v>1</v>
      </c>
      <c r="F1639" s="31">
        <v>296.15</v>
      </c>
      <c r="G1639" s="32">
        <f>TRUNC(E1639*F1639,2)</f>
        <v>296.15</v>
      </c>
      <c r="H1639" s="32"/>
      <c r="I1639" s="33"/>
      <c r="J1639" s="33"/>
      <c r="K1639" s="37"/>
    </row>
    <row r="1640" spans="1:11" s="34" customFormat="1" ht="15">
      <c r="A1640" s="30"/>
      <c r="B1640" s="43"/>
      <c r="C1640" s="45"/>
      <c r="D1640" s="46"/>
      <c r="E1640" s="44"/>
      <c r="F1640" s="31" t="s">
        <v>1559</v>
      </c>
      <c r="G1640" s="32">
        <f>G1639</f>
        <v>296.15</v>
      </c>
      <c r="H1640" s="32"/>
      <c r="I1640" s="33"/>
      <c r="J1640" s="33"/>
      <c r="K1640" s="37"/>
    </row>
    <row r="1641" spans="1:11" s="107" customFormat="1" ht="30">
      <c r="A1641" s="99" t="s">
        <v>1740</v>
      </c>
      <c r="B1641" s="100" t="s">
        <v>2421</v>
      </c>
      <c r="C1641" s="101" t="s">
        <v>1562</v>
      </c>
      <c r="D1641" s="102" t="s">
        <v>0</v>
      </c>
      <c r="E1641" s="103">
        <v>11.56</v>
      </c>
      <c r="F1641" s="104">
        <f>TRUNC(G1645,2)</f>
        <v>971.17</v>
      </c>
      <c r="G1641" s="105">
        <f>TRUNC(F1641*1.2247,2)</f>
        <v>1189.39</v>
      </c>
      <c r="H1641" s="105">
        <f>TRUNC(F1641*E1641,2)</f>
        <v>11226.72</v>
      </c>
      <c r="I1641" s="106">
        <f>TRUNC(E1641*G1641,2)</f>
        <v>13749.34</v>
      </c>
      <c r="J1641" s="106"/>
      <c r="K1641" s="103"/>
    </row>
    <row r="1642" spans="1:11" s="34" customFormat="1" ht="30">
      <c r="A1642" s="30"/>
      <c r="B1642" s="43" t="s">
        <v>827</v>
      </c>
      <c r="C1642" s="45" t="s">
        <v>1567</v>
      </c>
      <c r="D1642" s="46" t="s">
        <v>0</v>
      </c>
      <c r="E1642" s="44">
        <v>1</v>
      </c>
      <c r="F1642" s="31">
        <f>TRUNC(G1649,2)</f>
        <v>829.16</v>
      </c>
      <c r="G1642" s="32">
        <f>TRUNC(E1642*F1642,2)</f>
        <v>829.16</v>
      </c>
      <c r="H1642" s="32"/>
      <c r="I1642" s="33"/>
      <c r="J1642" s="33"/>
      <c r="K1642" s="37"/>
    </row>
    <row r="1643" spans="1:11" s="34" customFormat="1" ht="30">
      <c r="A1643" s="30"/>
      <c r="B1643" s="43" t="s">
        <v>33</v>
      </c>
      <c r="C1643" s="45" t="s">
        <v>34</v>
      </c>
      <c r="D1643" s="46" t="s">
        <v>4</v>
      </c>
      <c r="E1643" s="44">
        <v>3.4505000000000003</v>
      </c>
      <c r="F1643" s="31">
        <v>16.55</v>
      </c>
      <c r="G1643" s="32">
        <f>TRUNC(E1643*F1643,2)</f>
        <v>57.1</v>
      </c>
      <c r="H1643" s="32"/>
      <c r="I1643" s="33"/>
      <c r="J1643" s="33"/>
      <c r="K1643" s="37"/>
    </row>
    <row r="1644" spans="1:11" s="34" customFormat="1" ht="30">
      <c r="A1644" s="30"/>
      <c r="B1644" s="43" t="s">
        <v>1750</v>
      </c>
      <c r="C1644" s="45" t="s">
        <v>1751</v>
      </c>
      <c r="D1644" s="46" t="s">
        <v>4</v>
      </c>
      <c r="E1644" s="44">
        <v>3.4505000000000003</v>
      </c>
      <c r="F1644" s="31">
        <v>24.61</v>
      </c>
      <c r="G1644" s="32">
        <f>TRUNC(E1644*F1644,2)</f>
        <v>84.91</v>
      </c>
      <c r="H1644" s="32"/>
      <c r="I1644" s="33"/>
      <c r="J1644" s="33"/>
      <c r="K1644" s="37"/>
    </row>
    <row r="1645" spans="1:11" s="34" customFormat="1" ht="15">
      <c r="A1645" s="30"/>
      <c r="B1645" s="43"/>
      <c r="C1645" s="45"/>
      <c r="D1645" s="46"/>
      <c r="E1645" s="44" t="s">
        <v>5</v>
      </c>
      <c r="F1645" s="31"/>
      <c r="G1645" s="32">
        <f>TRUNC(SUM(G1642:G1644),2)</f>
        <v>971.17</v>
      </c>
      <c r="H1645" s="32"/>
      <c r="I1645" s="33"/>
      <c r="J1645" s="33"/>
      <c r="K1645" s="37"/>
    </row>
    <row r="1646" spans="1:11" s="34" customFormat="1" ht="30">
      <c r="A1646" s="30"/>
      <c r="B1646" s="52" t="s">
        <v>827</v>
      </c>
      <c r="C1646" s="45" t="s">
        <v>1562</v>
      </c>
      <c r="D1646" s="46" t="s">
        <v>0</v>
      </c>
      <c r="E1646" s="44">
        <v>1</v>
      </c>
      <c r="F1646" s="31">
        <v>829.16</v>
      </c>
      <c r="G1646" s="32">
        <f>TRUNC(E1646*F1646,2)</f>
        <v>829.16</v>
      </c>
      <c r="H1646" s="32"/>
      <c r="I1646" s="33"/>
      <c r="J1646" s="33"/>
      <c r="K1646" s="37"/>
    </row>
    <row r="1647" spans="1:11" s="34" customFormat="1" ht="30">
      <c r="A1647" s="30"/>
      <c r="B1647" s="52" t="s">
        <v>827</v>
      </c>
      <c r="C1647" s="45" t="s">
        <v>1562</v>
      </c>
      <c r="D1647" s="46" t="s">
        <v>0</v>
      </c>
      <c r="E1647" s="44">
        <v>1</v>
      </c>
      <c r="F1647" s="31">
        <v>941</v>
      </c>
      <c r="G1647" s="32">
        <f>TRUNC(E1647*F1647,2)</f>
        <v>941</v>
      </c>
      <c r="H1647" s="32"/>
      <c r="I1647" s="33"/>
      <c r="J1647" s="33"/>
      <c r="K1647" s="37"/>
    </row>
    <row r="1648" spans="1:11" s="34" customFormat="1" ht="45">
      <c r="A1648" s="30"/>
      <c r="B1648" s="52" t="s">
        <v>827</v>
      </c>
      <c r="C1648" s="45" t="s">
        <v>1566</v>
      </c>
      <c r="D1648" s="46" t="s">
        <v>0</v>
      </c>
      <c r="E1648" s="44">
        <v>1</v>
      </c>
      <c r="F1648" s="31">
        <v>808.67</v>
      </c>
      <c r="G1648" s="32">
        <f>TRUNC(E1648*F1648,2)</f>
        <v>808.67</v>
      </c>
      <c r="H1648" s="32"/>
      <c r="I1648" s="33"/>
      <c r="J1648" s="33"/>
      <c r="K1648" s="37"/>
    </row>
    <row r="1649" spans="1:11" s="34" customFormat="1" ht="15">
      <c r="A1649" s="30"/>
      <c r="B1649" s="43"/>
      <c r="C1649" s="45"/>
      <c r="D1649" s="46"/>
      <c r="E1649" s="44"/>
      <c r="F1649" s="31" t="s">
        <v>1559</v>
      </c>
      <c r="G1649" s="32">
        <f>G1646</f>
        <v>829.16</v>
      </c>
      <c r="H1649" s="32"/>
      <c r="I1649" s="33"/>
      <c r="J1649" s="33"/>
      <c r="K1649" s="37"/>
    </row>
    <row r="1650" spans="1:11" s="72" customFormat="1" ht="15">
      <c r="A1650" s="65" t="s">
        <v>1363</v>
      </c>
      <c r="B1650" s="66"/>
      <c r="C1650" s="67"/>
      <c r="D1650" s="68"/>
      <c r="E1650" s="69"/>
      <c r="F1650" s="70"/>
      <c r="G1650" s="73" t="s">
        <v>1741</v>
      </c>
      <c r="H1650" s="75">
        <f>H1641+H1632</f>
        <v>34773.43</v>
      </c>
      <c r="I1650" s="75">
        <f>I1641+I1632</f>
        <v>42586.759999999995</v>
      </c>
      <c r="J1650" s="71"/>
      <c r="K1650" s="69"/>
    </row>
    <row r="1651" spans="1:11" s="21" customFormat="1" ht="15.75">
      <c r="A1651" s="21" t="s">
        <v>1742</v>
      </c>
      <c r="B1651" s="28"/>
      <c r="C1651" s="29" t="s">
        <v>1519</v>
      </c>
      <c r="D1651" s="29"/>
      <c r="E1651" s="29"/>
      <c r="F1651" s="29"/>
      <c r="G1651" s="29"/>
      <c r="H1651" s="29"/>
      <c r="I1651" s="27"/>
      <c r="J1651" s="29"/>
      <c r="K1651" s="29"/>
    </row>
    <row r="1652" spans="1:11" s="107" customFormat="1" ht="60">
      <c r="A1652" s="99" t="s">
        <v>1743</v>
      </c>
      <c r="B1652" s="100" t="s">
        <v>2422</v>
      </c>
      <c r="C1652" s="101" t="s">
        <v>45</v>
      </c>
      <c r="D1652" s="102" t="s">
        <v>10</v>
      </c>
      <c r="E1652" s="103">
        <v>15</v>
      </c>
      <c r="F1652" s="104">
        <f>TRUNC(260.2279,2)</f>
        <v>260.22</v>
      </c>
      <c r="G1652" s="105">
        <f>TRUNC(F1652*1.2247,2)</f>
        <v>318.69</v>
      </c>
      <c r="H1652" s="105">
        <f>TRUNC(F1652*E1652,2)</f>
        <v>3903.3</v>
      </c>
      <c r="I1652" s="106">
        <f>TRUNC(E1652*G1652,2)</f>
        <v>4780.35</v>
      </c>
      <c r="J1652" s="106"/>
      <c r="K1652" s="103"/>
    </row>
    <row r="1653" spans="1:10" s="34" customFormat="1" ht="30">
      <c r="A1653" s="60"/>
      <c r="B1653" s="43" t="s">
        <v>33</v>
      </c>
      <c r="C1653" s="45" t="s">
        <v>34</v>
      </c>
      <c r="D1653" s="46" t="s">
        <v>4</v>
      </c>
      <c r="E1653" s="44">
        <v>0.618</v>
      </c>
      <c r="F1653" s="32">
        <f>TRUNC(16.55,2)</f>
        <v>16.55</v>
      </c>
      <c r="G1653" s="32">
        <f>TRUNC(E1653*F1653,2)</f>
        <v>10.22</v>
      </c>
      <c r="H1653" s="32"/>
      <c r="I1653" s="33"/>
      <c r="J1653" s="117"/>
    </row>
    <row r="1654" spans="1:10" s="34" customFormat="1" ht="30">
      <c r="A1654" s="60"/>
      <c r="B1654" s="43" t="s">
        <v>46</v>
      </c>
      <c r="C1654" s="45" t="s">
        <v>47</v>
      </c>
      <c r="D1654" s="46" t="s">
        <v>10</v>
      </c>
      <c r="E1654" s="44">
        <v>1</v>
      </c>
      <c r="F1654" s="32">
        <f>TRUNC(250,2)</f>
        <v>250</v>
      </c>
      <c r="G1654" s="32">
        <f>TRUNC(E1654*F1654,2)</f>
        <v>250</v>
      </c>
      <c r="H1654" s="32"/>
      <c r="I1654" s="33"/>
      <c r="J1654" s="117"/>
    </row>
    <row r="1655" spans="1:10" s="34" customFormat="1" ht="15.75">
      <c r="A1655" s="60"/>
      <c r="B1655" s="43"/>
      <c r="C1655" s="45"/>
      <c r="D1655" s="46"/>
      <c r="E1655" s="44" t="s">
        <v>5</v>
      </c>
      <c r="F1655" s="32"/>
      <c r="G1655" s="32">
        <f>TRUNC(SUM(G1653:G1654),2)</f>
        <v>260.22</v>
      </c>
      <c r="H1655" s="32"/>
      <c r="I1655" s="33"/>
      <c r="J1655" s="117"/>
    </row>
    <row r="1656" spans="1:11" s="72" customFormat="1" ht="15">
      <c r="A1656" s="65" t="s">
        <v>1363</v>
      </c>
      <c r="B1656" s="66"/>
      <c r="C1656" s="67"/>
      <c r="D1656" s="68"/>
      <c r="E1656" s="69"/>
      <c r="F1656" s="70"/>
      <c r="G1656" s="73" t="s">
        <v>1741</v>
      </c>
      <c r="H1656" s="75">
        <f>H1652</f>
        <v>3903.3</v>
      </c>
      <c r="I1656" s="75">
        <f>I1652</f>
        <v>4780.35</v>
      </c>
      <c r="J1656" s="71"/>
      <c r="K1656" s="69"/>
    </row>
    <row r="1657" spans="1:11" s="42" customFormat="1" ht="15.75">
      <c r="A1657" s="38" t="s">
        <v>22</v>
      </c>
      <c r="B1657" s="39"/>
      <c r="C1657" s="40"/>
      <c r="D1657" s="39"/>
      <c r="E1657" s="39"/>
      <c r="F1657" s="39" t="s">
        <v>44</v>
      </c>
      <c r="G1657" s="39"/>
      <c r="H1657" s="41">
        <f>H139+H166+H284+H446+H546+H570+H1169+H1434+H1481+H1518+H1563+H1630+H1650+H1656</f>
        <v>1523268.96</v>
      </c>
      <c r="I1657" s="41">
        <f>I139+I166+I284+I446+I546+I570+I1169+I1434+I1481+I1518+I1563+I1630+I1650+I1656</f>
        <v>1865403.6700000004</v>
      </c>
      <c r="J1657" s="39"/>
      <c r="K1657" s="39"/>
    </row>
    <row r="1658" spans="2:9" s="35" customFormat="1" ht="15">
      <c r="B1658" s="43"/>
      <c r="F1658" s="36"/>
      <c r="G1658" s="32"/>
      <c r="H1658" s="32"/>
      <c r="I1658" s="33"/>
    </row>
    <row r="1659" spans="2:9" s="35" customFormat="1" ht="15">
      <c r="B1659" s="43"/>
      <c r="F1659" s="36"/>
      <c r="G1659" s="32"/>
      <c r="H1659" s="32"/>
      <c r="I1659" s="33"/>
    </row>
    <row r="1660" spans="2:9" s="35" customFormat="1" ht="15">
      <c r="B1660" s="43"/>
      <c r="F1660" s="36"/>
      <c r="G1660" s="32"/>
      <c r="H1660" s="32"/>
      <c r="I1660" s="33"/>
    </row>
    <row r="1661" spans="2:9" s="35" customFormat="1" ht="15">
      <c r="B1661" s="43"/>
      <c r="F1661" s="36"/>
      <c r="G1661" s="32"/>
      <c r="H1661" s="32"/>
      <c r="I1661" s="33"/>
    </row>
    <row r="1662" spans="2:9" s="35" customFormat="1" ht="15">
      <c r="B1662" s="43"/>
      <c r="F1662" s="36"/>
      <c r="G1662" s="32"/>
      <c r="H1662" s="32"/>
      <c r="I1662" s="33"/>
    </row>
    <row r="1663" spans="2:9" s="35" customFormat="1" ht="15">
      <c r="B1663" s="43"/>
      <c r="F1663" s="36"/>
      <c r="G1663" s="32"/>
      <c r="H1663" s="32"/>
      <c r="I1663" s="33"/>
    </row>
    <row r="1664" spans="2:9" s="35" customFormat="1" ht="15">
      <c r="B1664" s="43"/>
      <c r="F1664" s="36"/>
      <c r="G1664" s="32"/>
      <c r="H1664" s="32"/>
      <c r="I1664" s="33"/>
    </row>
    <row r="1665" spans="2:9" s="35" customFormat="1" ht="42.75">
      <c r="B1665" s="43" t="s">
        <v>550</v>
      </c>
      <c r="C1665" s="35" t="s">
        <v>551</v>
      </c>
      <c r="D1665" s="35" t="s">
        <v>10</v>
      </c>
      <c r="E1665" s="35">
        <v>1</v>
      </c>
      <c r="F1665" s="36">
        <f>TRUNC(264.77125,2)</f>
        <v>264.77</v>
      </c>
      <c r="G1665" s="32">
        <f aca="true" t="shared" si="65" ref="G1665:G1671">TRUNC(E1665*F1665,2)</f>
        <v>264.77</v>
      </c>
      <c r="H1665" s="32"/>
      <c r="I1665" s="33"/>
    </row>
    <row r="1666" spans="2:9" s="48" customFormat="1" ht="30">
      <c r="B1666" s="43" t="s">
        <v>554</v>
      </c>
      <c r="C1666" s="48" t="s">
        <v>555</v>
      </c>
      <c r="D1666" s="48" t="s">
        <v>10</v>
      </c>
      <c r="E1666" s="48">
        <v>1</v>
      </c>
      <c r="F1666" s="49">
        <v>27.61</v>
      </c>
      <c r="G1666" s="50">
        <f t="shared" si="65"/>
        <v>27.61</v>
      </c>
      <c r="H1666" s="50"/>
      <c r="I1666" s="51"/>
    </row>
    <row r="1667" spans="2:9" s="35" customFormat="1" ht="28.5">
      <c r="B1667" s="43" t="s">
        <v>542</v>
      </c>
      <c r="C1667" s="35" t="s">
        <v>543</v>
      </c>
      <c r="D1667" s="35" t="s">
        <v>10</v>
      </c>
      <c r="E1667" s="35">
        <v>19.8</v>
      </c>
      <c r="F1667" s="36">
        <f>TRUNC(0.08,2)</f>
        <v>0.08</v>
      </c>
      <c r="G1667" s="32">
        <f t="shared" si="65"/>
        <v>1.58</v>
      </c>
      <c r="H1667" s="32"/>
      <c r="I1667" s="33"/>
    </row>
    <row r="1668" spans="2:9" s="35" customFormat="1" ht="42.75">
      <c r="B1668" s="43" t="s">
        <v>552</v>
      </c>
      <c r="C1668" s="35" t="s">
        <v>553</v>
      </c>
      <c r="D1668" s="35" t="s">
        <v>10</v>
      </c>
      <c r="E1668" s="35">
        <v>1</v>
      </c>
      <c r="F1668" s="36">
        <f>TRUNC(139.18,2)</f>
        <v>139.18</v>
      </c>
      <c r="G1668" s="32">
        <f t="shared" si="65"/>
        <v>139.18</v>
      </c>
      <c r="H1668" s="32"/>
      <c r="I1668" s="33"/>
    </row>
    <row r="1669" spans="2:9" s="35" customFormat="1" ht="28.5">
      <c r="B1669" s="43" t="s">
        <v>546</v>
      </c>
      <c r="C1669" s="35" t="s">
        <v>547</v>
      </c>
      <c r="D1669" s="35" t="s">
        <v>10</v>
      </c>
      <c r="E1669" s="35">
        <v>3</v>
      </c>
      <c r="F1669" s="36">
        <f>TRUNC(24.83,2)</f>
        <v>24.83</v>
      </c>
      <c r="G1669" s="32">
        <f t="shared" si="65"/>
        <v>74.49</v>
      </c>
      <c r="H1669" s="32"/>
      <c r="I1669" s="33"/>
    </row>
    <row r="1670" spans="2:9" s="35" customFormat="1" ht="15">
      <c r="B1670" s="43" t="s">
        <v>283</v>
      </c>
      <c r="C1670" s="35" t="s">
        <v>32</v>
      </c>
      <c r="D1670" s="35" t="s">
        <v>4</v>
      </c>
      <c r="E1670" s="35">
        <v>0.641</v>
      </c>
      <c r="F1670" s="36">
        <f>TRUNC(21.13,2)</f>
        <v>21.13</v>
      </c>
      <c r="G1670" s="32">
        <f t="shared" si="65"/>
        <v>13.54</v>
      </c>
      <c r="H1670" s="32"/>
      <c r="I1670" s="33"/>
    </row>
    <row r="1671" spans="2:9" s="35" customFormat="1" ht="15">
      <c r="B1671" s="43" t="s">
        <v>548</v>
      </c>
      <c r="C1671" s="35" t="s">
        <v>549</v>
      </c>
      <c r="D1671" s="35" t="s">
        <v>4</v>
      </c>
      <c r="E1671" s="35">
        <v>1.282</v>
      </c>
      <c r="F1671" s="36">
        <f>TRUNC(28.06,2)</f>
        <v>28.06</v>
      </c>
      <c r="G1671" s="32">
        <f t="shared" si="65"/>
        <v>35.97</v>
      </c>
      <c r="H1671" s="32"/>
      <c r="I1671" s="33"/>
    </row>
    <row r="1672" spans="2:9" s="35" customFormat="1" ht="15">
      <c r="B1672" s="43"/>
      <c r="E1672" s="35" t="s">
        <v>5</v>
      </c>
      <c r="F1672" s="36"/>
      <c r="G1672" s="32">
        <f>TRUNC(SUM(G1666:G1671),2)</f>
        <v>292.37</v>
      </c>
      <c r="H1672" s="32"/>
      <c r="I1672" s="33"/>
    </row>
    <row r="1673" spans="2:9" s="35" customFormat="1" ht="42.75">
      <c r="B1673" s="43" t="s">
        <v>540</v>
      </c>
      <c r="C1673" s="35" t="s">
        <v>541</v>
      </c>
      <c r="D1673" s="35" t="s">
        <v>10</v>
      </c>
      <c r="E1673" s="35">
        <v>1</v>
      </c>
      <c r="F1673" s="36">
        <f>TRUNC(288.90825,2)</f>
        <v>288.9</v>
      </c>
      <c r="G1673" s="32">
        <f aca="true" t="shared" si="66" ref="G1673:G1679">TRUNC(E1673*F1673,2)</f>
        <v>288.9</v>
      </c>
      <c r="H1673" s="32"/>
      <c r="I1673" s="33"/>
    </row>
    <row r="1674" spans="2:9" s="48" customFormat="1" ht="30">
      <c r="B1674" s="43" t="s">
        <v>554</v>
      </c>
      <c r="C1674" s="48" t="s">
        <v>555</v>
      </c>
      <c r="D1674" s="48" t="s">
        <v>10</v>
      </c>
      <c r="E1674" s="48">
        <v>1</v>
      </c>
      <c r="F1674" s="49">
        <v>27.61</v>
      </c>
      <c r="G1674" s="50">
        <f t="shared" si="66"/>
        <v>27.61</v>
      </c>
      <c r="H1674" s="50"/>
      <c r="I1674" s="51"/>
    </row>
    <row r="1675" spans="2:9" s="35" customFormat="1" ht="28.5">
      <c r="B1675" s="43" t="s">
        <v>542</v>
      </c>
      <c r="C1675" s="35" t="s">
        <v>543</v>
      </c>
      <c r="D1675" s="35" t="s">
        <v>10</v>
      </c>
      <c r="E1675" s="35">
        <v>19.8</v>
      </c>
      <c r="F1675" s="36">
        <f>TRUNC(0.08,2)</f>
        <v>0.08</v>
      </c>
      <c r="G1675" s="32">
        <f t="shared" si="66"/>
        <v>1.58</v>
      </c>
      <c r="H1675" s="32"/>
      <c r="I1675" s="33"/>
    </row>
    <row r="1676" spans="2:9" s="35" customFormat="1" ht="42.75">
      <c r="B1676" s="43" t="s">
        <v>544</v>
      </c>
      <c r="C1676" s="35" t="s">
        <v>545</v>
      </c>
      <c r="D1676" s="35" t="s">
        <v>10</v>
      </c>
      <c r="E1676" s="35">
        <v>1</v>
      </c>
      <c r="F1676" s="36">
        <f>TRUNC(153.12,2)</f>
        <v>153.12</v>
      </c>
      <c r="G1676" s="32">
        <f t="shared" si="66"/>
        <v>153.12</v>
      </c>
      <c r="H1676" s="32"/>
      <c r="I1676" s="33"/>
    </row>
    <row r="1677" spans="2:9" s="35" customFormat="1" ht="28.5">
      <c r="B1677" s="43" t="s">
        <v>546</v>
      </c>
      <c r="C1677" s="35" t="s">
        <v>547</v>
      </c>
      <c r="D1677" s="35" t="s">
        <v>10</v>
      </c>
      <c r="E1677" s="35">
        <v>3</v>
      </c>
      <c r="F1677" s="36">
        <f>TRUNC(24.83,2)</f>
        <v>24.83</v>
      </c>
      <c r="G1677" s="32">
        <f t="shared" si="66"/>
        <v>74.49</v>
      </c>
      <c r="H1677" s="32"/>
      <c r="I1677" s="33"/>
    </row>
    <row r="1678" spans="2:9" s="35" customFormat="1" ht="15">
      <c r="B1678" s="43" t="s">
        <v>283</v>
      </c>
      <c r="C1678" s="35" t="s">
        <v>32</v>
      </c>
      <c r="D1678" s="35" t="s">
        <v>4</v>
      </c>
      <c r="E1678" s="35">
        <v>0.773</v>
      </c>
      <c r="F1678" s="36">
        <f>TRUNC(21.13,2)</f>
        <v>21.13</v>
      </c>
      <c r="G1678" s="32">
        <f t="shared" si="66"/>
        <v>16.33</v>
      </c>
      <c r="H1678" s="32"/>
      <c r="I1678" s="33"/>
    </row>
    <row r="1679" spans="2:9" s="35" customFormat="1" ht="15">
      <c r="B1679" s="43" t="s">
        <v>548</v>
      </c>
      <c r="C1679" s="35" t="s">
        <v>549</v>
      </c>
      <c r="D1679" s="35" t="s">
        <v>4</v>
      </c>
      <c r="E1679" s="35">
        <v>1.546</v>
      </c>
      <c r="F1679" s="36">
        <f>TRUNC(28.06,2)</f>
        <v>28.06</v>
      </c>
      <c r="G1679" s="32">
        <f t="shared" si="66"/>
        <v>43.38</v>
      </c>
      <c r="H1679" s="32"/>
      <c r="I1679" s="33"/>
    </row>
    <row r="1680" spans="2:9" s="35" customFormat="1" ht="15">
      <c r="B1680" s="43"/>
      <c r="E1680" s="35" t="s">
        <v>5</v>
      </c>
      <c r="F1680" s="36"/>
      <c r="G1680" s="32">
        <f>TRUNC(SUM(G1674:G1679),2)</f>
        <v>316.51</v>
      </c>
      <c r="H1680" s="32"/>
      <c r="I1680" s="33"/>
    </row>
    <row r="1681" spans="2:9" s="35" customFormat="1" ht="15">
      <c r="B1681" s="43"/>
      <c r="F1681" s="36"/>
      <c r="G1681" s="32"/>
      <c r="H1681" s="32"/>
      <c r="I1681" s="33"/>
    </row>
    <row r="1682" spans="2:9" s="35" customFormat="1" ht="15">
      <c r="B1682" s="43"/>
      <c r="F1682" s="36"/>
      <c r="G1682" s="32"/>
      <c r="H1682" s="32"/>
      <c r="I1682" s="33"/>
    </row>
    <row r="1683" spans="2:9" s="35" customFormat="1" ht="15">
      <c r="B1683" s="43"/>
      <c r="F1683" s="36"/>
      <c r="G1683" s="32"/>
      <c r="H1683" s="32"/>
      <c r="I1683" s="33"/>
    </row>
    <row r="1684" spans="2:9" s="35" customFormat="1" ht="15">
      <c r="B1684" s="43"/>
      <c r="F1684" s="36"/>
      <c r="G1684" s="32"/>
      <c r="H1684" s="32"/>
      <c r="I1684" s="33"/>
    </row>
    <row r="1685" spans="2:9" s="35" customFormat="1" ht="15">
      <c r="B1685" s="43"/>
      <c r="F1685" s="36"/>
      <c r="G1685" s="32"/>
      <c r="H1685" s="32"/>
      <c r="I1685" s="33"/>
    </row>
    <row r="1686" spans="2:9" s="35" customFormat="1" ht="15">
      <c r="B1686" s="43"/>
      <c r="F1686" s="36"/>
      <c r="G1686" s="32"/>
      <c r="H1686" s="32"/>
      <c r="I1686" s="33"/>
    </row>
    <row r="1687" spans="2:9" s="35" customFormat="1" ht="15">
      <c r="B1687" s="43"/>
      <c r="F1687" s="36"/>
      <c r="G1687" s="32"/>
      <c r="H1687" s="32"/>
      <c r="I1687" s="33"/>
    </row>
    <row r="1688" spans="2:9" s="35" customFormat="1" ht="15">
      <c r="B1688" s="43"/>
      <c r="F1688" s="36"/>
      <c r="G1688" s="32"/>
      <c r="H1688" s="32"/>
      <c r="I1688" s="33"/>
    </row>
    <row r="1689" spans="2:9" s="35" customFormat="1" ht="15">
      <c r="B1689" s="43"/>
      <c r="F1689" s="36"/>
      <c r="G1689" s="32"/>
      <c r="H1689" s="32"/>
      <c r="I1689" s="33"/>
    </row>
    <row r="1690" spans="2:9" s="35" customFormat="1" ht="15">
      <c r="B1690" s="43"/>
      <c r="F1690" s="36"/>
      <c r="G1690" s="32"/>
      <c r="H1690" s="32"/>
      <c r="I1690" s="33"/>
    </row>
    <row r="1691" spans="2:9" s="35" customFormat="1" ht="15">
      <c r="B1691" s="43"/>
      <c r="F1691" s="36"/>
      <c r="G1691" s="32"/>
      <c r="H1691" s="32"/>
      <c r="I1691" s="33"/>
    </row>
    <row r="1692" spans="2:9" s="35" customFormat="1" ht="15">
      <c r="B1692" s="43"/>
      <c r="F1692" s="36"/>
      <c r="G1692" s="32"/>
      <c r="H1692" s="32"/>
      <c r="I1692" s="33"/>
    </row>
    <row r="1693" spans="2:9" s="35" customFormat="1" ht="15">
      <c r="B1693" s="43"/>
      <c r="F1693" s="36"/>
      <c r="G1693" s="32"/>
      <c r="H1693" s="32"/>
      <c r="I1693" s="33"/>
    </row>
    <row r="1694" spans="2:9" s="35" customFormat="1" ht="15">
      <c r="B1694" s="43"/>
      <c r="F1694" s="36"/>
      <c r="G1694" s="32"/>
      <c r="H1694" s="32"/>
      <c r="I1694" s="33"/>
    </row>
    <row r="1695" spans="2:9" s="35" customFormat="1" ht="15">
      <c r="B1695" s="43"/>
      <c r="F1695" s="36"/>
      <c r="G1695" s="32"/>
      <c r="H1695" s="32"/>
      <c r="I1695" s="33"/>
    </row>
    <row r="1696" spans="2:9" s="35" customFormat="1" ht="15">
      <c r="B1696" s="43"/>
      <c r="F1696" s="36"/>
      <c r="G1696" s="32"/>
      <c r="H1696" s="32"/>
      <c r="I1696" s="33"/>
    </row>
    <row r="1697" spans="2:9" s="35" customFormat="1" ht="15">
      <c r="B1697" s="43"/>
      <c r="F1697" s="36"/>
      <c r="G1697" s="32"/>
      <c r="H1697" s="32"/>
      <c r="I1697" s="33"/>
    </row>
    <row r="1698" spans="2:9" s="35" customFormat="1" ht="15">
      <c r="B1698" s="43"/>
      <c r="F1698" s="36"/>
      <c r="G1698" s="32"/>
      <c r="H1698" s="32"/>
      <c r="I1698" s="33"/>
    </row>
  </sheetData>
  <sheetProtection/>
  <mergeCells count="15">
    <mergeCell ref="J10:J11"/>
    <mergeCell ref="K10:K11"/>
    <mergeCell ref="A9:G9"/>
    <mergeCell ref="A10:A11"/>
    <mergeCell ref="B10:B11"/>
    <mergeCell ref="C10:C11"/>
    <mergeCell ref="D10:D11"/>
    <mergeCell ref="E10:E11"/>
    <mergeCell ref="F10:I10"/>
    <mergeCell ref="D3:G3"/>
    <mergeCell ref="D4:G4"/>
    <mergeCell ref="D5:G5"/>
    <mergeCell ref="D6:G6"/>
    <mergeCell ref="D7:G7"/>
    <mergeCell ref="D8:G8"/>
  </mergeCells>
  <printOptions/>
  <pageMargins left="0.5118110236220472" right="0.5118110236220472" top="0.7874015748031497" bottom="0.7874015748031497" header="0.31496062992125984" footer="0.31496062992125984"/>
  <pageSetup horizontalDpi="600" verticalDpi="600" orientation="portrait" paperSize="9" scale="39" r:id="rId2"/>
  <headerFooter>
    <oddFooter>&amp;C&amp;A&amp;RPágina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Alfredo Antonio Nicolau Macedo Cunha</dc:creator>
  <cp:keywords/>
  <dc:description/>
  <cp:lastModifiedBy>Thais da Silva Miranda</cp:lastModifiedBy>
  <cp:lastPrinted>2021-10-21T18:21:41Z</cp:lastPrinted>
  <dcterms:created xsi:type="dcterms:W3CDTF">2017-11-22T13:14:51Z</dcterms:created>
  <dcterms:modified xsi:type="dcterms:W3CDTF">2021-10-28T13:30:43Z</dcterms:modified>
  <cp:category/>
  <cp:version/>
  <cp:contentType/>
  <cp:contentStatus/>
</cp:coreProperties>
</file>