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95" windowWidth="20115" windowHeight="6375" tabRatio="757" activeTab="2"/>
  </bookViews>
  <sheets>
    <sheet name="NÃO DESONERADA" sheetId="1" r:id="rId1"/>
    <sheet name="NÃO DESONERADA RESUMIDA" sheetId="2" r:id="rId2"/>
    <sheet name="Cronograma " sheetId="3" r:id="rId3"/>
  </sheets>
  <externalReferences>
    <externalReference r:id="rId6"/>
  </externalReferences>
  <definedNames>
    <definedName name="EXTRACT" localSheetId="2">'Cronograma '!#REF!</definedName>
    <definedName name="_xlnm.Print_Area" localSheetId="2">'Cronograma '!$A$1:$K$28</definedName>
    <definedName name="_xlnm.Print_Area" localSheetId="0">'NÃO DESONERADA'!$A$1:$I$668</definedName>
    <definedName name="_xlnm.Print_Area" localSheetId="1">'NÃO DESONERADA RESUMIDA'!$A$1:$I$131</definedName>
    <definedName name="BDI" localSheetId="2">#REF!</definedName>
    <definedName name="BDI" localSheetId="0">#REF!</definedName>
    <definedName name="BDI" localSheetId="1">#REF!</definedName>
    <definedName name="BDI">#REF!</definedName>
    <definedName name="CRITERIA" localSheetId="2">'Cronograma '!#REF!</definedName>
    <definedName name="_xlnm.Print_Titles" localSheetId="2">'Cronograma '!$10:$12</definedName>
    <definedName name="_xlnm.Print_Titles" localSheetId="0">'NÃO DESONERADA'!$9:$11</definedName>
    <definedName name="_xlnm.Print_Titles" localSheetId="1">'NÃO DESONERADA RESUMIDA'!$9:$11</definedName>
  </definedNames>
  <calcPr fullCalcOnLoad="1"/>
</workbook>
</file>

<file path=xl/sharedStrings.xml><?xml version="1.0" encoding="utf-8"?>
<sst xmlns="http://schemas.openxmlformats.org/spreadsheetml/2006/main" count="2361" uniqueCount="769">
  <si>
    <t>M2</t>
  </si>
  <si>
    <t>M3</t>
  </si>
  <si>
    <t>00368</t>
  </si>
  <si>
    <t>M</t>
  </si>
  <si>
    <t>00453</t>
  </si>
  <si>
    <t>KG</t>
  </si>
  <si>
    <t>H</t>
  </si>
  <si>
    <t>TOTAL</t>
  </si>
  <si>
    <t>1.1</t>
  </si>
  <si>
    <t>1.2</t>
  </si>
  <si>
    <t>1.3</t>
  </si>
  <si>
    <t>1.4</t>
  </si>
  <si>
    <t>UN</t>
  </si>
  <si>
    <t>4.1</t>
  </si>
  <si>
    <t>4.2</t>
  </si>
  <si>
    <t>4.3</t>
  </si>
  <si>
    <t>PAR</t>
  </si>
  <si>
    <t>05332</t>
  </si>
  <si>
    <t>1.0</t>
  </si>
  <si>
    <t>SERVIÇOS PRELIMINARES</t>
  </si>
  <si>
    <t>2.0</t>
  </si>
  <si>
    <t>3.0</t>
  </si>
  <si>
    <t>4.0</t>
  </si>
  <si>
    <t>5.0</t>
  </si>
  <si>
    <t>6.0</t>
  </si>
  <si>
    <t>PINTURA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</si>
  <si>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</si>
  <si>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</si>
  <si>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</si>
  <si>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 xml:space="preserve">MEMÓRIA DE CÁLCULO </t>
  </si>
  <si>
    <t>ITEM</t>
  </si>
  <si>
    <t>DISCRIMINAÇÃO</t>
  </si>
  <si>
    <t>QUANT.</t>
  </si>
  <si>
    <t>PREÇOS (R$)</t>
  </si>
  <si>
    <t xml:space="preserve">CRONOGRAMA  FÍSICO-FINANCEIRO 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</si>
  <si>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</si>
  <si>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</si>
  <si>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</si>
  <si>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</si>
  <si>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</si>
  <si>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</si>
  <si>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</si>
  <si>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</si>
  <si>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TRANSPORTE E BOTA-FORA</t>
  </si>
  <si>
    <t>TOTAL DA OBRA POR MEDIÇÃO</t>
  </si>
  <si>
    <t>TOTAL ACUMULADO DA OBRA</t>
  </si>
  <si>
    <t>Desembolso parcial por medição %</t>
  </si>
  <si>
    <t>Desembolso máximo acumulado %</t>
  </si>
  <si>
    <t>T</t>
  </si>
  <si>
    <t>GL</t>
  </si>
  <si>
    <t>00124</t>
  </si>
  <si>
    <t>CHP</t>
  </si>
  <si>
    <t>x</t>
  </si>
  <si>
    <t>2.1</t>
  </si>
  <si>
    <t>3.1</t>
  </si>
  <si>
    <t>TOTAL 3.0</t>
  </si>
  <si>
    <t>TOTAL 1.0</t>
  </si>
  <si>
    <t>TOTAL 4.0</t>
  </si>
  <si>
    <t>07425</t>
  </si>
  <si>
    <t>00840</t>
  </si>
  <si>
    <t>05331</t>
  </si>
  <si>
    <t>TOTAL 7.0</t>
  </si>
  <si>
    <t>TOTAL GERAL=</t>
  </si>
  <si>
    <t>APROVAÇÃO: Eng. Eros dos Santos</t>
  </si>
  <si>
    <t>CÓDIGO</t>
  </si>
  <si>
    <t>Alambrado / esquadrias</t>
  </si>
  <si>
    <t>Pintura</t>
  </si>
  <si>
    <t>Mobiliário</t>
  </si>
  <si>
    <t>Transporte e bota-fora</t>
  </si>
  <si>
    <t>PREGO COM OU SEM CABECA, EM CAIXAS DE 50KG, OU QUANTIDADES EQUIVALENTES, N§12X12A 18X30</t>
  </si>
  <si>
    <t>20132</t>
  </si>
  <si>
    <t>MAO-DE-OBRA DE SERVENTE DA CONSTRUCAO CIVIL, INCLUSIVE ENCARGOS SOCIAIS DESONERADOS</t>
  </si>
  <si>
    <t>CORDAO PARALELO COM ISOLAMENTO TERMOPLASTICO, ATE 750V, DE 2X2,5MM2</t>
  </si>
  <si>
    <t>PARAFUSO C/ROSCA, DE (8x100)MM</t>
  </si>
  <si>
    <t>VIDRO PLANO TRANSPARENTE, COMUM, COM ESPESSURA DE 3MM</t>
  </si>
  <si>
    <t>INTERRUPTOR DE SOBREPOR SIMPLES, DE 10A-250V</t>
  </si>
  <si>
    <t>PRIMER EPOXI,ISOCIANATO DE 2 COMPONENTES</t>
  </si>
  <si>
    <t>DETERGENTE NEUTRO P/LIMPEZA INDUSTRIAL,EM SACO DE 25KG</t>
  </si>
  <si>
    <t>ESMALTE SINTETICO ALQUIDICO ALTO BRILHO,BRILHANTE, ACETINADO OU FOSCO</t>
  </si>
  <si>
    <t>TRAVE DESMONTAVEL PARA FUTEBOL DE SALAO,EM TUBO DE FERRO GALVANIZADO E BUCHAS.FORNECIMENTO</t>
  </si>
  <si>
    <t>POSTES P/FUTEBOL DE SALAO, EM TUBOS DE FRRO GALVANIZADO E BUCHAS - (PAR)</t>
  </si>
  <si>
    <t>REDE DE NYLON PARA FUTEBOL DE SALAO.FORNECIMENTO</t>
  </si>
  <si>
    <t>REDE DE NYLON, P/FUTEBOL DE SALAO- (PAR)</t>
  </si>
  <si>
    <t>ALAMBRADO/ESQUADRIAS</t>
  </si>
  <si>
    <t>MOBILIÁRIO</t>
  </si>
  <si>
    <r>
      <t>Secretaria Municipal de Planejamento Urbano</t>
    </r>
    <r>
      <rPr>
        <sz val="20"/>
        <rFont val="Arial"/>
        <family val="2"/>
      </rPr>
      <t xml:space="preserve"> </t>
    </r>
  </si>
  <si>
    <t>PLACA DE IDENTIFICACAO DE OBRA PUBLICA,TIPO BANNER/PLOTTER,CONSTITUIDA POR LONA E IMPRESSAO DIGITAL,INCLUSIVE SUPORTES D E MADEIRA.FORNECIMENTO E COLOCACAO (OBS.:3% - DESGASTE DE FERRAMENTAS E EPI).</t>
  </si>
  <si>
    <t>10806</t>
  </si>
  <si>
    <t>PLACA DE IDENTIFICACAO DE OBRA PUBLICA,TIPO BANNER/PLOTER, CONSTITUIDA POR LONAE IMPRESSAO DIGITAL</t>
  </si>
  <si>
    <t>UNIT s/ BDI</t>
  </si>
  <si>
    <t>UNITc/ BDI</t>
  </si>
  <si>
    <t>TOTAL s/ BDI</t>
  </si>
  <si>
    <t>TOTAL c/ BDI</t>
  </si>
  <si>
    <t>BRITA 3, PARA REGIAO METROPOLITANA DO RIO DE JANEIRO</t>
  </si>
  <si>
    <t>19.006.0030-C SOQUETE VIBRATORIO 78KG; 2,5CV (CP)</t>
  </si>
  <si>
    <t>19.006.0030-E SOQUETE VIBRATORIO 78KG; 2,5CV (CI)</t>
  </si>
  <si>
    <t>TINTA ACRILICA PARA PISO</t>
  </si>
  <si>
    <t>FITA CREPE, EM ROLO DE 25MMX50,00M</t>
  </si>
  <si>
    <t>TUBO ACO GALVANIZADO COM COSTURA, CLASSE MEDIA, DN 2", E = *3,65* MM, PESO *5,10* KG/M (NBR 5580)</t>
  </si>
  <si>
    <t>SERVENTE COM ENCARGOS COMPLEMENTARES</t>
  </si>
  <si>
    <t>SERRALHEIRO COM ENCARGOS COMPLEMENTARES</t>
  </si>
  <si>
    <t>BARRACAO DE OBRA,COM PAREDES E PISO DE TABUAS DE MADEIRA DE 3¦,COBERTURA DE TELHAS DE FIBROCIMENTO DE 6MM,E INSTALACOES, EXCLUSIVE PINTURA,SENDO REAPROVEITADO 2 VEZES (OBS.:3% - DESGASTE DE FERRAMENTAS E EPI 1% - GRAMPO E ROSETA DE MADEIRA).</t>
  </si>
  <si>
    <t>02884</t>
  </si>
  <si>
    <t>FECHADURA DE SOBREPOR, TIPO CAIXAO, RETANGULAR, ACABAMENTO FERRO RESINADO PRETO,DE (100X86X38)MM</t>
  </si>
  <si>
    <t>00510</t>
  </si>
  <si>
    <t>00600</t>
  </si>
  <si>
    <t>02315</t>
  </si>
  <si>
    <t>02316</t>
  </si>
  <si>
    <t>00252</t>
  </si>
  <si>
    <t>02472</t>
  </si>
  <si>
    <t>04915</t>
  </si>
  <si>
    <t>05914</t>
  </si>
  <si>
    <t>08000</t>
  </si>
  <si>
    <t>TELHA ONDULADA DE CIMENTO, SEM AMIANTO,REFORCADA C/FIOS SINTETICOS (CRFS), DE (2,44X1,10)M E C/ESPES. DE 6MM</t>
  </si>
  <si>
    <t>02317</t>
  </si>
  <si>
    <t>FITA ISOLANTE, ROLO DE 19MMX20M</t>
  </si>
  <si>
    <t>14559</t>
  </si>
  <si>
    <t>04900</t>
  </si>
  <si>
    <t>PLASTICO NA COR PRETA, COM ESPESSURA DE0,15MM</t>
  </si>
  <si>
    <t>30694</t>
  </si>
  <si>
    <t>30693</t>
  </si>
  <si>
    <t>PINTURA INTERNA OU EXTERNA SOBRE FERRO GALVANIZADO OU ALUMINIO,USANDO FUNDO PARA GALVANIZADO,INCLUSIVE LIXAMENTO LEVE,LI MPEZA,DESENGORDURAMENTO E DUAS DEMAOS DE ACABAMENTO COM ESMALTE SINTETICO BRILHANTE OU ACETINADO (OBS.:3%-DESGASTE DE FERRAMENTAS E EPI).</t>
  </si>
  <si>
    <t>06011</t>
  </si>
  <si>
    <t>MARCACAO DE QUADRA DE ESPORTE OU VAGA DE GARAGEM COM TINTA ACRILICA PROPRIA PARA PINTURA DE PISOS,COM UTILIZACAO DE SELA DOR E SOLVENTE PROPRIO E FITA CREPE COMO LIMITADOR DE LINHAS,MEDIDA PELA AREA REAL DE PINTURA (OBS.:3%-DESGASTE DE FERRAMENTAS E EPI).</t>
  </si>
  <si>
    <t>06029</t>
  </si>
  <si>
    <t>TOTAL 2.0</t>
  </si>
  <si>
    <t>PROJETO: Eng° Patrick Suckow</t>
  </si>
  <si>
    <t>LEVANTAMENTO: Eng° Patrick Suckow</t>
  </si>
  <si>
    <t>TAPUME DE VEDACAO OU PROTECAO EXECUTADO COM TELHAS TRAPEZOIDAIS DE ACO GALVANIZADO,ESPESSURA DE 0,5MM,ESTAS COM 4 VEZES DE UTILIZACAO,INCLUSIVE ENGRADAMENTO DE MADEIRA,UTILIZADO 2VEZES,EXCLUSIVE PINTURA (OBS.:3% - DESGASTE DE FERRAMENTAS E EPI).</t>
  </si>
  <si>
    <t>13732</t>
  </si>
  <si>
    <t>TELHA TRAPEZOIDAL EM ACO GALVANIZADO, ESPESSURA DE 0,5MM</t>
  </si>
  <si>
    <t>02.020.0002-0</t>
  </si>
  <si>
    <t>01999</t>
  </si>
  <si>
    <t>MAO-DE-OBRA DE SERVENTE DA CONSTRUCAO CIVIL, INCLUSIVE ENCARGOS SOCIAIS</t>
  </si>
  <si>
    <t>01967</t>
  </si>
  <si>
    <t>MAO-DE-OBRA DE CARPINTEIRO DE ESQUADRIASDE MADEIRA INCLUSIVE ENCARGOS SOCIAIS</t>
  </si>
  <si>
    <t>02.002.0007-0</t>
  </si>
  <si>
    <t>02.004.0001-0</t>
  </si>
  <si>
    <t>01983</t>
  </si>
  <si>
    <t>MAO-DE-OBRA DE ELETRICISTA DE CONSTRUCAOCIVIL, INCLUSIVE ENCARGOS SOCIAIS</t>
  </si>
  <si>
    <t>00365</t>
  </si>
  <si>
    <t>01998</t>
  </si>
  <si>
    <t>MAO-DE-OBRA DE ARMADOR DE CONCRETO ARMADO, INCLUSIVE ENCARGOS SOCIAIS</t>
  </si>
  <si>
    <t>01990</t>
  </si>
  <si>
    <t>MAO-DE-OBRA DE CARPINTEIRO DE FORMA DE CONCRETO, INCLUSIVE ENCARGOS SOCIAIS</t>
  </si>
  <si>
    <t>01968</t>
  </si>
  <si>
    <t>MAO-DE-OBRA DE PEDREIRO, INCLUSIVE ENCARGOS SOCIAIS</t>
  </si>
  <si>
    <t>02176</t>
  </si>
  <si>
    <t>19.006.0030-4 SOQUETE VIBRATORIO 78KG; 2,5CV (CI)</t>
  </si>
  <si>
    <t>02175</t>
  </si>
  <si>
    <t>19.006.0030-2 SOQUETE VIBRATORIO 78KG; 2,5CV (CP)</t>
  </si>
  <si>
    <t>02018</t>
  </si>
  <si>
    <t>19.007.0016-4 REGUA VIBRADORA DUPLA 3,4CV (CI)</t>
  </si>
  <si>
    <t>02017</t>
  </si>
  <si>
    <t>19.007.0016-2 REGUA VIBRADORA DUPLA 3,4CV (CP)</t>
  </si>
  <si>
    <t>01158</t>
  </si>
  <si>
    <t>19.007.0013-4 VIBRADOR IMERSAO ELETR. 2CV (CI)</t>
  </si>
  <si>
    <t>01157</t>
  </si>
  <si>
    <t>19.007.0013-2 VIBRADOR IMERSAO ELETR. 2CV (CP)</t>
  </si>
  <si>
    <t>17.017.0350-0</t>
  </si>
  <si>
    <t>01966</t>
  </si>
  <si>
    <t>MAO-DE-OBRA DE PINTOR, INCLUSIVE ENCARGOS SOCIAIS</t>
  </si>
  <si>
    <t>18.200.0004-0</t>
  </si>
  <si>
    <t>18.200.0005-0</t>
  </si>
  <si>
    <t>6.1</t>
  </si>
  <si>
    <t>6.2</t>
  </si>
  <si>
    <t>02247</t>
  </si>
  <si>
    <t>CONCRETO IMPORTADO DE USINA, UTILIZANDOBRITA 1, DE 30MPA</t>
  </si>
  <si>
    <t>1.5</t>
  </si>
  <si>
    <t>LUMINARIA FECHADA,PARA ILUMINACAO DE QUADRA DE ESPORTES,DEPOSITOS E GALPOES,NA FORMA CIRCULAR,CORPO E FLANGE FUNDIDOS EM ALUMINIO,REFLETOR REPUXADO EM CHAPA DE ALUMINIO,DIFUSOR DE VIDRO TEMPERADO,PARA LAMPADA:MISTA ATE 250W,VAPOR DE MERCURIO ,VAPOR DE SODIO OU VAPOR METALICO ATE 400W,EXCLUSIVE LAMPADAE REATOR.FORNECIMENTO E COLOCACAO (OBS.:3%-DESGASTE DE FERRAMENTAS E EPI).</t>
  </si>
  <si>
    <t>02229</t>
  </si>
  <si>
    <t>LUMINARIA FECHADA, P/ILUM.QUADRA ESPORTES, DEPOS.E GALPOES, FORMA CIRCULAR, CORPO E FLANGE, P/LAMP.500W,V.METAL.ATE 400W</t>
  </si>
  <si>
    <t>PEDREIRO COM ENCARGOS COMPLEMENTARES</t>
  </si>
  <si>
    <t>Instalação Elétrica</t>
  </si>
  <si>
    <t>7.0</t>
  </si>
  <si>
    <t>7.1</t>
  </si>
  <si>
    <t>TOTAL 6.0</t>
  </si>
  <si>
    <t>PINTURA DE POSTE RETO DE ACO,DE 3,50 A 6,00M,COM DUAS DEMAOS DE TINTA FENOLICA DE ALTA RESISTENCIA AS INTEMPERIES,DE SEC AGEM RAPIDA,NA COR ALUMINIO (OBS.:3%-DESGASTE DE FERRAMENTAS E EPI).</t>
  </si>
  <si>
    <t>05360</t>
  </si>
  <si>
    <t>TINTA FENOLICA COR METALICA PRATEADA OUALUMINIO</t>
  </si>
  <si>
    <t>03866</t>
  </si>
  <si>
    <t>REDUTOR P/DILUICAO DE TINTAS E VERNIZES,EM LATA DE 5 LITROS</t>
  </si>
  <si>
    <t>EMBOCO COM ARGAMASSA DE CIMENTO E AREIA,NO TRACO 1:3 COM 2CM DE ESPESSURA,INCLUSIVE CHAPISCO DE CIMENTO E AREIA,NO TRACO 0,04375 (OBS.:3%-DESGASTE DE FERRAMENTAS E EPI).</t>
  </si>
  <si>
    <t>14496</t>
  </si>
  <si>
    <t>LIXA PARA MASSA</t>
  </si>
  <si>
    <t>06028</t>
  </si>
  <si>
    <t>SELADOR PIGMENTADO A BASE DE RESINA ACRILICA MODIFICADA, NA COR BRANCA</t>
  </si>
  <si>
    <t>03876</t>
  </si>
  <si>
    <t>TINTA LATEX STANDARD PARA EXTERIOR/INTERIOR SEMIBRILHANTE BRANCA OU COLORIDA, EMBALDES DE 18 LITROS</t>
  </si>
  <si>
    <t>ESTRUTURA DE CONCRETO ARMADO/ ALVENARIA E REVESTIMENTO</t>
  </si>
  <si>
    <t>1.6</t>
  </si>
  <si>
    <t>2.2</t>
  </si>
  <si>
    <t>2.3</t>
  </si>
  <si>
    <t>4.4</t>
  </si>
  <si>
    <t>4.5</t>
  </si>
  <si>
    <t>PINUS, EM PECAS DE 7,50X7,50CM (3"X3")</t>
  </si>
  <si>
    <t>CHI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</si>
  <si>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</si>
  <si>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</si>
  <si>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DOBRADICA EM FERRO LAMINADO, COM PINO DEFERRO REVERSIVEL, DE 3"X3"X5/64"</t>
  </si>
  <si>
    <t>GLOBO ESFERICO, EM VIDRO, TIPO LEITOSO,DE 4"X6"</t>
  </si>
  <si>
    <t>59.003.0010-1 PINUS,PECA 1" X 12" E 1" X 9"</t>
  </si>
  <si>
    <t>03084</t>
  </si>
  <si>
    <t>13.001.0010-1 CHAPISCO SUPERF. CONCR./ALVEN.,COM ARGAMASSA DE CIMENTO E AREIA NO TRACO 1:3</t>
  </si>
  <si>
    <t>01605</t>
  </si>
  <si>
    <t>07.002.0025-1 ARGAMASSA CIM.,AREIA TRACO 1:3,PREPAROMECANICO</t>
  </si>
  <si>
    <t>21.009.0010-0</t>
  </si>
  <si>
    <t>01919</t>
  </si>
  <si>
    <t>MAO-DE-OBRA DE AJUDANTE DE MONTADOR ELETROMECANICO (ILUMINACAO PUBLICA), INCLUSIVE ENCARGOS SOCIAIS</t>
  </si>
  <si>
    <t>17.018.0110-0</t>
  </si>
  <si>
    <t>18.027.0095-0</t>
  </si>
  <si>
    <t>04.014.0095-0</t>
  </si>
  <si>
    <t>5.3</t>
  </si>
  <si>
    <t>TOTAL 5.0</t>
  </si>
  <si>
    <t>ELÉTRICA</t>
  </si>
  <si>
    <t>90 DIAS</t>
  </si>
  <si>
    <t>CARPINTEIRO DE FORMAS COM ENCARGOS COMPLEMENTARES</t>
  </si>
  <si>
    <t>ARMADOR COM ENCARGOS COMPLEMENTARES</t>
  </si>
  <si>
    <t>AJUDANTE DE ARMADOR COM ENCARGOS COMPLEMENTARES</t>
  </si>
  <si>
    <t>01901</t>
  </si>
  <si>
    <t>MAO-DE-OBRA DE SERVENTE PARA SERVICOS DECONSERVACAO, INCLUSIVE ENCARGOS SOCIAIS</t>
  </si>
  <si>
    <t>ORÇAMENTO Nº</t>
  </si>
  <si>
    <t xml:space="preserve">Pavimentação e Paisagismo </t>
  </si>
  <si>
    <t>PLANTIO DE GRAMA EM PLACAS,TIPO SAO CARLOS,BATATAIS,LARGA E SANTO AGOSTINHO,INCLUSIVE COMPRA E ARRANCAMENTO NO LOCAL DE ORIGEM,CARGA,TRANSPORTE,DESCARGA E PREPARO DO TERRENO (OBS.:3%-DESGASTE DE FERRAMENTAS E EPI).</t>
  </si>
  <si>
    <t>4.6</t>
  </si>
  <si>
    <t>6.3</t>
  </si>
  <si>
    <t>6.4</t>
  </si>
  <si>
    <t>6.5</t>
  </si>
  <si>
    <t>6.6</t>
  </si>
  <si>
    <t>8.0</t>
  </si>
  <si>
    <t>8.1</t>
  </si>
  <si>
    <t>TOTAL 8.0</t>
  </si>
  <si>
    <t>PAVIMANTAÇÃO E PAISAGISMO</t>
  </si>
  <si>
    <t>ORÇAMENTO:  Eng° Patrick Suckow</t>
  </si>
  <si>
    <t>So00000088316</t>
  </si>
  <si>
    <t>So00000088309</t>
  </si>
  <si>
    <t>So00000088262</t>
  </si>
  <si>
    <t>So00000090587</t>
  </si>
  <si>
    <t>So00000090587 VIBRADOR DE IMERSÃO, DIÂMETRO DE PONTEIRA 45MM, MOTOR ELÉTRICO TRIFÁSICO POTÊNCIA DE 2 CV - CHI DIURNO. AF_06/2015</t>
  </si>
  <si>
    <t>So00000090586</t>
  </si>
  <si>
    <t>So00000090586 VIBRADOR DE IMERSÃO, DIÂMETRO DE PONTEIRA 45MM, MOTOR ELÉTRICO TRIFÁSICO POTÊNCIA DE 2 CV - CHP DIURNO. AF_06/2015</t>
  </si>
  <si>
    <t>So0007696</t>
  </si>
  <si>
    <t>So00000088315</t>
  </si>
  <si>
    <t>09.001.0001-1</t>
  </si>
  <si>
    <t>DEMOLICAO MANUAL DE CONCRETO SIMPLES COM EMPILHAMENTO LATERAL DENTRO DO CANTEIRO DE SERVICO (OBS.:3%-DESGASTE DE FERRAMENTAS E EPI).</t>
  </si>
  <si>
    <t>ARRANCAMENTO DE GRADES,GRADIS,ALAMBRADOS,CERCAS E PORTOES (OBS.:3%-DESGASTE DE FERRAMENTAS E EPI).</t>
  </si>
  <si>
    <t>MÉDIA</t>
  </si>
  <si>
    <t>MERCADO</t>
  </si>
  <si>
    <t>POSTE PARA VOLEIBOL EM TUBO DE FERRO GALVANIZADO,COM CATRACA E BUCHAS.FORNECIMENTO</t>
  </si>
  <si>
    <t>05329</t>
  </si>
  <si>
    <t>POSTES P/VOLEI, EM TUBOS DE FERRO GALVANIZADO, C/CREMALHEIRAS E BUCHAS - (PAR)</t>
  </si>
  <si>
    <t>REDE DE VOLEIBOL OFICIAL COM CABO DE ACO.FORNECIMENTO</t>
  </si>
  <si>
    <t>05330</t>
  </si>
  <si>
    <t>REDE DE NYLON, P/VOLEI, OFICIAL, C/CABODE ACO</t>
  </si>
  <si>
    <t>00324</t>
  </si>
  <si>
    <t>LIXA P/MADEIRA N§100</t>
  </si>
  <si>
    <t>RECEPTACULO DE PORCELANA P/LAMPADA, BASEE-27</t>
  </si>
  <si>
    <t>ARAME GALVANIZADO 12 BWG, D = 2,76 MM (0,048 KG/M) OU 14 BWG, D = 2,11 MM (0,026 KG/M)</t>
  </si>
  <si>
    <t>ALUGUEL CACAMBA DE ACO TIPO CONTAINER C/5M3 CAPAC.P/RETIRADA ENTULHO OBRA,INCL.CARREGA.,TRANSP.E DESCAR.LOCAIS AUTORIZ.</t>
  </si>
  <si>
    <t>0010915</t>
  </si>
  <si>
    <t>TELA DE ACO SOLDADA NERVURADA CA-60, Q-61, (0,97 KG/M2), DIAMETRO DO FIO = 3,4 MM, LARGURA =  2,45 X 120 M DE COMPRIMENTO, ESPACAMENTO DA MALHA = 15  X 15 CM</t>
  </si>
  <si>
    <t>05.001.0147-0</t>
  </si>
  <si>
    <t>So0043130</t>
  </si>
  <si>
    <t>18.200.0002-0</t>
  </si>
  <si>
    <t>18.200.0003-0</t>
  </si>
  <si>
    <t>00710</t>
  </si>
  <si>
    <t>GRAMA EM PLACAS, TIPO BATATAIS, COM TRANSPORTE</t>
  </si>
  <si>
    <t>ARRANCAMENTO DE PORTAS,JANELAS E CAIXILHOS DE AR CONDICIONADO OU OUTROS (OBS.:3%-DESGASTE DE FERRAMENTAS E EPI).</t>
  </si>
  <si>
    <t>05.001.0134-0</t>
  </si>
  <si>
    <t>So00000092874</t>
  </si>
  <si>
    <t>LANÇAMENTO COM USO DE BOMBA, ADENSAMENTO E ACABAMENTO DE CONCRETO EM ESTRUTURAS. AF_12/2015</t>
  </si>
  <si>
    <t>CORTE E DOBRA DE AÇO CA-50, DIÂMETRO DE 6,3 MM, UTILIZADO EM ESTRUTURAS DIVERSAS, EXCETO LAJES. AF_12/2015</t>
  </si>
  <si>
    <t>So00000092792</t>
  </si>
  <si>
    <t>So00000088245</t>
  </si>
  <si>
    <t>So00000088238</t>
  </si>
  <si>
    <t>LIMPEZA MANUAL DE VEGETAÇÃO EM TERRENO COM ENXADA.AF_05/2018</t>
  </si>
  <si>
    <t>JARDINEIRO COM ENCARGOS COMPLEMENTARES</t>
  </si>
  <si>
    <t>So00000098524</t>
  </si>
  <si>
    <t>So00000088441</t>
  </si>
  <si>
    <t>PINTURA INTERNA OU EXTERNA SOBRE CONCRETO LISO OU REVESTIMENTO,COM TINTA AQUOSA A BASE DE EPOXI INCOLOR OU EM CORES,INCL USIVE LIMPEZA,E DUAS DEMAOS DE ACABAMENTO (OBS.:3%-DESGASTE DE FERRAMENTAS E EPI).</t>
  </si>
  <si>
    <t>07416</t>
  </si>
  <si>
    <t>TINTA EPOXYCA, BICOMPONENTE ISENTA DE SOLVENTES</t>
  </si>
  <si>
    <t>14.006.0010-0</t>
  </si>
  <si>
    <t>PORTA DE MADEIRA DE LEI EM COMPENSADO DE 80X210X3,5CM FOLHEADA NAS 2 FACES,ADUELA DE 13X3CM E ALIZARES DE 5X2CM,EXCLUSIV E FERRAGENS.FORNECIMENTO E COLOCACAO (OBS.:3%-DESGASTE DE FERRAMENTAS E EPI).</t>
  </si>
  <si>
    <t>02259</t>
  </si>
  <si>
    <t>ALIZAR EM MADEIRA DE LEI, DE (5X2)CM, GRUPO V</t>
  </si>
  <si>
    <t>02258</t>
  </si>
  <si>
    <t>ADUELA EM MADEIRA DE LEI, DE (13X3)CM, GRUPO V</t>
  </si>
  <si>
    <t>00760</t>
  </si>
  <si>
    <t>PORTA LISA, SEMI-OCA PARA PINTURA, DE (80X210X3,5)CM</t>
  </si>
  <si>
    <t>00709</t>
  </si>
  <si>
    <t>58.002.0412-1 TACO DE ALVENARIA (2,5 X 10 X 20)CM</t>
  </si>
  <si>
    <t>14.007.0015-0</t>
  </si>
  <si>
    <t>FERRAGENS P/PORTA DE MADEIRA,DE 1 FOLHA DE ABRIR,DE ENTRADA PRINCIPAL, CONSTANDO DE FORNEC.S/COLOCACAO,DE:-FECHADURA DE CILINDRO DE FERRO,ACABAMENTO CROMADO;-MACANETA TIPO BOLA EMZAMAK POLIDO E CROMADO;-ESPELHO RETANGULAR EM FERRO POLIDO, ACABAMENTO CROMADO;-3 DOBRADICAS 3"X3" DE FERRO GALVANIZADO,COM PINO E BOLAS DE LATAO</t>
  </si>
  <si>
    <t>07799</t>
  </si>
  <si>
    <t>FECHADURA DE EMBUTIR EM LATAO CROM., P/PORTA EXT.,MACANETA TIPO BOLA EM ZAMAK, DIST. 55MM E PROFUND. 80MM</t>
  </si>
  <si>
    <t>05502</t>
  </si>
  <si>
    <t>DOBRADICA EM FERRO GALVANIZADO, COM PINOE BOLAS DE LATAO, DE 3"X3"</t>
  </si>
  <si>
    <t>14.003.0016-0</t>
  </si>
  <si>
    <t>JANELA DE ALUMINIO ANODIZADO AO NATURAL DE CORRER,DUAS FOLHAS DE CORRER E BANDEIRA DE 0,50M DE ALTURA COM PAINEIS BASCUL ANTES,EM PERFIS SERIE 28.FORNECIMENTO E COLOCACAO (OBS.:3%-DESGASTE DE FERRAMENTAS E EPI 35%-ANODIZACAO E ACESSORIOS).</t>
  </si>
  <si>
    <t>00022</t>
  </si>
  <si>
    <t>ALUMINIO EM PERFIL TUBULAR EXTRUDADO, LIGA COMUM</t>
  </si>
  <si>
    <t>06913</t>
  </si>
  <si>
    <t>MAO-DE-OBRA DE SERRALHEIRO DA CONSTRUCAOCIVIL, INCLUSIVE ENCARGOS SOCIAIS</t>
  </si>
  <si>
    <t>14.002.0070-0</t>
  </si>
  <si>
    <t>PORTAO DE FERRO DE UMA OU DUAS FOLHAS COM ALTURA DE 1,00 A 1,50M E LARGURA DE 1,00 A 3,00M,FORMADO P/BARRAS VERTICAIS DE 1.1/4"X1/4",ESPACADAS DE 12,5CM,CONTORNO E MARCOS EM BARRASDE 1.1/4"X3/8",TENDO AO CENTRO UMA FAIXA DE CHAPA DE FERRO GALVANIZADO N§16,DE 20CM DE ALTURA,COM FECHO PARA COLOCACAODE CADEADO,EXCLUSIVE ESTE.FORNECIMENTO E COLOCACAO (OBS.:3%-DESGASTE DE FERRAMENTAS E EPI 15%-PERDAS E DEMAIS MATERIAIS NECESSARIOS).</t>
  </si>
  <si>
    <t>11794</t>
  </si>
  <si>
    <t>CHAPA DE ACO GALVANIZADO, N§16 (1,55)MM</t>
  </si>
  <si>
    <t>11242</t>
  </si>
  <si>
    <t>BARRA CHATA DE ACO, DE 3/8"X1.1/4"</t>
  </si>
  <si>
    <t>PORTA DE FERRO EM BARRAS HORIZONTAIS DE 1.1/4"X1/4" A CADA 10CM,CONTORNO DO MESMO MATERIAL,REVESTIDA COM CHAPA DE FERRO GALVANIZADO N§16,GUARNICAO EM CANTONEIRA DE 1.1/2"X1/8",COMFECHO PARA CADEADO DE 30MM, EXCLUSIVE ESTE. FORNECIMENTO E C OLOCACAO (OBS.:3%-DESGASTE DE FERRAMENTAS E EPI 15%-PERDAS E DEMAIS MATERIAIS NECESSARIOS).</t>
  </si>
  <si>
    <t>00011</t>
  </si>
  <si>
    <t>CANTONEIRA DE ACO DOCE, P/SERRALHERIA, PRECO DE REVENDEDOR, DE 5/8"X1/8" ATE 1.1/2"X1/8"</t>
  </si>
  <si>
    <t>14.002.0013-0</t>
  </si>
  <si>
    <t>3.2</t>
  </si>
  <si>
    <t>3.3</t>
  </si>
  <si>
    <t>3.4</t>
  </si>
  <si>
    <t>3.5</t>
  </si>
  <si>
    <t>3.6</t>
  </si>
  <si>
    <t>REPINTURA INTERNA OU EXTERNA NA COR EXISTENTE,SOBRE REVESTIMENTO LISO EM BOM ESTADO,COM TINTA A OLEO BRILHANTE,INCLUSIVE LIXAMENTO E DUAS DEMAOS DE ACABAMENTO (OBS.:3%-DESGASTE DE FERRAMENTAS E EPI).</t>
  </si>
  <si>
    <t>00294</t>
  </si>
  <si>
    <t>TINTA A OLEO BRILHANTE, P/USO GERAL, EMINTERIORES E EXTERIORES</t>
  </si>
  <si>
    <t>17.017.0041-0</t>
  </si>
  <si>
    <t>1.8</t>
  </si>
  <si>
    <t>05.001.0001-0</t>
  </si>
  <si>
    <t>21.004.0095-0</t>
  </si>
  <si>
    <t>RETIRADA DE POSTE DE CONCRETO OU ACO,DE 3,50 A 9,00M (OBS.:3%-DESGASTE DE FERRAMENTAS E EPI).</t>
  </si>
  <si>
    <t>1.9</t>
  </si>
  <si>
    <t>17.040.0021-0</t>
  </si>
  <si>
    <t>01995</t>
  </si>
  <si>
    <t>MAO-DE-OBRA DE AUXILIAR DE TOPOGRAFIA, INCLUSIVE ENCARGOS SOCIAIS</t>
  </si>
  <si>
    <t>01950</t>
  </si>
  <si>
    <t>MAO-DE-OBRA DE TOPOGRAFO A (SERVICOS DECAMPO E ESCRITORIO, COM RESPONSABILIDADEDE DIRIGI-LOS),INCLUSIVE ENCARGOS SOCIAI</t>
  </si>
  <si>
    <t>01859</t>
  </si>
  <si>
    <t>01858</t>
  </si>
  <si>
    <t>17.013.0030-0</t>
  </si>
  <si>
    <t>Serviço : REFORMA DE QUADRA E ARREDORES</t>
  </si>
  <si>
    <t>ESTRUTURA PARA BASQUETE,DE FERRO GALVANIZADO PINTADO,FIXA,COM AVANCO LIVRE DE 1,30M,COM TABELAS DE COMPENSADO NAVAL,AROS E REDES,EXCLUSIVE FURACAO DE PISO.FORNECIMENTO E COLOCACAO (OBS.:3%-DESGASTE DE FERRAMENTAS E EPI).</t>
  </si>
  <si>
    <t>05938</t>
  </si>
  <si>
    <t>ESTRUTURA METALICAS (PAR),EM ACO GALV.PINTADO,P/BASQUETE,FIXAS,AVANCO LIVRE 1,30M,C/TABELAS COMPENSADO NAVAL,AROS/REDES</t>
  </si>
  <si>
    <t>TABELA DE BASQUETE EM COMPENSADO NAVAL,TAMANHO OFICIAL,COM ARO E REDE.FORNECIMENTO E COLOCACAO (OBS.:3%-DESGASTE DE FERRAMENTAS E EPI).</t>
  </si>
  <si>
    <t>05328</t>
  </si>
  <si>
    <t>TABELAS DE BASQUETE, EM COMPENSADO NAVALLAMINADO, COM AROS E REDES - (PAR)</t>
  </si>
  <si>
    <t>18.200.0015-0</t>
  </si>
  <si>
    <t>01647</t>
  </si>
  <si>
    <t>11.003.0001-1 CONCRETO FCK 10MPA INCL. MAT.,PREP.,LANC</t>
  </si>
  <si>
    <t>18.200.0001-0</t>
  </si>
  <si>
    <t>DISJUNTOR, MONOPOLAR, DE 10 A 32A, 3KA,MODELO DIN, TIPO C</t>
  </si>
  <si>
    <t>So0000032</t>
  </si>
  <si>
    <t>ACO CA-50, 6,3 MM, VERGALHAO</t>
  </si>
  <si>
    <t>19.011.0019-4 ESTACAO TOTAL,COM PRECISAO ANGULAR DE 1"A 2",ALCANCE MINIMO DE 500M SEM PRISMA,EALCANCE MINIMO DE 3000M COM UM PRISMA</t>
  </si>
  <si>
    <t>19.011.0019-2 ESTACAO TOTAL,COM PRECISAO ANGULAR DE 1"A 2",ALCANCE MINIMO DE 500M SEM PRISMA,EALCANCE MINIMO DE 3000M COM UM PRISMA</t>
  </si>
  <si>
    <t>00149</t>
  </si>
  <si>
    <t>CIMENTO PORTLAND CP II 32, EM SACO DE 50KG</t>
  </si>
  <si>
    <t>00001</t>
  </si>
  <si>
    <t>AREIA LAVADA, GROSSA, PARA REGIAO METROPOLITANA DO RIO DE JANEIRO</t>
  </si>
  <si>
    <t>21.003.0052-0</t>
  </si>
  <si>
    <t>ASSENTAMENTO DE POSTE RETO,DE ACO DE 3,50 ATE 6,00M,COM ENGASTAMENTO DA PARTE INFERIOR DA COLUNA DIRETAMENTE NO SOLO,EXC LUSIVE FORNECIMENTO DO POSTE (OBS.:3%-DESGASTE DE FERRAMENTAS E EPI).</t>
  </si>
  <si>
    <t>LAMPADA REFLETOR DE LED DE 150W A 200W - SHOPTIME.COM.BR // CNPJ: 00.776.574/0007-41</t>
  </si>
  <si>
    <t>LAMPADA REFLETOR DE LED DE 150W A 200W - AMERICANAS.COM.BR // 33.014.556/0001-96</t>
  </si>
  <si>
    <t>LAMPADA REFLETOR DE LED DE 150W A 200W - ILUMINIM.COM.BR // CNPJ: 23.429.903/0001-98</t>
  </si>
  <si>
    <t>6.7</t>
  </si>
  <si>
    <t>6.8</t>
  </si>
  <si>
    <t>6.9</t>
  </si>
  <si>
    <t>POSTE DE ACO,RETO,CONICO CONTINUO,ALTURA DE 3,50M,SEM SAPATA.FORNECIMENTO</t>
  </si>
  <si>
    <t>11459</t>
  </si>
  <si>
    <t>POSTE DE ACO RETO, CONICO CONTINUO, SEMSAPATA, COMPRIMENTO DE 3,50M</t>
  </si>
  <si>
    <t>1.7</t>
  </si>
  <si>
    <t>(COTAÇÃO)</t>
  </si>
  <si>
    <t>REDE DE PROTEÇÃO ESPORTIVA PARA COBERTURA DE QUADRA, 2MM, MALHA DE12X12 CM</t>
  </si>
  <si>
    <t>REDE DE PROTEÇÃO ESPORTIVA PARA COBERTURA DE QUADRA, 2MM, MALHA 12X12CM - GISMAR .COM.BR // CNPJ: 56.757.156/0001-76</t>
  </si>
  <si>
    <t>REDE DE PROTEÇÃO ESPORTIVA PARA COBERTURA DE QUADRA, 2MM, MALHA12X12CM - CIRCOPLAY.COM.BR // CNPJ: 13.670.608/0001-75</t>
  </si>
  <si>
    <t>REDE DE PROTEÇÃO ESPORTIVA PARA COBERTURA DE QUADRA, 2MM, MALHA12X12 - REMAXREDES.COM.BR // CNPJ: 19.181.402/0001-68</t>
  </si>
  <si>
    <t>Local: CM MARCELO DRABLE // RUA MARIA LUIZA GONZAGA, ANO BOM,                   BARRA MANSA - RJ</t>
  </si>
  <si>
    <t>PISO DE CONCRETO ARMADO MONOLITICO,C/JUNTA FRIA,ALISADO C/REGUA VIBRATORIA,ESPESSURA 10CM,SOBRE TERRENO ACERTADO E SOBRE LASTRO DE BRITA,EXCLUSIVE ACERTO DO TERRENO,INCLUSIVE BRITA,LONA DE TECIDO RESINADO,TELA SOLDADA 15X15CM #4,2MM(DUPLA), CONCRETO USINADO RESISTENCIA A COMPRESSAO 20MPA C/TRANSPORTEDO CONCRETO E TODA A MAO-DE-OBRA E EQUIPAMENTOS NECESSARIOS (OBS.:3%-DESGASTE DE FERRAMENTAS E EPI).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</si>
  <si>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</si>
  <si>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ELETRODO REVESTIDO AWS - E6013, DIAMETRO IGUAL A 2,50 MM</t>
  </si>
  <si>
    <t>TUBO ACO GALVANIZADO COM COSTURA, CLASSE MEDIA, DN 1.1/4", E = *3,25* MM, PESO *3,14* KG/M (NBR 5580)</t>
  </si>
  <si>
    <t>PINTURA COM TINTA LATEX SEMIBRILHANTE,FOSCA OU ACETINADA,CLASSIFICACAO PREMIUM OU STANDARD,CONFORME ABNT NBR 15079,PARA INTERIOR E EXTERIOR,BRANCA OU COLORIDA,SOBRE TIJOLO,CONCRETOLISO,CIMENTO SEM AMIANTO,E REVESTIMENTO,INCLUSIVE LIXAMENTO ,UMA DEMAO DE SELADOR ACRILICO E DUAS DEMAOS DE ACABAMENTO (OBS.:3%-DESGASTE DE FERRAMENTAS E EPI).</t>
  </si>
  <si>
    <t>21.001.0060-0</t>
  </si>
  <si>
    <t>So0011002</t>
  </si>
  <si>
    <t>So0007698</t>
  </si>
  <si>
    <t>So00000094962</t>
  </si>
  <si>
    <t>So00000094962 CONCRETO MAGRO PARA LASTRO, TRAÇO 1:4,5:4,5 (EM MASSA SECA DE CIMENTO/ AREIA MÉDIA/ BRITA 1) - PREPARO MECÂNICO COM BETONEIRA 400 L. AF_05/2021</t>
  </si>
  <si>
    <t>So0007162</t>
  </si>
  <si>
    <t>TELA DE ARAME GALVANIZADA QUADRANGULAR / LOSANGULAR, FIO 3,4 MM (10 BWG), MALHA 5 X 5 CM, H = 2 M</t>
  </si>
  <si>
    <r>
      <t xml:space="preserve">So00000102362 </t>
    </r>
    <r>
      <rPr>
        <b/>
        <sz val="11"/>
        <rFont val="Arial"/>
        <family val="2"/>
      </rPr>
      <t>(COMPOSIÇÃO)</t>
    </r>
  </si>
  <si>
    <r>
      <t xml:space="preserve">13.373.0020-0 </t>
    </r>
    <r>
      <rPr>
        <b/>
        <sz val="11"/>
        <rFont val="Arial"/>
        <family val="2"/>
      </rPr>
      <t>(COMPOSIÇÃO)</t>
    </r>
  </si>
  <si>
    <t>ESTACA DE CONCRETO ARMADO,MOLDADA NO TERRENO,TIPO HELICE CONTINUA,DIAMETRO DE 400MM,CAPACIDADE DE CARGA DE 60T A 80T,INC LUSIVE FORNECIMENTO DOS MATERIAIS CONSIDERANDO O TRECHO CRAVADO E CONCRETADO (OBS.:3%-DESGASTE DE FERRAMENTAS E EPI).</t>
  </si>
  <si>
    <t>13420</t>
  </si>
  <si>
    <t>ELETRODO C/DIAM.DE 5MM (3/16"), E-7018-6G</t>
  </si>
  <si>
    <t>11025</t>
  </si>
  <si>
    <t>CONCRETO BOMBEAVEL, ADITIVADO E TRANSPORTE, COM RESISTENCIA CARACTERISTICA A COMPRESSAO DE 28MPA, UTILIZANDO BRITA 1</t>
  </si>
  <si>
    <t>MOBILIZACAO E DESMOBILIZACAO DE EQUIPAMENTO E EQUIPE DE SONDAGEM E PERFURACAO ROTATIVA,COM TRANSPORTE ATE 50KM (OBS.:34% - DESGASTE DE FERRAMENTAS E EPI (3%) E ASSISTENCIA TECNI CA (30%)).</t>
  </si>
  <si>
    <t>01446</t>
  </si>
  <si>
    <t>SONDA ROTATIVA, C/MOTOR A GASOLINA 30HP</t>
  </si>
  <si>
    <t>01443</t>
  </si>
  <si>
    <t>BOMBA COM MOTOR DIESEL PARA SONDAGEM</t>
  </si>
  <si>
    <t>ESCAVAÇÃO MECANIZADA PARA BLOCO DE COROAMENTO OU SAPATA, COM PREVISÃO DE FÔRMA, COM RETROESCAVADEIRA. AF_06/2017</t>
  </si>
  <si>
    <t>03.011.0015-B</t>
  </si>
  <si>
    <t>REATERRO DE VALA/CAVA COM MATERIAL DE BOA QUALIDADE,UTILIZANDO VIBRO COMPACTADOR PORTATIL,EXCLUSIVE MATERIAL (OBS.:3%-DESGASTE DE FERRAMENTAS E EPI).</t>
  </si>
  <si>
    <t>20111</t>
  </si>
  <si>
    <t>MAO-DE-OBRA DE OPERADOR DE MAQUINA (TRATOR, ETC.), INCLUSIVE ENCARGOS SOCIAIS DESONERADOS</t>
  </si>
  <si>
    <t>LASTRO DE CONCRETO MAGRO, APLICADO EM PISOS, LAJES SOBRE SOLO OU RADIERS, ESPESSURA DE 5 CM. AF_07/2016</t>
  </si>
  <si>
    <t>FABRICAÇÃO, MONTAGEM E DESMONTAGEM DE FÔRMA PARA BLOCO DE COROAMENTO, EM MADEIRA SERRADA, E=25 MM, 2 UTILIZAÇÕES. AF_06/2017</t>
  </si>
  <si>
    <t>PREGO DE ACO POLIDO COM CABECA DUPLA 17 X 27 (2 1/2 X 11)</t>
  </si>
  <si>
    <t>TABUA NAO APARELHADA *2,5 X 30* CM, EM MACARANDUBA, ANGELIM OU EQUIVALENTE DA REGIAO - BRUTA</t>
  </si>
  <si>
    <t>PREGO DE ACO POLIDO COM CABECA 15 X 18 (1 1/2 X 13)</t>
  </si>
  <si>
    <t>SARRAFO *2,5 X 7,5* CM EM PINUS, MISTA OU EQUIVALENTE DA REGIAO - BRUTA</t>
  </si>
  <si>
    <t>PONTALETE *7,5 X 7,5* CM EM PINUS, MISTA OU EQUIVALENTE DA REGIAO - BRUTA</t>
  </si>
  <si>
    <t>DESMOLDANTE PROTETOR PARA FORMAS DE MADEIRA, DE BASE OLEOSA EMULSIONADA EM AGUA</t>
  </si>
  <si>
    <t>L</t>
  </si>
  <si>
    <t>AJUDANTE DE CARPINTEIRO COM ENCARGOS COMPLEMENTARES</t>
  </si>
  <si>
    <t>CONCRETAGEM DE BLOCOS DE COROAMENTO E VIGAS BALDRAMES, FCK 30 MPA, COM USO DE BOMBA  LANÇAMENTO, ADENSAMENTO E ACABAMENTO. AF_06/2017</t>
  </si>
  <si>
    <t>0034494</t>
  </si>
  <si>
    <t>CONCRETO USINADO BOMBEAVEL, CLASSE DE RESISTENCIA C30, COM BRITA 0 E 1, SLUMP = 100 +/- 20 MM, EXCLUI SERVICO DE BOMBEAMENTO (NBR 8953)</t>
  </si>
  <si>
    <t>11.009.0014-B</t>
  </si>
  <si>
    <t>BARRA DE ACO CA-50,COM SALIENCIA OU MOSSA,COEFICIENTE DE CONFORMACAO SUPERFICIAL MINIMO (ADERENCIA) IGUAL A 1,5,DIAMETRO DE 8 A 12,5MM,DESTINADA A ARMADURA DE CONCRETO ARMADO,10%DE PERDAS DE PONTAS E ARAME 18.FORNECIMENTO</t>
  </si>
  <si>
    <t>06214</t>
  </si>
  <si>
    <t>ACO CA-50, ESTIRADO, PRECO DE FABRICA, NO DIAMETRO DE 12,5MM</t>
  </si>
  <si>
    <t>06213</t>
  </si>
  <si>
    <t>ACO CA-50, ESTIRADO, PRECO DE FABRICA, NO DIAMETRO DE 10,0MM</t>
  </si>
  <si>
    <t>06212</t>
  </si>
  <si>
    <t>ACO CA-50, ESTIRADO, PRECO DE FABRICA, NO DIAMETRO DE 08,0MM</t>
  </si>
  <si>
    <t>00004</t>
  </si>
  <si>
    <t>ARAME RECOZIDO N§ 18</t>
  </si>
  <si>
    <t>ARMAÇÃO DE BLOCO, VIGA BALDRAME OU SAPATA UTILIZANDO AÇO CA-50 DE 10 MM - MONTAGEM. AF_06/2017</t>
  </si>
  <si>
    <t>ARAME RECOZIDO 16 BWG, D = 1,65 MM (0,016 KG/M) OU 18 BWG, D = 1,25 MM (0,01 KG/M)</t>
  </si>
  <si>
    <t>ESPACADOR / DISTANCIADOR CIRCULAR COM ENTRADA LATERAL, EM PLASTICO, PARA VERGALHAO *4,2 A 12,5* MM, COBRIMENTO 20 MM</t>
  </si>
  <si>
    <t>ARMAÇÃO DE BLOCO, VIGA BALDRAME OU SAPATA UTILIZANDO AÇO CA-50 DE 12,5 MM - MONTAGEM. AF_06/2017</t>
  </si>
  <si>
    <t>BARRA DE ACO CA-50,COM SALIENCIA OU MOSSA,COEFICIENTE DE CONFORMACAO SUPERFICIAL MINIMO (ADERENCIA) IGUAL A 1,5,DIAMETRO ACIMA DE 12,5MM,DESTINADA A ARMADURA DE CONCRETO ARMADO,10%DE PERDAS DE PONTAS E ARAME 18.FORNECIMENTO</t>
  </si>
  <si>
    <t>06217</t>
  </si>
  <si>
    <t>ACO CA-50, ESTIRADO, PRECO DE FABRICA, NO DIAMETRO DE 25,0MM</t>
  </si>
  <si>
    <t>06216</t>
  </si>
  <si>
    <t>ACO CA-50, ESTIRADO, PRECO DE FABRICA, NO DIAMETRO DE 20,0MM</t>
  </si>
  <si>
    <t>06215</t>
  </si>
  <si>
    <t>ACO CA-50, ESTIRADO, PRECO DE FABRICA, NO DIAMETRO DE 16,0MM</t>
  </si>
  <si>
    <t>ARMAÇÃO DE BLOCO, VIGA BALDRAME OU SAPATA UTILIZANDO AÇO CA-50 DE 16 MM - MONTAGEM. AF_06/2017</t>
  </si>
  <si>
    <t>FUNDAÇÃO</t>
  </si>
  <si>
    <t>X</t>
  </si>
  <si>
    <t>VIGA BALDRAME</t>
  </si>
  <si>
    <t>DEMOLICAO MANUAL DE PISO CIMENTADO E DA RESPECTIVA BASE DE CONCRETO,OU PASSEIO DE CONCRETO,INCLUSIVE EMPILHAMENTO LATERA L DENTRO DO CANTEIRO DE SERVICO (OBS.:3%-DESGASTE DE FERRAMENTAS E EPI).</t>
  </si>
  <si>
    <t>DEMOLICAO MANUAL DE ALVENARIA DE TIJOLOS FURADOS,INCLUSIVE EMPILHAMENTO LATERAL DENTRO DO CANTEIRO DE SERVICO (OBS.:3%- DESGASTE DE FERRAMENTAS E EPI).</t>
  </si>
  <si>
    <t>05.001.0018-0</t>
  </si>
  <si>
    <t>05.001.0023-0</t>
  </si>
  <si>
    <t>1.10</t>
  </si>
  <si>
    <t>10.003.0080-0</t>
  </si>
  <si>
    <t>01944</t>
  </si>
  <si>
    <t>MAO-DE-OBRA DE SOLDADOR DA CONSTRUCAO CIVIL, INCLUSIVE ENCARGOS SOCIAIS</t>
  </si>
  <si>
    <t>15032</t>
  </si>
  <si>
    <t>19.011.0040-2 ROTATIVA P/EXECUCAO POCOS PROFUNDOS (CP)</t>
  </si>
  <si>
    <t>15022</t>
  </si>
  <si>
    <t>19.011.0045-2 RETIFICADOR SOLDA ELETRICA DE 430A (CP)</t>
  </si>
  <si>
    <t>03115</t>
  </si>
  <si>
    <t>11.011.0023-1 CORTE ACO CA-25 DIAM. IGUAL A 6,3MM</t>
  </si>
  <si>
    <t>03054</t>
  </si>
  <si>
    <t>11.011.0031-1 CORTE ACO CA-50,DIAM. ACIMA 12,5MM</t>
  </si>
  <si>
    <t>03051</t>
  </si>
  <si>
    <t>11.009.0015-1 BARRA ACO CA-50B DIAM. ACIMA DE 12,5MM</t>
  </si>
  <si>
    <t>02026</t>
  </si>
  <si>
    <t>19.004.0012-2 CAMINHAO BASCUL. NO TOCO, 5M3 (CP)</t>
  </si>
  <si>
    <t>01860</t>
  </si>
  <si>
    <t>19.005.0028-2 RETRO-ESCAVADEIRA,MOTOR DIESEL 75CV (CP)</t>
  </si>
  <si>
    <t>01651</t>
  </si>
  <si>
    <t>11.008.0001-1 BARRA ACO CA-25 DIAM. IGUAL A 6.3MM</t>
  </si>
  <si>
    <t>01.009.0050-0</t>
  </si>
  <si>
    <t>01964</t>
  </si>
  <si>
    <t>MAO-DE-OBRA DE SONDADOR A (ESPECIALISTADA MAIS ALTA QUALIDADE), INCLUSIVE ENCARGOS SOCIAIS</t>
  </si>
  <si>
    <t>01963</t>
  </si>
  <si>
    <t>MAO-DE-OBRA DE SONDADOR B (ESPECIALISTADE MENOR QUALIDADE), INCLUSIVE ENCARGOSSOCIAIS</t>
  </si>
  <si>
    <t>01959</t>
  </si>
  <si>
    <t>MAO-DE-OBRA DE TECNICO DE SONDAGEM, INCLUSIVE ENCARGOS SOCIAIS</t>
  </si>
  <si>
    <t>01006</t>
  </si>
  <si>
    <t>19.004.0004-4 CAMINHAO CARROC. FIXA 7,5T (CI)</t>
  </si>
  <si>
    <t>01004</t>
  </si>
  <si>
    <t>19.004.0004-2 CAMINHAO CARROC. FIXA, 7,5T (CP)</t>
  </si>
  <si>
    <t>So00000096521</t>
  </si>
  <si>
    <t>So00000005679</t>
  </si>
  <si>
    <t>So00000005679 RETROESCAVADEIRA SOBRE RODAS COM CARREGADEIRA, TRAÇÃO 4X4, POTÊNCIA LÍQ. 88 HP, CAÇAMBA CARREG. CAP. MÍN. 1 M3, CAÇAMBA RETRO CAP. 0,26 M3, PESO OPERACIONAL MÍN. 6.674 KG, PROFUNDIDADE ESCAVAÇÃO MÁX. 4,37 M - CHI DIURNO. AF_06/2014</t>
  </si>
  <si>
    <t>So00000005678</t>
  </si>
  <si>
    <t>So00000005678 RETROESCAVADEIRA SOBRE RODAS COM CARREGADEIRA, TRAÇÃO 4X4, POTÊNCIA LÍQ. 88 HP, CAÇAMBA CARREG. CAP. MÍN. 1 M3, CAÇAMBA RETRO CAP. 0,26 M3, PESO OPERACIONAL MÍN. 6.674 KG, PROFUNDIDADE ESCAVAÇÃO MÁX. 4,37 M - CHP DIURNO. AF_06/2014</t>
  </si>
  <si>
    <t>So00000095241</t>
  </si>
  <si>
    <t>So00000094968</t>
  </si>
  <si>
    <t>So00000094968 CONCRETO MAGRO PARA LASTRO, TRAÇO 1:4,5:4,5 (EM MASSA SECA DE CIMENTO/ AREIA MÉDIA/ BRITA 1) - PREPARO MECÂNICO COM BETONEIRA 600 L. AF_05/2021</t>
  </si>
  <si>
    <t>So00000096531</t>
  </si>
  <si>
    <t>So0040304</t>
  </si>
  <si>
    <t>So0006189</t>
  </si>
  <si>
    <t>So0005074</t>
  </si>
  <si>
    <t>So0004517</t>
  </si>
  <si>
    <t>So0004491</t>
  </si>
  <si>
    <t>So0002692</t>
  </si>
  <si>
    <t>So00000088239</t>
  </si>
  <si>
    <t>So00000091693</t>
  </si>
  <si>
    <t>So00000091693 SERRA CIRCULAR DE BANCADA COM MOTOR ELÉTRICO POTÊNCIA DE 5HP, COM COIFA PARA DISCO 10" - CHI DIURNO. AF_08/2015</t>
  </si>
  <si>
    <t>So00000091692</t>
  </si>
  <si>
    <t>So00000091692 SERRA CIRCULAR DE BANCADA COM MOTOR ELÉTRICO POTÊNCIA DE 5HP, COM COIFA PARA DISCO 10" - CHP DIURNO. AF_08/2015</t>
  </si>
  <si>
    <t>So00000096557 (COMPOSIÇÃO)</t>
  </si>
  <si>
    <t>So00000096546</t>
  </si>
  <si>
    <t>So0043132</t>
  </si>
  <si>
    <t>So0039017</t>
  </si>
  <si>
    <t>So00000092794</t>
  </si>
  <si>
    <t>So00000092794 CORTE E DOBRA DE AÇO CA-50, DIÂMETRO DE 10,0 MM, UTILIZADO EM ESTRUTURAS DIVERSAS, EXCETO LAJES. AF_12/2015</t>
  </si>
  <si>
    <t>11.009.0014-1</t>
  </si>
  <si>
    <t>So00000096547</t>
  </si>
  <si>
    <t>So00000092795</t>
  </si>
  <si>
    <t>So00000092795 CORTE E DOBRA DE AÇO CA-50, DIÂMETRO DE 12,5 MM, UTILIZADO EM ESTRUTURAS DIVERSAS, EXCETO LAJES. AF_12/2015</t>
  </si>
  <si>
    <t>11.009.0015-1</t>
  </si>
  <si>
    <t>So00000096548</t>
  </si>
  <si>
    <t>So00000092796</t>
  </si>
  <si>
    <t>So00000092796 CORTE E DOBRA DE AÇO CA-50, DIÂMETRO DE 16,0 MM, UTILIZADO EM ESTRUTURAS DIVERSAS, EXCETO LAJES. AF_12/2015</t>
  </si>
  <si>
    <t>So00000096525</t>
  </si>
  <si>
    <t>ESCAVAÇÃO MECANIZADA PARA VIGA BALDRAME, COM PREVISÃO DE FÔRMA, COM MINI-ESCAVADEIRA. AF_06/2017</t>
  </si>
  <si>
    <t>So00000096246</t>
  </si>
  <si>
    <t>So00000096246 MINIESCAVADEIRA SOBRE ESTEIRAS, POTENCIA LIQUIDA DE *30* HP, PESO OPERACIONAL DE *3.500* KG - CHI DIURNO. AF_04/2017</t>
  </si>
  <si>
    <t>So00000096245</t>
  </si>
  <si>
    <t>So00000096245 MINIESCAVADEIRA SOBRE ESTEIRAS, POTENCIA LIQUIDA DE *30* HP, PESO OPERACIONAL DE *3.500* KG - CHP DIURNO. AF_04/2017</t>
  </si>
  <si>
    <t>So00000096533</t>
  </si>
  <si>
    <t>FABRICAÇÃO, MONTAGEM E DESMONTAGEM DE FÔRMA PARA VIGA BALDRAME, EM MADEIRA SERRADA, E=25 MM, 2 UTILIZAÇÕES. AF_06/2017</t>
  </si>
  <si>
    <t>So0005073</t>
  </si>
  <si>
    <t>PREGO DE ACO POLIDO COM CABECA 17 X 24 (2 1/4 X 11)</t>
  </si>
  <si>
    <t>03.011.0015-1</t>
  </si>
  <si>
    <t>01970</t>
  </si>
  <si>
    <t>MAO-DE-OBRA DE OPERADOR DE MAQUINA (TRATOR, ETC), INCLUSIVE ENCARGOS SOCIAIS</t>
  </si>
  <si>
    <t>11.009.0011-0</t>
  </si>
  <si>
    <t>FIO DE ACO CA-60,REDONDO,COM SALIENCIA OU MOSSA,COEFICIENTE DE CONFORMACAO SUPERFICIAL MINIMO(ADERENCIA)IGUAL A 1,5,DIAM ETRO ENTRE 4,2 A 5MM,DESTINADO A ARMADURA DE PECAS DE CONCRETO ARMADO,COMPREENDENDO 10% DE PERDAS DE PONTAS E ARAME 18.F ORNECIMENTO</t>
  </si>
  <si>
    <t>06129</t>
  </si>
  <si>
    <t>ACO CA-60, ESTIRADO, PRECO DE FABRICA, NO DIAMETRO DE 05,0MM</t>
  </si>
  <si>
    <t>06128</t>
  </si>
  <si>
    <t>ACO CA-60, ESTIRADO, PRECO DE FABRICA, NO DIAMETRO DE 04,2MM</t>
  </si>
  <si>
    <t>So00000096543</t>
  </si>
  <si>
    <t>ARMAÇÃO DE BLOCO, VIGA BALDRAME E SAPATA UTILIZANDO AÇO CA-60 DE 5 MM - MONTAGEM. AF_06/2017</t>
  </si>
  <si>
    <t>So00000092791</t>
  </si>
  <si>
    <t>So00000092791 CORTE E DOBRA DE AÇO CA-60, DIÂMETRO DE 5,0 MM, UTILIZADO EM ESTRUTURAS DIVERSAS, EXCETO LAJES. AF_12/2015</t>
  </si>
  <si>
    <t>So00000096549</t>
  </si>
  <si>
    <t>ARMAÇÃO DE BLOCO, VIGA BALDRAME OU SAPATA UTILIZANDO AÇO CA-50 DE 20 MM - MONTAGEM. AF_06/2017</t>
  </si>
  <si>
    <t>So00000092797</t>
  </si>
  <si>
    <t>So00000092797 CORTE E DOBRA DE AÇO CA-50, DIÂMETRO DE 20,0 MM, UTILIZADO EM ESTRUTURAS DIVERSAS, EXCETO LAJES. AF_12/2015</t>
  </si>
  <si>
    <t>PILARETES</t>
  </si>
  <si>
    <t>So00000092269</t>
  </si>
  <si>
    <t>FABRICAÇÃO DE FÔRMA PARA PILARES E ESTRUTURAS SIMILARES, EM MADEIRA SERRADA, E=25 MM. AF_09/2020</t>
  </si>
  <si>
    <t>So0005068</t>
  </si>
  <si>
    <t>PREGO DE ACO POLIDO COM CABECA 17 X 21 (2 X 11)</t>
  </si>
  <si>
    <t>So00000092722</t>
  </si>
  <si>
    <t>CONCRETAGEM DE PILARES, FCK = 25 MPA, COM USO DE BOMBA EM EDIFICAÇÃO COM SEÇÃO MÉDIA DE PILARES MAIOR QUE 0,25 M² - LANÇAMENTO, ADENSAMENTO E ACABAMENTO. AF_12/2015</t>
  </si>
  <si>
    <t>11.009.0013-0</t>
  </si>
  <si>
    <t>BARRA DE ACO CA-50,COM SALIENCIA OU MOSSA,COEFICIENTE DE CONFORMACAO SUPERFICIAL MINIMO (ADERENCIA) IGUAL A 1,5,DIAMETRO DE 6,3MM,DESTINADA A ARMADURA DE CONCRETO ARMADO,10% DE PERDAS DE PONTAS E ARAME 18.FORNECIMENTO</t>
  </si>
  <si>
    <t>06211</t>
  </si>
  <si>
    <t>ACO CA-50, ESTIRADO, PRECO DE FABRICA, NO DIAMETRO DE 06,3MM</t>
  </si>
  <si>
    <t>So00000092776</t>
  </si>
  <si>
    <t>ARMAÇÃO DE PILAR OU VIGA DE UMA ESTRUTURA CONVENCIONAL DE CONCRETO ARMADO EM UMA EDIFICAÇÃO TÉRREA OU SOBRADO UTILIZANDO AÇO CA-50 DE 6,3 MM - MONTAGEM. AF_12/2015</t>
  </si>
  <si>
    <t>So00000092792 CORTE E DOBRA DE AÇO CA-50, DIÂMETRO DE 6,3 MM, UTILIZADO EM ESTRUTURAS DIVERSAS, EXCETO LAJES. AF_12/2015</t>
  </si>
  <si>
    <t>So00000092780</t>
  </si>
  <si>
    <t>ARMAÇÃO DE PILAR OU VIGA DE UMA ESTRUTURA CONVENCIONAL DE CONCRETO ARMADO EM UMA EDIFICAÇÃO TÉRREA OU SOBRADO UTILIZANDO AÇO CA-50 DE 16,0 MM - MONTAGEM. AF_12/2015</t>
  </si>
  <si>
    <t>ESTRUTURA METÁLICA</t>
  </si>
  <si>
    <t>11.016.0100-0</t>
  </si>
  <si>
    <t>ESTRUTURA METALICA,COM ACO ASTM A-572,PARA ESTRUTURA DE EDIFICACOES,PILARES,VIGAS PRINCIPAIS E SECUNDARIAS,ESCADAS,PATAM ARES E CHAPAS DAS BASES DA FUNDACAO,PERDAS E PINTURA DE TRATAMENTO,INCLUSIVE FORNECIMENTO DE TODOS OS MATERIAIS PARA LIG ACOES E FIXACOES E MONTAGEM (OBS.:3%-DESGASTE DE FERRAMENTAS E EPI 10%-PERDAS).</t>
  </si>
  <si>
    <t>13491</t>
  </si>
  <si>
    <t>PERFIL DE ACO ASTM A-572-NBR7007</t>
  </si>
  <si>
    <t>10920</t>
  </si>
  <si>
    <t>PARAFUSO FRANCES DE FERRO GALVANIZADO,C/PORCA, MEDINDO (5/8"X2.1/2")</t>
  </si>
  <si>
    <t>06021</t>
  </si>
  <si>
    <t>FUNDO ANTICORROSIVO DE SECAGEM RAPIDA LARANJA</t>
  </si>
  <si>
    <t>00632</t>
  </si>
  <si>
    <t>CHAPA DE ACO CARBONO, P/USOS GERAIS, LAMINADA A QUENTE, TAMANHO PADRAO, BORDAS UNIV., PRECO DE USINA, C/ESPES. 09,5MM</t>
  </si>
  <si>
    <t>00247</t>
  </si>
  <si>
    <t>ELETRODO P/SOLDA ACO (AWS E-7018), IND.P/ESTRUT.RIGIDAS, VASOS PRESSAO, CONST.NAVAIS, ACOS FUND.ACOS DESC.C/DIAM.4MM</t>
  </si>
  <si>
    <t>06912</t>
  </si>
  <si>
    <t>MAO-DE-OBRA DE ENCARREGADO DE MONTAGEM,INCLUSIVE ENCARGOS SOCIAIS</t>
  </si>
  <si>
    <t>01975</t>
  </si>
  <si>
    <t>MAO-DE-OBRA DE MONTADOR A (MONTAGEM DE ESTRUTURAS METALICAS), INCLUSIVE ENCARGOSSOCIAIS</t>
  </si>
  <si>
    <t>01943</t>
  </si>
  <si>
    <t>MAO-DE-OBRA DE AJUDANTE DE SOLDADOR, INCLUSIVE ENCARGOS SOCIAIS</t>
  </si>
  <si>
    <t>01935</t>
  </si>
  <si>
    <t>MAO-DE-OBRA DE SOLDADOR INDUSTRIAL, INCLUSIVE ENCARGOS SOCIAIS</t>
  </si>
  <si>
    <t>13537</t>
  </si>
  <si>
    <t>RETIFICADORA DE SOLDA ELETRICA DE 430A,MODELO TRR 2600, BANBOZZI OU SIMILAR</t>
  </si>
  <si>
    <t>02016</t>
  </si>
  <si>
    <t>19.004.0056-4 GUINDASTE ARTICULADO SOBRE CAMINHAO DIESEL,POTENCIA MAXIMA 231CV (CI)</t>
  </si>
  <si>
    <t>02014</t>
  </si>
  <si>
    <t>19.004.0056-2 GUINDASTE ARTICULADO SOBRE CAMINHAO DIESEL,POTENCIA MAXIMA 231CV (CP)</t>
  </si>
  <si>
    <t>QUADRA E ARREDORES</t>
  </si>
  <si>
    <t>PISO DE CONCRETO ARMADO MONOLITICO,C/JUNTA FRIA,ALISADO C/REGUA VIBRATORIA,ESPESSURA 10CM,SOBRE TERRENO ACERTADO E SOBRE LASTRO DE BRITA,EXCLUSIVE ACERTO DO TERRENO,INCLUSIVE BRITA,LONA DE TECIDO RESINADO,TELA SOLDADA 15X15CM #4,2MM(), CONCRETO USINADO RESISTENCIA A COMPRESSAO 20MPA C/TRANSPORTEDO CONCRETO E TODA A MAO-DE-OBRA E EQUIPAMENTOS NECESSARIOS (OBS.:3%-DESGASTE DE FERRAMENTAS E EPI).</t>
  </si>
  <si>
    <t>13.373.0020-0</t>
  </si>
  <si>
    <t>07246</t>
  </si>
  <si>
    <t>TELA P/ESTRUTURA DE CONCRETO ARMADO, FORMADA POR FIOS DE ACO CA-60, DIAM.4,2MM EESPACAMENTO ENTRE ELES DE (15X15)CM</t>
  </si>
  <si>
    <r>
      <t xml:space="preserve">13.001.0026-0 </t>
    </r>
    <r>
      <rPr>
        <b/>
        <sz val="11"/>
        <rFont val="Arial"/>
        <family val="2"/>
      </rPr>
      <t>(COMPOSIÇÃO)</t>
    </r>
  </si>
  <si>
    <t>12.003.0075-1</t>
  </si>
  <si>
    <t>ALVENARIA DE TIJOLOS CERAMICOS FURADOS 10X20X20CM,ASSENTES COM ARGAMASSA DE CIMENTO E SAIBRO,NO TRACO 1:8,EM PAREDES DE MEIA VEZ(0,10M),DE SUPERFICIE CORRIDA,ATE 3,00M DE ALTURA EMEDIDA PELA AREA REAL (OBS.:3%-DESGASTE DE FERRAMENTAS E EPI).</t>
  </si>
  <si>
    <t>00559</t>
  </si>
  <si>
    <t>TIJOLO CERAMICO, FURADO, DE (10X20X20)CM</t>
  </si>
  <si>
    <t>01613</t>
  </si>
  <si>
    <t>07.006.0025-1 ARGAMASSA CIM.,SAIBRO TRACO 1:8,PREPAROMECANICO</t>
  </si>
  <si>
    <t>13.001.0015-0</t>
  </si>
  <si>
    <t>EMBOCO COM ARGAMASSA DE CIMENTO E AREIA,NO TRACO 1:1,5 COM 1,5CM DE ESPESSURA,INCLUSIVE CHAPISCO DE CIMENTO E AREIA,NO T RACO 1:3 (OBS.:3%-DESGASTE DE FERRAMENTAS E EPI).</t>
  </si>
  <si>
    <t>03078</t>
  </si>
  <si>
    <t>07.002.0015-1 ARGAMASSA CIM.,AREIA TRACO 1:1,5,PREPAROMECANICO</t>
  </si>
  <si>
    <t>15.007.0415-0</t>
  </si>
  <si>
    <t>QUADRO DE DISTRIBUICAO DE ENERGIA,100A,PARA DISJUNTORES TERMO-MAGNETICOS UNIPOLARES,DE SOBREPOR,COM PORTA E BARRAMENTOS DE FASE,NEUTRO E TERRA,TRIFASICO,PARA INSTALACAO DE ATE 18 DISJUNTORES COM DISPOSITIVO PARA CHAVE GERAL.FORNECIMENTO E C OLOCACAO (OBS.:3%-DESGASTE DE FERRAMENTAS E EPI).</t>
  </si>
  <si>
    <t>11859</t>
  </si>
  <si>
    <t>QUADRO DE DISTRIBUICAO DE ENERGIA,100A,DE SOBREPOR,BARRAMENTO TRIFASICO E NEUTRO,DISP.P/CHAVE GERAL,P/ATE 18 DISJUNTORES</t>
  </si>
  <si>
    <t>15.007.0575-0</t>
  </si>
  <si>
    <t>DISJUNTOR TERMOMAGNETICO,BIPOLAR,DE 10 A 32A,3KA,MODELO DIN,TIPO C.FORNECIMENTO E COLOCACAO (OBS.:3%-DESGASTE DE FERRAMENTAS E EPI).</t>
  </si>
  <si>
    <t>04326</t>
  </si>
  <si>
    <t>DISJUNTOR, BIPOLAR, DE 10A A 32A, 3KA, MODELO DIN, TIPO C</t>
  </si>
  <si>
    <t>15.007.0520-0</t>
  </si>
  <si>
    <t>DISJUNTOR/INTERRUPTOR DIFERENCIAL RESIDUAL(DDR),CLASSE AC,2 POLOS,INSTANTANEO,CORRENTE NOMINAL(IN)25AX240V,SENSIBILIDADE 30MA/300MA.FORNECIMENTO E COLOCACAO (OBS.:3%-DESGASTE DE FERRAMENTAS E EPI).</t>
  </si>
  <si>
    <t>11864</t>
  </si>
  <si>
    <t>DISJUNTOR/INTERRUPTOR DIFERENCIAL RESIDUAL (DDR), CLASSE AC, 2 POLOS, INST.,C.NOMINAL 25AX240V,SENSIBILIDADE 30MA/300MA</t>
  </si>
  <si>
    <t>15.007.0204-0</t>
  </si>
  <si>
    <t>HASTE PARA ATERRAMENTO,DE COBRE DE 3/4" (19MM),COM 3,00M DE COMPRIMENTO.FORNECIMENTO E COLOCACAO (OBS.:3%-DESGASTE DE FERRAMENTAS E EPI).</t>
  </si>
  <si>
    <t>14744</t>
  </si>
  <si>
    <t>HASTE PARA ATERRAMENTO, DE COBRE, NO DIAMETRO DE 3/4``(19MM) E COM COMPRIMENTO DE 3,00M</t>
  </si>
  <si>
    <t>15.036.0062-0</t>
  </si>
  <si>
    <t>ELETRODUTO DE PVC RIGIDO ROSQUEAVEL DE 1",EXCLUSIVE LUVAS,CURVAS,ABERTURA E FECHAMENTO DE RASGO.FORNECIMENTO E ASSENTAME NTO (OBS.:3%-DESGASTE DE FERRAMENTAS E EPI).</t>
  </si>
  <si>
    <t>02343</t>
  </si>
  <si>
    <t>ELETRODUTO DE PVC PRETO,RIGIDO ROSQUEAVEL,COM ROSCA EM AMBAS EXTREMIDADES,EM BARRAS DE 3 METROS,DE 1"</t>
  </si>
  <si>
    <t>15.008.0210-0</t>
  </si>
  <si>
    <t>CABO DE COBRE FLEXIVEL COM ISOLAMENTO TERMOPLASTICO,COMPREENDENDO:PREPARO,CORTE E ENFIACAO EM ELETRODUTOS,NA BITOLA DE 4 MM2, 0,6/1KV.FORNECIMENTO E COLOCACAO (OBS.:3%-DESGASTE DE FERRAMENTAS E EPI).</t>
  </si>
  <si>
    <t>04282</t>
  </si>
  <si>
    <t>CABO DE COBRE FLEXIVEL COM ISOLAMENTO TERMOPLASTICO, DE 0,6/1KV, DE 4MM2</t>
  </si>
  <si>
    <t>15.008.0220-0</t>
  </si>
  <si>
    <t>CABO DE COBRE FLEXIVEL COM ISOLAMENTO TERMOPLASTICO,COMPREENDENDO:PREPARO,CORTE E ENFIACAO EM ELETRODUTOS,NA BITOLA DE 1 0MM2, 0,6/1KV.FORNECIMENTO E COLOCACAO (OBS.:3%-DESGASTE DE FERRAMENTAS E EPI).</t>
  </si>
  <si>
    <t>04284</t>
  </si>
  <si>
    <t>CABO DE COBRE FLEXIVEL COM ISOLAMENTO TERMOPLASTICO, DE 0,6/1KV, DE 10MM2</t>
  </si>
  <si>
    <t>Cobertura</t>
  </si>
  <si>
    <t>So00000094213</t>
  </si>
  <si>
    <t>TELHAMENTO COM TELHA DE AÇO/ALUMÍNIO E = 0,5 MM, COM ATÉ 2 ÁGUAS, INCLUSO IÇAMENTO. AF_07/2019</t>
  </si>
  <si>
    <t>So0011029</t>
  </si>
  <si>
    <t>HASTE RETA PARA GANCHO DE FERRO GALVANIZADO, COM ROSCA 1/4 " X 30 CM PARA FIXACAO DE TELHA METALICA, INCLUI PORCA E ARRUELAS DE VEDACAO</t>
  </si>
  <si>
    <t>CJ</t>
  </si>
  <si>
    <t>So0007243</t>
  </si>
  <si>
    <t>TELHA TRAPEZOIDAL EM ACO ZINCADO, SEM PINTURA, ALTURA DE APROXIMADAMENTE 40 MM, ESPESSURA DE 0,50 MM E LARGURA UTIL DE 980 MM</t>
  </si>
  <si>
    <t>So00000088323</t>
  </si>
  <si>
    <t>TELHADISTA COM ENCARGOS COMPLEMENTARES</t>
  </si>
  <si>
    <t>So00000093282</t>
  </si>
  <si>
    <t>So00000093282 GUINCHO ELÉTRICO DE COLUNA, CAPACIDADE 400 KG, COM MOTO FREIO, MOTOR TRIFÁSICO DE 1,25 CV - CHI DIURNO. AF_03/2016</t>
  </si>
  <si>
    <t>So00000093281</t>
  </si>
  <si>
    <t>So00000093281 GUINCHO ELÉTRICO DE COLUNA, CAPACIDADE 400 KG, COM MOTO FREIO, MOTOR TRIFÁSICO DE 1,25 CV - CHP DIURNO. AF_03/2016</t>
  </si>
  <si>
    <t>16.005.0005-0</t>
  </si>
  <si>
    <t>CUMEEIRA DE GALVALUME,COM ESPESSURA APROXIMADA DE 0,5MM,0,30M DE ABA PARA CADA LADO,PARA TELHAS ONDULADAS.FORNECIMENTO E COLOCACAO (OBS.:3%-DESGASTE DE FERRAMENTAS E EPI).</t>
  </si>
  <si>
    <t>14828</t>
  </si>
  <si>
    <t>CUMEEIRA DE GALVALUME ONDULADA, COM ABASIGUAIS DE 30CM E ESPESSURA APROXIMADA DE 0,5MM</t>
  </si>
  <si>
    <t>07264</t>
  </si>
  <si>
    <t>HASTE DE FIXACAO PARA TELHAS METALICAS COM MEDIDAS APROXIMADAS DE 1/4" X 400MM,COM VEDACAO</t>
  </si>
  <si>
    <t>Hidrossanitário</t>
  </si>
  <si>
    <t>03.001.0001-1</t>
  </si>
  <si>
    <t>ESCAVACAO MANUAL DE VALA/CAVA EM MATERIAL DE 1¦ CATEGORIA (A(AREIA,ARGILA OU PICARRA),ATE 1,50M DE PROFUNDIDADE,EXCLUSIV E ESCORAMENTO E ESGOTAMENTO (OBS.:3% - DESGASTE DE FERRAMENTAS E EPI).</t>
  </si>
  <si>
    <t>So00000090696</t>
  </si>
  <si>
    <t>TUBO DE PVC PARA REDE COLETORA DE ESGOTO DE PAREDE MACIÇA, DN 200 MM, JUNTA ELÁSTICA - FORNECIMENTO E ASSENTAMENTO. AF_01/2021</t>
  </si>
  <si>
    <t>So0041930</t>
  </si>
  <si>
    <t>TUBO COLETOR DE ESGOTO PVC, JEI, DN 200 MM (NBR 7362)</t>
  </si>
  <si>
    <t>So0020078</t>
  </si>
  <si>
    <t>PASTA LUBRIFICANTE PARA TUBOS E CONEXOES COM JUNTA ELASTICA (USO EM PVC, ACO, POLIETILENO E OUTROS) ( DE *400* G)</t>
  </si>
  <si>
    <t>So00000088246</t>
  </si>
  <si>
    <t>ASSENTADOR DE TUBOS COM ENCARGOS COMPLEMENTARES</t>
  </si>
  <si>
    <t>So00000090695</t>
  </si>
  <si>
    <t>TUBO DE PVC PARA REDE COLETORA DE ESGOTO DE PAREDE MACIÇA, DN 150 MM, JUNTA ELÁSTICA  - FORNECIMENTO E ASSENTAMENTO. AF_01/2021</t>
  </si>
  <si>
    <t>So0041936</t>
  </si>
  <si>
    <t>TUBO COLETOR DE ESGOTO, PVC, JEI, DN 150 MM  (NBR 7362)</t>
  </si>
  <si>
    <t>So00000089580</t>
  </si>
  <si>
    <t>TUBO PVC, SÉRIE R, ÁGUA PLUVIAL, DN 150 MM, FORNECIDO E INSTALADO EM CONDUTORES VERTICAIS DE ÁGUAS PLUVIAIS. AF_12/2014</t>
  </si>
  <si>
    <t>So0038383</t>
  </si>
  <si>
    <t>LIXA D'AGUA EM FOLHA, GRAO 100</t>
  </si>
  <si>
    <t>So0020083</t>
  </si>
  <si>
    <t>SOLUCAO LIMPADORA PARA PVC, FRASCO COM 1000 CM3</t>
  </si>
  <si>
    <t>So0009840</t>
  </si>
  <si>
    <t>TUBO PVC, SERIE R, DN 150 MM, PARA ESGOTO OU AGUAS PLUVIAIS PREDIAIS (NBR 5688)</t>
  </si>
  <si>
    <t>So0000122</t>
  </si>
  <si>
    <t>ADESIVO PLASTICO PARA PVC, FRASCO COM 850 GR</t>
  </si>
  <si>
    <t>So00000088267</t>
  </si>
  <si>
    <t>ENCANADOR OU BOMBEIRO HIDRÁULICO COM ENCARGOS COMPLEMENTARES</t>
  </si>
  <si>
    <t>So00000088248</t>
  </si>
  <si>
    <t>AUXILIAR DE ENCANADOR OU BOMBEIRO HIDRÁULICO COM ENCARGOS COMPLEMENTARES</t>
  </si>
  <si>
    <t>CAIXA DE PASSAGEM EM ALVENARIA DE TIJOLO MACICO(7X10X20CM),EM PAREDES DE UMA VEZ(0,20M),DE 0,60X0,60X1,00M,EXCLUSIVE TAM PA,UTILIZANDO ARGAMASSA DE CIMENTO E AREIA,NO TRACO 1:4 EM VOLUME,COM FUNDO EM CONCRETO SIMPLES PROVIDO DE CALHA INTERNA ,SENDO AS PAREDES REVESTIDAS INTERNAMENTE COM A MESMA ARGAMASSA (OBS.:3% - DESGASTE DE FERRAMENTAS E EPI).</t>
  </si>
  <si>
    <t>00349</t>
  </si>
  <si>
    <t>PINUS, EM PECAS DE 2,50X30,00CM (1"X12")</t>
  </si>
  <si>
    <t>03087</t>
  </si>
  <si>
    <t>13.001.0030-1 EMBOCO ARG. CIM. E AREIA TRACO 1:4</t>
  </si>
  <si>
    <t>12.002.0070-1 ALVENARIA P/ CX.ENTERRADA 0,80M A 1,60M</t>
  </si>
  <si>
    <t>01633</t>
  </si>
  <si>
    <t>11.001.0001-1 CONCRETO FCK 10MPA</t>
  </si>
  <si>
    <t>06.014.0057-0 (COMPOSIÇÃO)</t>
  </si>
  <si>
    <t>12.005.0135-1</t>
  </si>
  <si>
    <t>ALVENARIA PARA CAIXAS ENTERRADAS,ATE 1,60M DE PROFUNDIDADE,COM BLOCOS DE CONCRETO DE 20X20X40CM,COM ARGAMASSA DE CIMENTO E AREIA,NO TRACO 1:4 E CONCRETO 20MPA,PARA PREENCHIMENTO DOSFUROS DOS MESMOS,EM PAREDES DE UMA VEZ(0,20M) (OBS.:3%-DESGASTE DE FERRAMENTAS E EPI).</t>
  </si>
  <si>
    <t>00104</t>
  </si>
  <si>
    <t>BLOCO DE CONCRETO PRENSADO, PARA ALVENARIA, DE (20X20X40)CM</t>
  </si>
  <si>
    <t>01637</t>
  </si>
  <si>
    <t>11.001.0006-1 CONCRETO FCK 20MPA</t>
  </si>
  <si>
    <t>01607</t>
  </si>
  <si>
    <t>07.002.0030-1 ARGAMASSA CIM.,AREIA TRACO 1:4,PREPAROMECANICO</t>
  </si>
  <si>
    <t>06.003.0010-0</t>
  </si>
  <si>
    <t>CALHA MEIO-TUBO CIRCULAR DE CONCRETO VIBRADO,DIAMETRO INTERNO DE 300MM,INCLUSIVE ACERTO DE FUNDO DE VALA.FORNECIMENTO E ASSENTAMENTO (OBS.:3%-DESGASTE DE FERRAMENTAS E EPI).</t>
  </si>
  <si>
    <t>00855</t>
  </si>
  <si>
    <t>CALHA DE CONCRETO SIMPLES, PARA ESCOAMENTO DE AGUAS PLUVIAIS, TIPO PONTA E BOLSA, DE 0300MM</t>
  </si>
  <si>
    <t>01958</t>
  </si>
  <si>
    <t>MAO-DE-OBRA DE TOPOGRAFO B (SERVICOS DECAMPO), INCLUSIVE ENCARGOS SOCIAIS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</si>
  <si>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</si>
  <si>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</si>
  <si>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</si>
  <si>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</si>
  <si>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</si>
  <si>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</si>
  <si>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</si>
  <si>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</si>
  <si>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</si>
  <si>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</si>
  <si>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</si>
  <si>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</si>
  <si>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</si>
  <si>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</si>
  <si>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</si>
  <si>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</si>
  <si>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</si>
  <si>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</si>
  <si>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</si>
  <si>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</si>
  <si>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</si>
  <si>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</si>
  <si>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</si>
  <si>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</si>
  <si>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</si>
  <si>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</si>
  <si>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</si>
  <si>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</si>
  <si>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</si>
  <si>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</si>
  <si>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</si>
  <si>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</si>
  <si>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</si>
  <si>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</si>
  <si>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</si>
  <si>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</si>
  <si>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</si>
  <si>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</si>
  <si>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3.7</t>
  </si>
  <si>
    <t>3.8</t>
  </si>
  <si>
    <t>5.1</t>
  </si>
  <si>
    <t>5.2</t>
  </si>
  <si>
    <t>5.4</t>
  </si>
  <si>
    <t>5.5</t>
  </si>
  <si>
    <t>5.6</t>
  </si>
  <si>
    <t>5.7</t>
  </si>
  <si>
    <t>5.8</t>
  </si>
  <si>
    <t>8.2</t>
  </si>
  <si>
    <t>9.0</t>
  </si>
  <si>
    <t>9.1</t>
  </si>
  <si>
    <t>9.2</t>
  </si>
  <si>
    <t>9.3</t>
  </si>
  <si>
    <t>9.4</t>
  </si>
  <si>
    <t>9.5</t>
  </si>
  <si>
    <t>9.6</t>
  </si>
  <si>
    <t>TOTAL 9.0</t>
  </si>
  <si>
    <t>10.1</t>
  </si>
  <si>
    <t>120 DIAS</t>
  </si>
  <si>
    <t>ESTRUTURAS ALVENARIA E REVESTIMENTO</t>
  </si>
  <si>
    <t>COBERTURA</t>
  </si>
  <si>
    <t>HIDROSSANITÁRIO</t>
  </si>
  <si>
    <t>10.0</t>
  </si>
  <si>
    <r>
      <t xml:space="preserve">Data-Base:   EMOP -  RJ / SINAPI e SCO-RJ - </t>
    </r>
    <r>
      <rPr>
        <b/>
        <sz val="12"/>
        <color indexed="8"/>
        <rFont val="Arial"/>
        <family val="2"/>
      </rPr>
      <t>ONERADO</t>
    </r>
    <r>
      <rPr>
        <b/>
        <sz val="12"/>
        <color indexed="8"/>
        <rFont val="Arial"/>
        <family val="2"/>
      </rPr>
      <t xml:space="preserve"> -</t>
    </r>
    <r>
      <rPr>
        <sz val="12"/>
        <color indexed="8"/>
        <rFont val="Arial"/>
        <family val="2"/>
      </rPr>
      <t xml:space="preserve"> Base JULHO - 2021</t>
    </r>
  </si>
  <si>
    <t>Serviço :  REFORMA QUADRA CM MARCELO DRABLE E IMPLANTAÇÃO DE COBERTURA</t>
  </si>
  <si>
    <t>Local:  CM MARCELO DRABLE // RUA MARIA LUIZA GONZAGA, ANO BOM, BARRA MANSA - RJ</t>
  </si>
  <si>
    <t>DATA: 28/10/2021</t>
  </si>
  <si>
    <t xml:space="preserve">PLANILHA DE ORÇAMENTO </t>
  </si>
  <si>
    <t>Data-Base:   EMOP -  RJ / SINAPI e SCO-RJ- onerado - Base JULHO - 2021</t>
  </si>
  <si>
    <t>14.002.0205-0</t>
  </si>
  <si>
    <t>GUARDA-CORPO DE FERRO EM LANCES DE 3,00 A 4,00M E 1,00M DE ALTURA,COM 4 MONTANTES DE BARRAS DE 2"X3/4",CHUMBADOS NO CONC RETO,CORRIMAO EM 2 BARRAS SOBREPOSTAS DE 3"X1/2" E 2"X3/8",DUAS TRAVESSAS HORIZONTAIS EM BARRAS DE 1.1/4"X3/8",SOLDADAS NOS MONTANTES,UMA DISTANTE 0,34M DO PISO E A OUTRA A 0,33M DESTA E DO CORRIMAO.FORNECIMENTO E COLOCACAO (OBS.:3%-DESGASTE DE FERRAMENTA E EPI 15%-PERDAS E DEMAIS MATERIAIS NECESSARIOS).</t>
  </si>
  <si>
    <t>3.9</t>
  </si>
  <si>
    <t>4.7</t>
  </si>
  <si>
    <t>PINTURA INTERNA OU EXTERNA SOBRE FERRO GALVANIZADO OU ALUMINIO,USANDO FUNDO PARA GALVANIZADO,INCLUSIVE LIXAMENTO LEVE,LI MPEZA,DESENGORDURAMENTO E DUAS DEMAOS DE ACABAMENTO COM ESMALTE SINTETICO BRILHANTE OU ACETINADO (OBS.:3%-DESGASTE DE FERRAMENTAS E EPI). (ESTRUTURA METALICA)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</si>
</sst>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0.0%"/>
    <numFmt numFmtId="167" formatCode="_([$€]* #,##0.00_);_([$€]* \(#,##0.00\);_([$€]* &quot;-&quot;??_);_(@_)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_ ;\-#,##0.00\ 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mmm/yyyy"/>
    <numFmt numFmtId="188" formatCode="&quot;R$&quot;\ #,##0.00"/>
    <numFmt numFmtId="189" formatCode="#,##0.0"/>
    <numFmt numFmtId="190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5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56" fillId="33" borderId="11" xfId="65" applyNumberFormat="1" applyFont="1" applyFill="1" applyBorder="1" applyAlignment="1">
      <alignment horizontal="center"/>
      <protection/>
    </xf>
    <xf numFmtId="49" fontId="56" fillId="33" borderId="12" xfId="59" applyNumberFormat="1" applyFont="1" applyFill="1" applyBorder="1">
      <alignment/>
      <protection/>
    </xf>
    <xf numFmtId="4" fontId="56" fillId="33" borderId="12" xfId="59" applyNumberFormat="1" applyFont="1" applyFill="1" applyBorder="1" applyAlignment="1">
      <alignment horizontal="left" readingOrder="1"/>
      <protection/>
    </xf>
    <xf numFmtId="4" fontId="56" fillId="33" borderId="11" xfId="66" applyNumberFormat="1" applyFont="1" applyFill="1" applyBorder="1" applyAlignment="1">
      <alignment horizontal="left" vertical="center"/>
      <protection/>
    </xf>
    <xf numFmtId="4" fontId="56" fillId="33" borderId="12" xfId="0" applyNumberFormat="1" applyFont="1" applyFill="1" applyBorder="1" applyAlignment="1">
      <alignment horizontal="left"/>
    </xf>
    <xf numFmtId="4" fontId="56" fillId="33" borderId="12" xfId="65" applyNumberFormat="1" applyFont="1" applyFill="1" applyBorder="1" applyAlignment="1">
      <alignment horizontal="left"/>
      <protection/>
    </xf>
    <xf numFmtId="4" fontId="56" fillId="33" borderId="13" xfId="65" applyNumberFormat="1" applyFont="1" applyFill="1" applyBorder="1" applyAlignment="1">
      <alignment horizontal="left"/>
      <protection/>
    </xf>
    <xf numFmtId="49" fontId="56" fillId="33" borderId="14" xfId="65" applyNumberFormat="1" applyFont="1" applyFill="1" applyBorder="1" applyAlignment="1">
      <alignment horizontal="center"/>
      <protection/>
    </xf>
    <xf numFmtId="49" fontId="56" fillId="33" borderId="0" xfId="59" applyNumberFormat="1" applyFont="1" applyFill="1" applyBorder="1">
      <alignment/>
      <protection/>
    </xf>
    <xf numFmtId="4" fontId="56" fillId="33" borderId="0" xfId="59" applyNumberFormat="1" applyFont="1" applyFill="1" applyBorder="1" applyAlignment="1">
      <alignment horizontal="left" readingOrder="1"/>
      <protection/>
    </xf>
    <xf numFmtId="4" fontId="56" fillId="33" borderId="14" xfId="66" applyNumberFormat="1" applyFont="1" applyFill="1" applyBorder="1" applyAlignment="1">
      <alignment horizontal="left" vertical="center"/>
      <protection/>
    </xf>
    <xf numFmtId="4" fontId="56" fillId="33" borderId="0" xfId="65" applyNumberFormat="1" applyFont="1" applyFill="1" applyBorder="1" applyAlignment="1">
      <alignment horizontal="left"/>
      <protection/>
    </xf>
    <xf numFmtId="4" fontId="56" fillId="33" borderId="0" xfId="59" applyNumberFormat="1" applyFont="1" applyFill="1" applyBorder="1" applyAlignment="1">
      <alignment horizontal="left"/>
      <protection/>
    </xf>
    <xf numFmtId="4" fontId="56" fillId="33" borderId="15" xfId="59" applyNumberFormat="1" applyFont="1" applyFill="1" applyBorder="1" applyAlignment="1">
      <alignment horizontal="left"/>
      <protection/>
    </xf>
    <xf numFmtId="4" fontId="57" fillId="33" borderId="0" xfId="59" applyNumberFormat="1" applyFont="1" applyFill="1" applyBorder="1" applyAlignment="1">
      <alignment vertical="center" wrapText="1" readingOrder="1"/>
      <protection/>
    </xf>
    <xf numFmtId="4" fontId="57" fillId="33" borderId="0" xfId="59" applyNumberFormat="1" applyFont="1" applyFill="1" applyBorder="1">
      <alignment/>
      <protection/>
    </xf>
    <xf numFmtId="49" fontId="56" fillId="33" borderId="16" xfId="65" applyNumberFormat="1" applyFont="1" applyFill="1" applyBorder="1" applyAlignment="1">
      <alignment horizontal="center"/>
      <protection/>
    </xf>
    <xf numFmtId="49" fontId="56" fillId="33" borderId="17" xfId="66" applyNumberFormat="1" applyFont="1" applyFill="1" applyBorder="1" applyAlignment="1">
      <alignment horizontal="center"/>
      <protection/>
    </xf>
    <xf numFmtId="4" fontId="57" fillId="33" borderId="17" xfId="66" applyNumberFormat="1" applyFont="1" applyFill="1" applyBorder="1" applyAlignment="1">
      <alignment/>
      <protection/>
    </xf>
    <xf numFmtId="0" fontId="4" fillId="0" borderId="13" xfId="62" applyFont="1" applyBorder="1">
      <alignment/>
      <protection/>
    </xf>
    <xf numFmtId="0" fontId="4" fillId="0" borderId="0" xfId="62" applyFont="1">
      <alignment/>
      <protection/>
    </xf>
    <xf numFmtId="0" fontId="7" fillId="0" borderId="0" xfId="62">
      <alignment/>
      <protection/>
    </xf>
    <xf numFmtId="0" fontId="4" fillId="0" borderId="15" xfId="62" applyFont="1" applyBorder="1">
      <alignment/>
      <protection/>
    </xf>
    <xf numFmtId="0" fontId="4" fillId="0" borderId="18" xfId="62" applyFont="1" applyBorder="1">
      <alignment/>
      <protection/>
    </xf>
    <xf numFmtId="0" fontId="10" fillId="0" borderId="19" xfId="62" applyFont="1" applyBorder="1" applyAlignment="1">
      <alignment horizontal="center"/>
      <protection/>
    </xf>
    <xf numFmtId="0" fontId="7" fillId="0" borderId="0" xfId="62" applyBorder="1">
      <alignment/>
      <protection/>
    </xf>
    <xf numFmtId="0" fontId="10" fillId="0" borderId="20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9" fillId="0" borderId="21" xfId="63" applyFont="1" applyFill="1" applyBorder="1" applyAlignment="1">
      <alignment vertical="top"/>
      <protection/>
    </xf>
    <xf numFmtId="39" fontId="8" fillId="0" borderId="21" xfId="62" applyNumberFormat="1" applyFont="1" applyBorder="1" applyAlignment="1">
      <alignment/>
      <protection/>
    </xf>
    <xf numFmtId="0" fontId="8" fillId="0" borderId="0" xfId="62" applyFont="1">
      <alignment/>
      <protection/>
    </xf>
    <xf numFmtId="0" fontId="9" fillId="0" borderId="19" xfId="65" applyFont="1" applyFill="1" applyBorder="1" applyAlignment="1">
      <alignment vertical="top"/>
      <protection/>
    </xf>
    <xf numFmtId="0" fontId="8" fillId="0" borderId="19" xfId="65" applyFont="1" applyFill="1" applyBorder="1" applyAlignment="1">
      <alignment horizontal="left" vertical="top"/>
      <protection/>
    </xf>
    <xf numFmtId="10" fontId="8" fillId="0" borderId="19" xfId="71" applyNumberFormat="1" applyFont="1" applyFill="1" applyBorder="1" applyAlignment="1">
      <alignment/>
    </xf>
    <xf numFmtId="39" fontId="8" fillId="0" borderId="0" xfId="62" applyNumberFormat="1" applyFont="1">
      <alignment/>
      <protection/>
    </xf>
    <xf numFmtId="0" fontId="8" fillId="0" borderId="19" xfId="65" applyFont="1" applyFill="1" applyBorder="1" applyAlignment="1">
      <alignment horizontal="justify" vertical="justify" wrapText="1"/>
      <protection/>
    </xf>
    <xf numFmtId="0" fontId="11" fillId="0" borderId="19" xfId="65" applyFont="1" applyBorder="1" applyAlignment="1">
      <alignment vertical="top"/>
      <protection/>
    </xf>
    <xf numFmtId="0" fontId="11" fillId="0" borderId="19" xfId="65" applyFont="1" applyBorder="1" applyAlignment="1">
      <alignment horizontal="left" vertical="top"/>
      <protection/>
    </xf>
    <xf numFmtId="0" fontId="12" fillId="0" borderId="0" xfId="62" applyFont="1">
      <alignment/>
      <protection/>
    </xf>
    <xf numFmtId="0" fontId="8" fillId="0" borderId="0" xfId="62" applyFont="1" applyBorder="1">
      <alignment/>
      <protection/>
    </xf>
    <xf numFmtId="4" fontId="8" fillId="0" borderId="0" xfId="62" applyNumberFormat="1" applyFont="1">
      <alignment/>
      <protection/>
    </xf>
    <xf numFmtId="0" fontId="56" fillId="34" borderId="19" xfId="0" applyFont="1" applyFill="1" applyBorder="1" applyAlignment="1">
      <alignment/>
    </xf>
    <xf numFmtId="0" fontId="37" fillId="33" borderId="0" xfId="0" applyFont="1" applyFill="1" applyAlignment="1">
      <alignment horizontal="right"/>
    </xf>
    <xf numFmtId="4" fontId="5" fillId="33" borderId="0" xfId="59" applyNumberFormat="1" applyFont="1" applyFill="1" applyBorder="1" applyAlignment="1">
      <alignment vertical="center" wrapText="1" readingOrder="1"/>
      <protection/>
    </xf>
    <xf numFmtId="4" fontId="6" fillId="33" borderId="0" xfId="66" applyNumberFormat="1" applyFont="1" applyFill="1" applyBorder="1" applyAlignment="1">
      <alignment horizontal="left"/>
      <protection/>
    </xf>
    <xf numFmtId="4" fontId="19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56" fillId="34" borderId="22" xfId="0" applyFont="1" applyFill="1" applyBorder="1" applyAlignment="1">
      <alignment/>
    </xf>
    <xf numFmtId="0" fontId="56" fillId="34" borderId="23" xfId="0" applyFont="1" applyFill="1" applyBorder="1" applyAlignment="1">
      <alignment/>
    </xf>
    <xf numFmtId="0" fontId="56" fillId="34" borderId="21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 vertical="justify" wrapText="1"/>
    </xf>
    <xf numFmtId="0" fontId="6" fillId="33" borderId="21" xfId="0" applyFont="1" applyFill="1" applyBorder="1" applyAlignment="1">
      <alignment horizontal="right"/>
    </xf>
    <xf numFmtId="4" fontId="37" fillId="33" borderId="17" xfId="0" applyNumberFormat="1" applyFont="1" applyFill="1" applyBorder="1" applyAlignment="1">
      <alignment horizontal="right"/>
    </xf>
    <xf numFmtId="4" fontId="37" fillId="33" borderId="22" xfId="0" applyNumberFormat="1" applyFont="1" applyFill="1" applyBorder="1" applyAlignment="1">
      <alignment horizontal="right"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4" fontId="3" fillId="0" borderId="0" xfId="67" applyNumberFormat="1" applyFont="1" applyFill="1" applyBorder="1" applyAlignment="1">
      <alignment horizontal="center" vertical="center"/>
      <protection/>
    </xf>
    <xf numFmtId="4" fontId="3" fillId="0" borderId="0" xfId="67" applyNumberFormat="1" applyFont="1" applyFill="1" applyBorder="1" applyAlignment="1">
      <alignment horizontal="right"/>
      <protection/>
    </xf>
    <xf numFmtId="4" fontId="3" fillId="0" borderId="0" xfId="68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67" applyFont="1" applyFill="1" applyBorder="1" applyAlignment="1">
      <alignment horizontal="justify" vertical="justify" wrapText="1"/>
      <protection/>
    </xf>
    <xf numFmtId="4" fontId="3" fillId="0" borderId="0" xfId="67" applyNumberFormat="1" applyFont="1" applyFill="1" applyBorder="1" applyAlignment="1">
      <alignment horizontal="justify" vertical="justify" wrapText="1"/>
      <protection/>
    </xf>
    <xf numFmtId="44" fontId="8" fillId="0" borderId="19" xfId="50" applyFont="1" applyFill="1" applyBorder="1" applyAlignment="1">
      <alignment/>
    </xf>
    <xf numFmtId="10" fontId="8" fillId="35" borderId="19" xfId="71" applyNumberFormat="1" applyFont="1" applyFill="1" applyBorder="1" applyAlignment="1">
      <alignment/>
    </xf>
    <xf numFmtId="4" fontId="8" fillId="35" borderId="20" xfId="56" applyNumberFormat="1" applyFont="1" applyFill="1" applyBorder="1">
      <alignment/>
      <protection/>
    </xf>
    <xf numFmtId="0" fontId="8" fillId="35" borderId="24" xfId="56" applyFont="1" applyFill="1" applyBorder="1">
      <alignment/>
      <protection/>
    </xf>
    <xf numFmtId="166" fontId="9" fillId="35" borderId="24" xfId="71" applyNumberFormat="1" applyFont="1" applyFill="1" applyBorder="1" applyAlignment="1">
      <alignment horizontal="center"/>
    </xf>
    <xf numFmtId="0" fontId="8" fillId="35" borderId="25" xfId="62" applyFont="1" applyFill="1" applyBorder="1">
      <alignment/>
      <protection/>
    </xf>
    <xf numFmtId="44" fontId="9" fillId="0" borderId="19" xfId="50" applyFont="1" applyFill="1" applyBorder="1" applyAlignment="1">
      <alignment/>
    </xf>
    <xf numFmtId="0" fontId="18" fillId="0" borderId="0" xfId="67" applyFont="1" applyFill="1" applyBorder="1" applyAlignment="1">
      <alignment horizontal="justify" vertical="justify" wrapText="1"/>
      <protection/>
    </xf>
    <xf numFmtId="4" fontId="18" fillId="0" borderId="0" xfId="68" applyNumberFormat="1" applyFont="1" applyFill="1" applyBorder="1" applyAlignment="1">
      <alignment horizontal="right"/>
      <protection/>
    </xf>
    <xf numFmtId="4" fontId="18" fillId="0" borderId="0" xfId="0" applyNumberFormat="1" applyFont="1" applyFill="1" applyBorder="1" applyAlignment="1">
      <alignment horizontal="right"/>
    </xf>
    <xf numFmtId="4" fontId="18" fillId="0" borderId="0" xfId="67" applyNumberFormat="1" applyFont="1" applyFill="1" applyBorder="1" applyAlignment="1">
      <alignment horizontal="justify" vertical="justify" wrapText="1"/>
      <protection/>
    </xf>
    <xf numFmtId="0" fontId="3" fillId="0" borderId="0" xfId="67" applyFont="1" applyFill="1" applyBorder="1" applyAlignment="1">
      <alignment horizontal="justify" vertical="top" wrapText="1"/>
      <protection/>
    </xf>
    <xf numFmtId="4" fontId="3" fillId="0" borderId="0" xfId="67" applyNumberFormat="1" applyFont="1" applyFill="1" applyBorder="1" applyAlignment="1">
      <alignment/>
      <protection/>
    </xf>
    <xf numFmtId="0" fontId="6" fillId="0" borderId="23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 vertical="justify" wrapText="1"/>
    </xf>
    <xf numFmtId="4" fontId="37" fillId="0" borderId="22" xfId="0" applyNumberFormat="1" applyFont="1" applyFill="1" applyBorder="1" applyAlignment="1">
      <alignment horizontal="right"/>
    </xf>
    <xf numFmtId="10" fontId="9" fillId="0" borderId="21" xfId="63" applyNumberFormat="1" applyFont="1" applyFill="1" applyBorder="1" applyAlignment="1">
      <alignment vertical="top"/>
      <protection/>
    </xf>
    <xf numFmtId="10" fontId="8" fillId="0" borderId="19" xfId="50" applyNumberFormat="1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18" fillId="0" borderId="0" xfId="67" applyFont="1" applyFill="1" applyBorder="1" applyAlignment="1">
      <alignment horizontal="center" vertical="center"/>
      <protection/>
    </xf>
    <xf numFmtId="0" fontId="18" fillId="0" borderId="0" xfId="67" applyFont="1" applyFill="1" applyBorder="1" applyAlignment="1">
      <alignment horizontal="center" vertical="center" wrapText="1"/>
      <protection/>
    </xf>
    <xf numFmtId="0" fontId="18" fillId="0" borderId="0" xfId="67" applyFont="1" applyFill="1" applyBorder="1" applyAlignment="1">
      <alignment horizontal="justify" vertical="top" wrapText="1"/>
      <protection/>
    </xf>
    <xf numFmtId="4" fontId="18" fillId="0" borderId="0" xfId="67" applyNumberFormat="1" applyFont="1" applyFill="1" applyBorder="1" applyAlignment="1">
      <alignment horizontal="center" vertical="center"/>
      <protection/>
    </xf>
    <xf numFmtId="4" fontId="18" fillId="0" borderId="0" xfId="67" applyNumberFormat="1" applyFont="1" applyFill="1" applyBorder="1" applyAlignment="1">
      <alignment/>
      <protection/>
    </xf>
    <xf numFmtId="4" fontId="18" fillId="0" borderId="0" xfId="67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0" fontId="3" fillId="0" borderId="0" xfId="67" applyFont="1" applyFill="1" applyBorder="1" applyAlignment="1">
      <alignment horizontal="center" vertical="justify" wrapText="1"/>
      <protection/>
    </xf>
    <xf numFmtId="0" fontId="3" fillId="13" borderId="19" xfId="67" applyFont="1" applyFill="1" applyBorder="1" applyAlignment="1">
      <alignment horizontal="center" vertical="center"/>
      <protection/>
    </xf>
    <xf numFmtId="0" fontId="3" fillId="13" borderId="19" xfId="67" applyFont="1" applyFill="1" applyBorder="1" applyAlignment="1">
      <alignment horizontal="center" vertical="center" wrapText="1"/>
      <protection/>
    </xf>
    <xf numFmtId="0" fontId="3" fillId="13" borderId="19" xfId="67" applyFont="1" applyFill="1" applyBorder="1" applyAlignment="1">
      <alignment horizontal="justify" vertical="top" wrapText="1"/>
      <protection/>
    </xf>
    <xf numFmtId="4" fontId="3" fillId="13" borderId="19" xfId="67" applyNumberFormat="1" applyFont="1" applyFill="1" applyBorder="1" applyAlignment="1">
      <alignment horizontal="center" vertical="center"/>
      <protection/>
    </xf>
    <xf numFmtId="4" fontId="3" fillId="13" borderId="19" xfId="67" applyNumberFormat="1" applyFont="1" applyFill="1" applyBorder="1" applyAlignment="1">
      <alignment/>
      <protection/>
    </xf>
    <xf numFmtId="4" fontId="3" fillId="13" borderId="19" xfId="67" applyNumberFormat="1" applyFont="1" applyFill="1" applyBorder="1" applyAlignment="1">
      <alignment horizontal="right"/>
      <protection/>
    </xf>
    <xf numFmtId="4" fontId="3" fillId="13" borderId="19" xfId="68" applyNumberFormat="1" applyFont="1" applyFill="1" applyBorder="1" applyAlignment="1">
      <alignment horizontal="right"/>
      <protection/>
    </xf>
    <xf numFmtId="4" fontId="3" fillId="13" borderId="19" xfId="0" applyNumberFormat="1" applyFont="1" applyFill="1" applyBorder="1" applyAlignment="1">
      <alignment horizontal="right"/>
    </xf>
    <xf numFmtId="0" fontId="3" fillId="13" borderId="0" xfId="0" applyFont="1" applyFill="1" applyBorder="1" applyAlignment="1">
      <alignment/>
    </xf>
    <xf numFmtId="0" fontId="18" fillId="0" borderId="0" xfId="67" applyFont="1" applyFill="1" applyBorder="1" applyAlignment="1">
      <alignment horizontal="center" vertical="justify" wrapText="1"/>
      <protection/>
    </xf>
    <xf numFmtId="0" fontId="3" fillId="13" borderId="19" xfId="67" applyFont="1" applyFill="1" applyBorder="1" applyAlignment="1">
      <alignment horizontal="justify" vertical="justify" wrapText="1"/>
      <protection/>
    </xf>
    <xf numFmtId="0" fontId="3" fillId="13" borderId="19" xfId="67" applyFont="1" applyFill="1" applyBorder="1" applyAlignment="1">
      <alignment horizontal="center" vertical="justify" wrapText="1"/>
      <protection/>
    </xf>
    <xf numFmtId="4" fontId="3" fillId="13" borderId="19" xfId="67" applyNumberFormat="1" applyFont="1" applyFill="1" applyBorder="1" applyAlignment="1">
      <alignment horizontal="justify" vertical="justify" wrapText="1"/>
      <protection/>
    </xf>
    <xf numFmtId="0" fontId="3" fillId="13" borderId="19" xfId="67" applyFont="1" applyFill="1" applyBorder="1" applyAlignment="1">
      <alignment horizontal="left" vertical="justify" wrapText="1"/>
      <protection/>
    </xf>
    <xf numFmtId="0" fontId="3" fillId="13" borderId="0" xfId="67" applyFont="1" applyFill="1" applyBorder="1" applyAlignment="1">
      <alignment horizontal="justify" vertical="justify" wrapText="1"/>
      <protection/>
    </xf>
    <xf numFmtId="4" fontId="3" fillId="13" borderId="0" xfId="67" applyNumberFormat="1" applyFont="1" applyFill="1" applyBorder="1" applyAlignment="1">
      <alignment horizontal="justify" vertical="justify" wrapText="1"/>
      <protection/>
    </xf>
    <xf numFmtId="4" fontId="3" fillId="9" borderId="0" xfId="68" applyNumberFormat="1" applyFont="1" applyFill="1" applyBorder="1" applyAlignment="1">
      <alignment horizontal="right"/>
      <protection/>
    </xf>
    <xf numFmtId="4" fontId="3" fillId="9" borderId="0" xfId="0" applyNumberFormat="1" applyFont="1" applyFill="1" applyBorder="1" applyAlignment="1">
      <alignment horizontal="right"/>
    </xf>
    <xf numFmtId="0" fontId="18" fillId="0" borderId="0" xfId="68" applyFont="1" applyFill="1" applyBorder="1" applyAlignment="1">
      <alignment horizontal="justify" vertical="justify" wrapText="1"/>
      <protection/>
    </xf>
    <xf numFmtId="0" fontId="3" fillId="0" borderId="0" xfId="68" applyFont="1" applyFill="1" applyBorder="1" applyAlignment="1">
      <alignment horizontal="justify" vertical="justify" wrapText="1"/>
      <protection/>
    </xf>
    <xf numFmtId="4" fontId="3" fillId="0" borderId="0" xfId="68" applyNumberFormat="1" applyFont="1" applyFill="1" applyBorder="1" applyAlignment="1">
      <alignment horizontal="justify" vertical="justify" wrapText="1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justify" vertical="justify" wrapText="1"/>
    </xf>
    <xf numFmtId="0" fontId="3" fillId="0" borderId="0" xfId="67" applyFont="1" applyFill="1" applyBorder="1" applyAlignment="1">
      <alignment horizontal="left" vertical="justify" wrapText="1"/>
      <protection/>
    </xf>
    <xf numFmtId="0" fontId="18" fillId="13" borderId="19" xfId="67" applyFont="1" applyFill="1" applyBorder="1" applyAlignment="1">
      <alignment horizontal="justify" vertical="justify" wrapText="1"/>
      <protection/>
    </xf>
    <xf numFmtId="4" fontId="37" fillId="33" borderId="21" xfId="0" applyNumberFormat="1" applyFont="1" applyFill="1" applyBorder="1" applyAlignment="1">
      <alignment horizontal="right"/>
    </xf>
    <xf numFmtId="4" fontId="6" fillId="33" borderId="22" xfId="0" applyNumberFormat="1" applyFont="1" applyFill="1" applyBorder="1" applyAlignment="1">
      <alignment horizontal="right"/>
    </xf>
    <xf numFmtId="4" fontId="37" fillId="0" borderId="21" xfId="0" applyNumberFormat="1" applyFont="1" applyFill="1" applyBorder="1" applyAlignment="1">
      <alignment horizontal="right"/>
    </xf>
    <xf numFmtId="0" fontId="56" fillId="34" borderId="0" xfId="0" applyFont="1" applyFill="1" applyBorder="1" applyAlignment="1">
      <alignment/>
    </xf>
    <xf numFmtId="0" fontId="56" fillId="34" borderId="19" xfId="0" applyFont="1" applyFill="1" applyBorder="1" applyAlignment="1">
      <alignment/>
    </xf>
    <xf numFmtId="0" fontId="56" fillId="34" borderId="22" xfId="0" applyFont="1" applyFill="1" applyBorder="1" applyAlignment="1">
      <alignment/>
    </xf>
    <xf numFmtId="0" fontId="56" fillId="34" borderId="23" xfId="0" applyFont="1" applyFill="1" applyBorder="1" applyAlignment="1">
      <alignment/>
    </xf>
    <xf numFmtId="0" fontId="56" fillId="34" borderId="21" xfId="0" applyFont="1" applyFill="1" applyBorder="1" applyAlignment="1">
      <alignment/>
    </xf>
    <xf numFmtId="4" fontId="3" fillId="13" borderId="19" xfId="68" applyNumberFormat="1" applyFont="1" applyFill="1" applyBorder="1" applyAlignment="1">
      <alignment horizontal="right"/>
      <protection/>
    </xf>
    <xf numFmtId="4" fontId="3" fillId="13" borderId="19" xfId="0" applyNumberFormat="1" applyFont="1" applyFill="1" applyBorder="1" applyAlignment="1">
      <alignment horizontal="right"/>
    </xf>
    <xf numFmtId="0" fontId="3" fillId="13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10" fillId="0" borderId="21" xfId="62" applyFont="1" applyBorder="1" applyAlignment="1">
      <alignment horizontal="center"/>
      <protection/>
    </xf>
    <xf numFmtId="4" fontId="8" fillId="0" borderId="0" xfId="59" applyNumberFormat="1" applyFont="1" applyFill="1" applyBorder="1" applyAlignment="1">
      <alignment horizontal="center" vertical="center" wrapText="1"/>
      <protection/>
    </xf>
    <xf numFmtId="44" fontId="9" fillId="0" borderId="12" xfId="59" applyNumberFormat="1" applyFont="1" applyBorder="1" applyAlignment="1">
      <alignment horizontal="center" vertical="center" wrapText="1" readingOrder="1"/>
      <protection/>
    </xf>
    <xf numFmtId="44" fontId="9" fillId="0" borderId="0" xfId="59" applyNumberFormat="1" applyFont="1" applyBorder="1" applyAlignment="1">
      <alignment horizontal="center" vertical="center" wrapText="1" readingOrder="1"/>
      <protection/>
    </xf>
    <xf numFmtId="4" fontId="8" fillId="0" borderId="0" xfId="59" applyNumberFormat="1" applyFont="1" applyFill="1" applyBorder="1" applyAlignment="1">
      <alignment horizontal="center" vertical="center" wrapText="1" readingOrder="1"/>
      <protection/>
    </xf>
    <xf numFmtId="0" fontId="8" fillId="0" borderId="0" xfId="66" applyFont="1" applyFill="1" applyBorder="1" applyAlignment="1">
      <alignment horizontal="center"/>
      <protection/>
    </xf>
    <xf numFmtId="4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17" xfId="66" applyNumberFormat="1" applyFont="1" applyFill="1" applyBorder="1" applyAlignment="1">
      <alignment horizontal="center" vertical="center" wrapText="1"/>
      <protection/>
    </xf>
    <xf numFmtId="49" fontId="56" fillId="33" borderId="23" xfId="65" applyNumberFormat="1" applyFont="1" applyFill="1" applyBorder="1" applyAlignment="1">
      <alignment horizontal="center" vertical="center" wrapText="1"/>
      <protection/>
    </xf>
    <xf numFmtId="0" fontId="57" fillId="33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57" fillId="33" borderId="14" xfId="66" applyNumberFormat="1" applyFont="1" applyFill="1" applyBorder="1" applyAlignment="1">
      <alignment horizontal="left" vertical="center"/>
      <protection/>
    </xf>
    <xf numFmtId="4" fontId="57" fillId="33" borderId="0" xfId="66" applyNumberFormat="1" applyFont="1" applyFill="1" applyBorder="1" applyAlignment="1">
      <alignment horizontal="left" vertical="center"/>
      <protection/>
    </xf>
    <xf numFmtId="4" fontId="57" fillId="33" borderId="15" xfId="66" applyNumberFormat="1" applyFont="1" applyFill="1" applyBorder="1" applyAlignment="1">
      <alignment horizontal="left" vertical="center"/>
      <protection/>
    </xf>
    <xf numFmtId="0" fontId="5" fillId="33" borderId="14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57" fillId="33" borderId="14" xfId="59" applyNumberFormat="1" applyFont="1" applyFill="1" applyBorder="1" applyAlignment="1">
      <alignment horizontal="left" vertical="center"/>
      <protection/>
    </xf>
    <xf numFmtId="4" fontId="57" fillId="33" borderId="0" xfId="59" applyNumberFormat="1" applyFont="1" applyFill="1" applyBorder="1" applyAlignment="1">
      <alignment horizontal="left" vertical="center"/>
      <protection/>
    </xf>
    <xf numFmtId="4" fontId="57" fillId="33" borderId="15" xfId="59" applyNumberFormat="1" applyFont="1" applyFill="1" applyBorder="1" applyAlignment="1">
      <alignment horizontal="left" vertical="center"/>
      <protection/>
    </xf>
    <xf numFmtId="0" fontId="5" fillId="33" borderId="16" xfId="66" applyFont="1" applyFill="1" applyBorder="1" applyAlignment="1">
      <alignment horizontal="left"/>
      <protection/>
    </xf>
    <xf numFmtId="0" fontId="5" fillId="33" borderId="17" xfId="66" applyFont="1" applyFill="1" applyBorder="1" applyAlignment="1">
      <alignment horizontal="left"/>
      <protection/>
    </xf>
    <xf numFmtId="0" fontId="5" fillId="33" borderId="18" xfId="66" applyFont="1" applyFill="1" applyBorder="1" applyAlignment="1">
      <alignment horizontal="left"/>
      <protection/>
    </xf>
    <xf numFmtId="10" fontId="9" fillId="0" borderId="23" xfId="71" applyNumberFormat="1" applyFont="1" applyBorder="1" applyAlignment="1">
      <alignment horizontal="center"/>
    </xf>
    <xf numFmtId="10" fontId="9" fillId="0" borderId="22" xfId="71" applyNumberFormat="1" applyFont="1" applyBorder="1" applyAlignment="1">
      <alignment horizontal="center"/>
    </xf>
    <xf numFmtId="0" fontId="10" fillId="0" borderId="23" xfId="62" applyFont="1" applyBorder="1" applyAlignment="1">
      <alignment horizontal="center"/>
      <protection/>
    </xf>
    <xf numFmtId="0" fontId="10" fillId="0" borderId="21" xfId="62" applyFont="1" applyBorder="1" applyAlignment="1">
      <alignment horizontal="center"/>
      <protection/>
    </xf>
    <xf numFmtId="0" fontId="10" fillId="0" borderId="22" xfId="62" applyFont="1" applyBorder="1" applyAlignment="1">
      <alignment horizontal="center"/>
      <protection/>
    </xf>
    <xf numFmtId="4" fontId="9" fillId="0" borderId="23" xfId="64" applyNumberFormat="1" applyFont="1" applyBorder="1" applyAlignment="1">
      <alignment horizontal="center"/>
      <protection/>
    </xf>
    <xf numFmtId="4" fontId="9" fillId="0" borderId="22" xfId="64" applyNumberFormat="1" applyFont="1" applyBorder="1" applyAlignment="1">
      <alignment horizontal="center"/>
      <protection/>
    </xf>
    <xf numFmtId="39" fontId="9" fillId="0" borderId="23" xfId="62" applyNumberFormat="1" applyFont="1" applyBorder="1" applyAlignment="1">
      <alignment horizontal="center"/>
      <protection/>
    </xf>
    <xf numFmtId="39" fontId="9" fillId="0" borderId="22" xfId="62" applyNumberFormat="1" applyFont="1" applyBorder="1" applyAlignment="1">
      <alignment horizontal="center"/>
      <protection/>
    </xf>
    <xf numFmtId="0" fontId="9" fillId="0" borderId="23" xfId="66" applyFont="1" applyFill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4" fontId="8" fillId="0" borderId="14" xfId="59" applyNumberFormat="1" applyFont="1" applyFill="1" applyBorder="1" applyAlignment="1">
      <alignment horizontal="center" vertical="center" wrapText="1"/>
      <protection/>
    </xf>
    <xf numFmtId="4" fontId="8" fillId="0" borderId="0" xfId="59" applyNumberFormat="1" applyFont="1" applyFill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center" wrapText="1"/>
      <protection/>
    </xf>
    <xf numFmtId="0" fontId="10" fillId="0" borderId="24" xfId="62" applyFont="1" applyBorder="1" applyAlignment="1">
      <alignment horizontal="center" wrapText="1"/>
      <protection/>
    </xf>
    <xf numFmtId="0" fontId="10" fillId="0" borderId="25" xfId="62" applyFont="1" applyBorder="1" applyAlignment="1">
      <alignment horizontal="center" wrapText="1"/>
      <protection/>
    </xf>
    <xf numFmtId="44" fontId="9" fillId="0" borderId="11" xfId="59" applyNumberFormat="1" applyFont="1" applyBorder="1" applyAlignment="1">
      <alignment horizontal="center" vertical="center" wrapText="1" readingOrder="1"/>
      <protection/>
    </xf>
    <xf numFmtId="44" fontId="9" fillId="0" borderId="12" xfId="59" applyNumberFormat="1" applyFont="1" applyBorder="1" applyAlignment="1">
      <alignment horizontal="center" vertical="center" wrapText="1" readingOrder="1"/>
      <protection/>
    </xf>
    <xf numFmtId="44" fontId="9" fillId="0" borderId="14" xfId="59" applyNumberFormat="1" applyFont="1" applyBorder="1" applyAlignment="1">
      <alignment horizontal="center" vertical="center" wrapText="1" readingOrder="1"/>
      <protection/>
    </xf>
    <xf numFmtId="44" fontId="9" fillId="0" borderId="0" xfId="59" applyNumberFormat="1" applyFont="1" applyBorder="1" applyAlignment="1">
      <alignment horizontal="center" vertical="center" wrapText="1" readingOrder="1"/>
      <protection/>
    </xf>
    <xf numFmtId="4" fontId="8" fillId="0" borderId="14" xfId="59" applyNumberFormat="1" applyFont="1" applyFill="1" applyBorder="1" applyAlignment="1">
      <alignment horizontal="center" vertical="center" wrapText="1" readingOrder="1"/>
      <protection/>
    </xf>
    <xf numFmtId="4" fontId="8" fillId="0" borderId="0" xfId="59" applyNumberFormat="1" applyFont="1" applyFill="1" applyBorder="1" applyAlignment="1">
      <alignment horizontal="center" vertical="center" wrapText="1" readingOrder="1"/>
      <protection/>
    </xf>
    <xf numFmtId="0" fontId="8" fillId="0" borderId="14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/>
      <protection/>
    </xf>
    <xf numFmtId="1" fontId="9" fillId="0" borderId="23" xfId="62" applyNumberFormat="1" applyFont="1" applyBorder="1" applyAlignment="1">
      <alignment horizontal="left" vertical="top"/>
      <protection/>
    </xf>
    <xf numFmtId="1" fontId="9" fillId="0" borderId="22" xfId="62" applyNumberFormat="1" applyFont="1" applyBorder="1" applyAlignment="1">
      <alignment horizontal="left" vertical="top"/>
      <protection/>
    </xf>
    <xf numFmtId="4" fontId="8" fillId="0" borderId="14" xfId="66" applyNumberFormat="1" applyFont="1" applyFill="1" applyBorder="1" applyAlignment="1">
      <alignment horizontal="center" vertical="center" wrapText="1"/>
      <protection/>
    </xf>
    <xf numFmtId="4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16" xfId="66" applyNumberFormat="1" applyFont="1" applyFill="1" applyBorder="1" applyAlignment="1">
      <alignment horizontal="center" vertical="center" wrapText="1"/>
      <protection/>
    </xf>
    <xf numFmtId="4" fontId="8" fillId="0" borderId="17" xfId="66" applyNumberFormat="1" applyFont="1" applyFill="1" applyBorder="1" applyAlignment="1">
      <alignment horizontal="center" vertical="center" wrapText="1"/>
      <protection/>
    </xf>
    <xf numFmtId="0" fontId="9" fillId="0" borderId="19" xfId="63" applyFont="1" applyFill="1" applyBorder="1" applyAlignment="1">
      <alignment horizontal="center" vertical="top"/>
      <protection/>
    </xf>
    <xf numFmtId="0" fontId="9" fillId="0" borderId="23" xfId="62" applyFont="1" applyBorder="1" applyAlignment="1">
      <alignment horizontal="left" vertical="top"/>
      <protection/>
    </xf>
    <xf numFmtId="0" fontId="9" fillId="0" borderId="22" xfId="62" applyFont="1" applyBorder="1" applyAlignment="1">
      <alignment horizontal="left" vertical="top"/>
      <protection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 vertical="justify" wrapText="1"/>
    </xf>
    <xf numFmtId="4" fontId="37" fillId="0" borderId="18" xfId="0" applyNumberFormat="1" applyFont="1" applyFill="1" applyBorder="1" applyAlignment="1">
      <alignment horizontal="right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Neutra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_CRONOGRAMA" xfId="62"/>
    <cellStyle name="Normal_CRUZEI~1" xfId="63"/>
    <cellStyle name="Normal_Orçamento nº057-2003- Esc. Munic. AMPARO revisão" xfId="64"/>
    <cellStyle name="Normal_P_Getulio Vargas" xfId="65"/>
    <cellStyle name="Normal_P_Getulio Vargas 2" xfId="66"/>
    <cellStyle name="Normal_RUAS 3,4,7 e 8 R-1" xfId="67"/>
    <cellStyle name="Normal_RUAS 3,4,7 e 8 R-1 2 2" xfId="68"/>
    <cellStyle name="Nota" xfId="69"/>
    <cellStyle name="Percent" xfId="70"/>
    <cellStyle name="Porcentagem 2" xfId="71"/>
    <cellStyle name="Porcentagem 3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1 1" xfId="79"/>
    <cellStyle name="Título 1 1 1" xfId="80"/>
    <cellStyle name="Título 1 1_PLAN   (2)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6</xdr:row>
      <xdr:rowOff>57150</xdr:rowOff>
    </xdr:to>
    <xdr:sp>
      <xdr:nvSpPr>
        <xdr:cNvPr id="1" name="Picture 2"/>
        <xdr:cNvSpPr>
          <a:spLocks noChangeAspect="1"/>
        </xdr:cNvSpPr>
      </xdr:nvSpPr>
      <xdr:spPr>
        <a:xfrm>
          <a:off x="0" y="0"/>
          <a:ext cx="1381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114300</xdr:rowOff>
    </xdr:from>
    <xdr:to>
      <xdr:col>1</xdr:col>
      <xdr:colOff>1143000</xdr:colOff>
      <xdr:row>7</xdr:row>
      <xdr:rowOff>161925</xdr:rowOff>
    </xdr:to>
    <xdr:sp>
      <xdr:nvSpPr>
        <xdr:cNvPr id="2" name="Picture 2"/>
        <xdr:cNvSpPr>
          <a:spLocks noChangeAspect="1"/>
        </xdr:cNvSpPr>
      </xdr:nvSpPr>
      <xdr:spPr>
        <a:xfrm>
          <a:off x="371475" y="114300"/>
          <a:ext cx="13811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6</xdr:row>
      <xdr:rowOff>57150</xdr:rowOff>
    </xdr:to>
    <xdr:sp>
      <xdr:nvSpPr>
        <xdr:cNvPr id="1" name="Picture 2"/>
        <xdr:cNvSpPr>
          <a:spLocks noChangeAspect="1"/>
        </xdr:cNvSpPr>
      </xdr:nvSpPr>
      <xdr:spPr>
        <a:xfrm>
          <a:off x="0" y="0"/>
          <a:ext cx="13811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114300</xdr:rowOff>
    </xdr:from>
    <xdr:to>
      <xdr:col>1</xdr:col>
      <xdr:colOff>1143000</xdr:colOff>
      <xdr:row>7</xdr:row>
      <xdr:rowOff>161925</xdr:rowOff>
    </xdr:to>
    <xdr:sp>
      <xdr:nvSpPr>
        <xdr:cNvPr id="2" name="Picture 2"/>
        <xdr:cNvSpPr>
          <a:spLocks noChangeAspect="1"/>
        </xdr:cNvSpPr>
      </xdr:nvSpPr>
      <xdr:spPr>
        <a:xfrm>
          <a:off x="371475" y="114300"/>
          <a:ext cx="13811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171450</xdr:rowOff>
    </xdr:from>
    <xdr:to>
      <xdr:col>10</xdr:col>
      <xdr:colOff>2114550</xdr:colOff>
      <xdr:row>7</xdr:row>
      <xdr:rowOff>238125</xdr:rowOff>
    </xdr:to>
    <xdr:sp>
      <xdr:nvSpPr>
        <xdr:cNvPr id="1" name="Picture 2"/>
        <xdr:cNvSpPr>
          <a:spLocks noChangeAspect="1"/>
        </xdr:cNvSpPr>
      </xdr:nvSpPr>
      <xdr:spPr>
        <a:xfrm>
          <a:off x="20850225" y="1181100"/>
          <a:ext cx="207645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190500</xdr:rowOff>
    </xdr:from>
    <xdr:to>
      <xdr:col>1</xdr:col>
      <xdr:colOff>3162300</xdr:colOff>
      <xdr:row>6</xdr:row>
      <xdr:rowOff>209550</xdr:rowOff>
    </xdr:to>
    <xdr:sp>
      <xdr:nvSpPr>
        <xdr:cNvPr id="2" name="Picture 2"/>
        <xdr:cNvSpPr>
          <a:spLocks noChangeAspect="1"/>
        </xdr:cNvSpPr>
      </xdr:nvSpPr>
      <xdr:spPr>
        <a:xfrm>
          <a:off x="1724025" y="695325"/>
          <a:ext cx="2286000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1914525</xdr:colOff>
      <xdr:row>1</xdr:row>
      <xdr:rowOff>200025</xdr:rowOff>
    </xdr:from>
    <xdr:to>
      <xdr:col>8</xdr:col>
      <xdr:colOff>0</xdr:colOff>
      <xdr:row>6</xdr:row>
      <xdr:rowOff>228600</xdr:rowOff>
    </xdr:to>
    <xdr:sp>
      <xdr:nvSpPr>
        <xdr:cNvPr id="3" name="Picture 2"/>
        <xdr:cNvSpPr>
          <a:spLocks noChangeAspect="1"/>
        </xdr:cNvSpPr>
      </xdr:nvSpPr>
      <xdr:spPr>
        <a:xfrm>
          <a:off x="16554450" y="704850"/>
          <a:ext cx="1905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8"/>
  <sheetViews>
    <sheetView view="pageBreakPreview" zoomScale="70" zoomScaleSheetLayoutView="70" zoomScalePageLayoutView="0" workbookViewId="0" topLeftCell="A665">
      <selection activeCell="A495" sqref="A495:IV495"/>
    </sheetView>
  </sheetViews>
  <sheetFormatPr defaultColWidth="9.140625" defaultRowHeight="15"/>
  <cols>
    <col min="2" max="2" width="23.421875" style="0" customWidth="1"/>
    <col min="3" max="3" width="90.42187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0" max="10" width="32.8515625" style="0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46" t="s">
        <v>221</v>
      </c>
      <c r="E3" s="147"/>
      <c r="F3" s="147"/>
      <c r="G3" s="148"/>
    </row>
    <row r="4" spans="1:7" ht="15.75" customHeight="1">
      <c r="A4" s="9"/>
      <c r="B4" s="10"/>
      <c r="C4" s="16" t="s">
        <v>336</v>
      </c>
      <c r="D4" s="149" t="s">
        <v>761</v>
      </c>
      <c r="E4" s="150"/>
      <c r="F4" s="150"/>
      <c r="G4" s="151"/>
    </row>
    <row r="5" spans="1:7" ht="30" customHeight="1">
      <c r="A5" s="9"/>
      <c r="B5" s="10"/>
      <c r="C5" s="45" t="s">
        <v>373</v>
      </c>
      <c r="D5" s="152" t="s">
        <v>126</v>
      </c>
      <c r="E5" s="153"/>
      <c r="F5" s="153"/>
      <c r="G5" s="154"/>
    </row>
    <row r="6" spans="1:7" ht="15.75">
      <c r="A6" s="9"/>
      <c r="B6" s="10"/>
      <c r="C6" s="17" t="s">
        <v>758</v>
      </c>
      <c r="D6" s="155" t="s">
        <v>127</v>
      </c>
      <c r="E6" s="156"/>
      <c r="F6" s="156"/>
      <c r="G6" s="157"/>
    </row>
    <row r="7" spans="1:7" ht="15.75">
      <c r="A7" s="9"/>
      <c r="B7" s="10"/>
      <c r="C7" s="46"/>
      <c r="D7" s="155" t="s">
        <v>233</v>
      </c>
      <c r="E7" s="156"/>
      <c r="F7" s="156"/>
      <c r="G7" s="157"/>
    </row>
    <row r="8" spans="1:7" ht="15.75">
      <c r="A8" s="18"/>
      <c r="B8" s="19"/>
      <c r="C8" s="20"/>
      <c r="D8" s="158" t="s">
        <v>63</v>
      </c>
      <c r="E8" s="159"/>
      <c r="F8" s="159"/>
      <c r="G8" s="160"/>
    </row>
    <row r="9" spans="1:7" ht="15">
      <c r="A9" s="140" t="s">
        <v>29</v>
      </c>
      <c r="B9" s="141"/>
      <c r="C9" s="141"/>
      <c r="D9" s="141"/>
      <c r="E9" s="141"/>
      <c r="F9" s="141"/>
      <c r="G9" s="141"/>
    </row>
    <row r="10" spans="1:9" s="48" customFormat="1" ht="12.75" customHeight="1">
      <c r="A10" s="142" t="s">
        <v>30</v>
      </c>
      <c r="B10" s="143" t="s">
        <v>64</v>
      </c>
      <c r="C10" s="143" t="s">
        <v>31</v>
      </c>
      <c r="D10" s="142" t="s">
        <v>12</v>
      </c>
      <c r="E10" s="144" t="s">
        <v>32</v>
      </c>
      <c r="F10" s="145" t="s">
        <v>33</v>
      </c>
      <c r="G10" s="145"/>
      <c r="H10" s="145"/>
      <c r="I10" s="145"/>
    </row>
    <row r="11" spans="1:10" s="48" customFormat="1" ht="12.75" customHeight="1">
      <c r="A11" s="142"/>
      <c r="B11" s="143"/>
      <c r="C11" s="143"/>
      <c r="D11" s="142"/>
      <c r="E11" s="144"/>
      <c r="F11" s="49" t="s">
        <v>89</v>
      </c>
      <c r="G11" s="49" t="s">
        <v>90</v>
      </c>
      <c r="H11" s="49" t="s">
        <v>91</v>
      </c>
      <c r="I11" s="47" t="s">
        <v>92</v>
      </c>
      <c r="J11" s="48" t="s">
        <v>92</v>
      </c>
    </row>
    <row r="12" spans="1:9" s="43" customFormat="1" ht="15.75">
      <c r="A12" s="43" t="s">
        <v>18</v>
      </c>
      <c r="B12" s="51"/>
      <c r="C12" s="52" t="s">
        <v>19</v>
      </c>
      <c r="D12" s="52"/>
      <c r="E12" s="52"/>
      <c r="F12" s="52"/>
      <c r="G12" s="52"/>
      <c r="H12" s="52"/>
      <c r="I12" s="50"/>
    </row>
    <row r="13" spans="1:10" s="103" customFormat="1" ht="57">
      <c r="A13" s="95" t="s">
        <v>8</v>
      </c>
      <c r="B13" s="96" t="s">
        <v>131</v>
      </c>
      <c r="C13" s="97" t="s">
        <v>86</v>
      </c>
      <c r="D13" s="98" t="s">
        <v>0</v>
      </c>
      <c r="E13" s="99">
        <v>6</v>
      </c>
      <c r="F13" s="100">
        <f>TRUNC(G19,2)</f>
        <v>211.28</v>
      </c>
      <c r="G13" s="101">
        <f>TRUNC(F13*1.2338,2)</f>
        <v>260.67</v>
      </c>
      <c r="H13" s="101">
        <f>TRUNC(F13*E13,2)</f>
        <v>1267.68</v>
      </c>
      <c r="I13" s="102">
        <f>TRUNC(E13*G13,2)</f>
        <v>1564.02</v>
      </c>
      <c r="J13" s="103">
        <v>1390.02</v>
      </c>
    </row>
    <row r="14" spans="1:9" s="64" customFormat="1" ht="28.5">
      <c r="A14" s="58"/>
      <c r="B14" s="59" t="s">
        <v>87</v>
      </c>
      <c r="C14" s="78" t="s">
        <v>88</v>
      </c>
      <c r="D14" s="60" t="s">
        <v>0</v>
      </c>
      <c r="E14" s="79">
        <v>1</v>
      </c>
      <c r="F14" s="61">
        <f>TRUNC(71.5834,2)</f>
        <v>71.58</v>
      </c>
      <c r="G14" s="62">
        <f>TRUNC(E14*F14,2)</f>
        <v>71.58</v>
      </c>
      <c r="H14" s="62"/>
      <c r="I14" s="63"/>
    </row>
    <row r="15" spans="1:9" s="64" customFormat="1" ht="28.5">
      <c r="A15" s="58"/>
      <c r="B15" s="59" t="s">
        <v>4</v>
      </c>
      <c r="C15" s="78" t="s">
        <v>69</v>
      </c>
      <c r="D15" s="60" t="s">
        <v>5</v>
      </c>
      <c r="E15" s="79">
        <v>0.3</v>
      </c>
      <c r="F15" s="61">
        <f>TRUNC(15.94,2)</f>
        <v>15.94</v>
      </c>
      <c r="G15" s="62">
        <f>TRUNC(E15*F15,2)</f>
        <v>4.78</v>
      </c>
      <c r="H15" s="62"/>
      <c r="I15" s="63"/>
    </row>
    <row r="16" spans="1:9" s="64" customFormat="1" ht="14.25">
      <c r="A16" s="58"/>
      <c r="B16" s="59" t="s">
        <v>2</v>
      </c>
      <c r="C16" s="78" t="s">
        <v>195</v>
      </c>
      <c r="D16" s="60" t="s">
        <v>3</v>
      </c>
      <c r="E16" s="79">
        <v>9.2</v>
      </c>
      <c r="F16" s="61">
        <f>TRUNC(5.45,2)</f>
        <v>5.45</v>
      </c>
      <c r="G16" s="62">
        <f>TRUNC(E16*F16,2)</f>
        <v>50.14</v>
      </c>
      <c r="H16" s="62"/>
      <c r="I16" s="63"/>
    </row>
    <row r="17" spans="1:9" s="64" customFormat="1" ht="28.5">
      <c r="A17" s="58"/>
      <c r="B17" s="59" t="s">
        <v>132</v>
      </c>
      <c r="C17" s="78" t="s">
        <v>133</v>
      </c>
      <c r="D17" s="60" t="s">
        <v>6</v>
      </c>
      <c r="E17" s="79">
        <v>2.06</v>
      </c>
      <c r="F17" s="61">
        <f>TRUNC(16.55,2)</f>
        <v>16.55</v>
      </c>
      <c r="G17" s="62">
        <f>TRUNC(E17*F17,2)</f>
        <v>34.09</v>
      </c>
      <c r="H17" s="62"/>
      <c r="I17" s="63"/>
    </row>
    <row r="18" spans="1:9" s="64" customFormat="1" ht="28.5">
      <c r="A18" s="58"/>
      <c r="B18" s="59" t="s">
        <v>134</v>
      </c>
      <c r="C18" s="78" t="s">
        <v>135</v>
      </c>
      <c r="D18" s="60" t="s">
        <v>6</v>
      </c>
      <c r="E18" s="79">
        <v>2.06</v>
      </c>
      <c r="F18" s="61">
        <f>TRUNC(24.61,2)</f>
        <v>24.61</v>
      </c>
      <c r="G18" s="62">
        <f>TRUNC(E18*F18,2)</f>
        <v>50.69</v>
      </c>
      <c r="H18" s="62"/>
      <c r="I18" s="63"/>
    </row>
    <row r="19" spans="1:9" s="64" customFormat="1" ht="14.25">
      <c r="A19" s="58"/>
      <c r="B19" s="59"/>
      <c r="C19" s="78"/>
      <c r="D19" s="60"/>
      <c r="E19" s="79" t="s">
        <v>7</v>
      </c>
      <c r="F19" s="61"/>
      <c r="G19" s="62">
        <f>TRUNC(SUM(G14:G18),2)</f>
        <v>211.28</v>
      </c>
      <c r="H19" s="62"/>
      <c r="I19" s="63"/>
    </row>
    <row r="20" spans="1:10" s="103" customFormat="1" ht="57">
      <c r="A20" s="95" t="s">
        <v>9</v>
      </c>
      <c r="B20" s="96" t="s">
        <v>136</v>
      </c>
      <c r="C20" s="97" t="s">
        <v>128</v>
      </c>
      <c r="D20" s="98" t="s">
        <v>0</v>
      </c>
      <c r="E20" s="99">
        <v>68.75</v>
      </c>
      <c r="F20" s="100">
        <f>TRUNC(G26,2)</f>
        <v>22.24</v>
      </c>
      <c r="G20" s="101">
        <f>TRUNC(F20*1.2338,2)</f>
        <v>27.43</v>
      </c>
      <c r="H20" s="101">
        <f>TRUNC(F20*E20,2)</f>
        <v>1529</v>
      </c>
      <c r="I20" s="102">
        <f>TRUNC(E20*G20,2)</f>
        <v>1885.81</v>
      </c>
      <c r="J20" s="103">
        <v>407.55</v>
      </c>
    </row>
    <row r="21" spans="1:9" s="64" customFormat="1" ht="14.25">
      <c r="A21" s="58"/>
      <c r="B21" s="59" t="s">
        <v>129</v>
      </c>
      <c r="C21" s="78" t="s">
        <v>130</v>
      </c>
      <c r="D21" s="60" t="s">
        <v>0</v>
      </c>
      <c r="E21" s="79">
        <v>0.2625</v>
      </c>
      <c r="F21" s="61">
        <f>TRUNC(32.91,2)</f>
        <v>32.91</v>
      </c>
      <c r="G21" s="62">
        <f>TRUNC(E21*F21,2)</f>
        <v>8.63</v>
      </c>
      <c r="H21" s="62"/>
      <c r="I21" s="63"/>
    </row>
    <row r="22" spans="1:9" s="64" customFormat="1" ht="28.5">
      <c r="A22" s="58"/>
      <c r="B22" s="59" t="s">
        <v>4</v>
      </c>
      <c r="C22" s="78" t="s">
        <v>69</v>
      </c>
      <c r="D22" s="60" t="s">
        <v>5</v>
      </c>
      <c r="E22" s="79">
        <v>0.05</v>
      </c>
      <c r="F22" s="61">
        <f>TRUNC(15.94,2)</f>
        <v>15.94</v>
      </c>
      <c r="G22" s="62">
        <f>TRUNC(E22*F22,2)</f>
        <v>0.79</v>
      </c>
      <c r="H22" s="62"/>
      <c r="I22" s="63"/>
    </row>
    <row r="23" spans="1:9" s="64" customFormat="1" ht="14.25">
      <c r="A23" s="58"/>
      <c r="B23" s="59" t="s">
        <v>2</v>
      </c>
      <c r="C23" s="78" t="s">
        <v>195</v>
      </c>
      <c r="D23" s="60" t="s">
        <v>3</v>
      </c>
      <c r="E23" s="79">
        <v>0.8</v>
      </c>
      <c r="F23" s="61">
        <f>TRUNC(5.45,2)</f>
        <v>5.45</v>
      </c>
      <c r="G23" s="62">
        <f>TRUNC(E23*F23,2)</f>
        <v>4.36</v>
      </c>
      <c r="H23" s="62"/>
      <c r="I23" s="63"/>
    </row>
    <row r="24" spans="1:9" s="64" customFormat="1" ht="28.5">
      <c r="A24" s="58"/>
      <c r="B24" s="59" t="s">
        <v>132</v>
      </c>
      <c r="C24" s="78" t="s">
        <v>133</v>
      </c>
      <c r="D24" s="60" t="s">
        <v>6</v>
      </c>
      <c r="E24" s="79">
        <v>0.20600000000000002</v>
      </c>
      <c r="F24" s="61">
        <f>TRUNC(16.55,2)</f>
        <v>16.55</v>
      </c>
      <c r="G24" s="62">
        <f>TRUNC(E24*F24,2)</f>
        <v>3.4</v>
      </c>
      <c r="H24" s="62"/>
      <c r="I24" s="63"/>
    </row>
    <row r="25" spans="1:9" s="64" customFormat="1" ht="28.5">
      <c r="A25" s="58"/>
      <c r="B25" s="59" t="s">
        <v>134</v>
      </c>
      <c r="C25" s="78" t="s">
        <v>135</v>
      </c>
      <c r="D25" s="60" t="s">
        <v>6</v>
      </c>
      <c r="E25" s="79">
        <v>0.20600000000000002</v>
      </c>
      <c r="F25" s="61">
        <f>TRUNC(24.61,2)</f>
        <v>24.61</v>
      </c>
      <c r="G25" s="62">
        <f>TRUNC(E25*F25,2)</f>
        <v>5.06</v>
      </c>
      <c r="H25" s="62"/>
      <c r="I25" s="63"/>
    </row>
    <row r="26" spans="1:9" s="64" customFormat="1" ht="14.25">
      <c r="A26" s="58"/>
      <c r="B26" s="59"/>
      <c r="C26" s="78"/>
      <c r="D26" s="60"/>
      <c r="E26" s="79" t="s">
        <v>7</v>
      </c>
      <c r="F26" s="61"/>
      <c r="G26" s="62">
        <f>TRUNC(SUM(G21:G25),2)</f>
        <v>22.24</v>
      </c>
      <c r="H26" s="62"/>
      <c r="I26" s="63"/>
    </row>
    <row r="27" spans="1:10" s="103" customFormat="1" ht="57">
      <c r="A27" s="95" t="s">
        <v>10</v>
      </c>
      <c r="B27" s="96" t="s">
        <v>137</v>
      </c>
      <c r="C27" s="97" t="s">
        <v>101</v>
      </c>
      <c r="D27" s="98" t="s">
        <v>0</v>
      </c>
      <c r="E27" s="99">
        <v>8</v>
      </c>
      <c r="F27" s="100">
        <f>TRUNC(G45,2)</f>
        <v>441.08</v>
      </c>
      <c r="G27" s="101">
        <f>TRUNC(F27*1.2338,2)</f>
        <v>544.2</v>
      </c>
      <c r="H27" s="101">
        <f>TRUNC(F27*E27,2)</f>
        <v>3528.64</v>
      </c>
      <c r="I27" s="102">
        <f>TRUNC(E27*G27,2)</f>
        <v>4353.6</v>
      </c>
      <c r="J27" s="103">
        <v>3717.12</v>
      </c>
    </row>
    <row r="28" spans="1:9" s="64" customFormat="1" ht="14.25">
      <c r="A28" s="58"/>
      <c r="B28" s="59" t="s">
        <v>106</v>
      </c>
      <c r="C28" s="78" t="s">
        <v>347</v>
      </c>
      <c r="D28" s="60" t="s">
        <v>12</v>
      </c>
      <c r="E28" s="79">
        <v>0.0808</v>
      </c>
      <c r="F28" s="61">
        <f>TRUNC(9.71,2)</f>
        <v>9.71</v>
      </c>
      <c r="G28" s="62">
        <f aca="true" t="shared" si="0" ref="G28:G44">TRUNC(E28*F28,2)</f>
        <v>0.78</v>
      </c>
      <c r="H28" s="62"/>
      <c r="I28" s="63"/>
    </row>
    <row r="29" spans="1:9" s="64" customFormat="1" ht="14.25">
      <c r="A29" s="58"/>
      <c r="B29" s="59" t="s">
        <v>111</v>
      </c>
      <c r="C29" s="78" t="s">
        <v>75</v>
      </c>
      <c r="D29" s="60" t="s">
        <v>12</v>
      </c>
      <c r="E29" s="79">
        <v>0.0808</v>
      </c>
      <c r="F29" s="61">
        <f>TRUNC(3.04,2)</f>
        <v>3.04</v>
      </c>
      <c r="G29" s="62">
        <f t="shared" si="0"/>
        <v>0.24</v>
      </c>
      <c r="H29" s="62"/>
      <c r="I29" s="63"/>
    </row>
    <row r="30" spans="1:9" s="64" customFormat="1" ht="28.5">
      <c r="A30" s="58"/>
      <c r="B30" s="59" t="s">
        <v>110</v>
      </c>
      <c r="C30" s="78" t="s">
        <v>199</v>
      </c>
      <c r="D30" s="60" t="s">
        <v>12</v>
      </c>
      <c r="E30" s="79">
        <v>0.08</v>
      </c>
      <c r="F30" s="61">
        <f>TRUNC(4.7,2)</f>
        <v>4.7</v>
      </c>
      <c r="G30" s="62">
        <f t="shared" si="0"/>
        <v>0.37</v>
      </c>
      <c r="H30" s="62"/>
      <c r="I30" s="63"/>
    </row>
    <row r="31" spans="1:9" s="64" customFormat="1" ht="28.5">
      <c r="A31" s="58"/>
      <c r="B31" s="59" t="s">
        <v>102</v>
      </c>
      <c r="C31" s="78" t="s">
        <v>103</v>
      </c>
      <c r="D31" s="60" t="s">
        <v>12</v>
      </c>
      <c r="E31" s="79">
        <v>0.06</v>
      </c>
      <c r="F31" s="61">
        <f>TRUNC(10.09,2)</f>
        <v>10.09</v>
      </c>
      <c r="G31" s="62">
        <f t="shared" si="0"/>
        <v>0.6</v>
      </c>
      <c r="H31" s="62"/>
      <c r="I31" s="63"/>
    </row>
    <row r="32" spans="1:9" s="64" customFormat="1" ht="14.25">
      <c r="A32" s="58"/>
      <c r="B32" s="59" t="s">
        <v>109</v>
      </c>
      <c r="C32" s="78" t="s">
        <v>200</v>
      </c>
      <c r="D32" s="60" t="s">
        <v>12</v>
      </c>
      <c r="E32" s="79">
        <v>0.17</v>
      </c>
      <c r="F32" s="61">
        <f>TRUNC(30.75,2)</f>
        <v>30.75</v>
      </c>
      <c r="G32" s="62">
        <f t="shared" si="0"/>
        <v>5.22</v>
      </c>
      <c r="H32" s="62"/>
      <c r="I32" s="63"/>
    </row>
    <row r="33" spans="1:9" s="64" customFormat="1" ht="14.25">
      <c r="A33" s="58"/>
      <c r="B33" s="59" t="s">
        <v>114</v>
      </c>
      <c r="C33" s="78" t="s">
        <v>115</v>
      </c>
      <c r="D33" s="60" t="s">
        <v>12</v>
      </c>
      <c r="E33" s="79">
        <v>0.0202</v>
      </c>
      <c r="F33" s="61">
        <f>TRUNC(4.22,2)</f>
        <v>4.22</v>
      </c>
      <c r="G33" s="62">
        <f t="shared" si="0"/>
        <v>0.08</v>
      </c>
      <c r="H33" s="62"/>
      <c r="I33" s="63"/>
    </row>
    <row r="34" spans="1:9" s="64" customFormat="1" ht="14.25">
      <c r="A34" s="58"/>
      <c r="B34" s="59" t="s">
        <v>107</v>
      </c>
      <c r="C34" s="78" t="s">
        <v>72</v>
      </c>
      <c r="D34" s="60" t="s">
        <v>3</v>
      </c>
      <c r="E34" s="79">
        <v>0.505</v>
      </c>
      <c r="F34" s="61">
        <f>TRUNC(4,2)</f>
        <v>4</v>
      </c>
      <c r="G34" s="62">
        <f t="shared" si="0"/>
        <v>2.02</v>
      </c>
      <c r="H34" s="62"/>
      <c r="I34" s="63"/>
    </row>
    <row r="35" spans="1:9" s="64" customFormat="1" ht="28.5">
      <c r="A35" s="58"/>
      <c r="B35" s="59" t="s">
        <v>112</v>
      </c>
      <c r="C35" s="78" t="s">
        <v>113</v>
      </c>
      <c r="D35" s="60" t="s">
        <v>12</v>
      </c>
      <c r="E35" s="79">
        <v>0.275</v>
      </c>
      <c r="F35" s="61">
        <f>TRUNC(51.66,2)</f>
        <v>51.66</v>
      </c>
      <c r="G35" s="62">
        <f t="shared" si="0"/>
        <v>14.2</v>
      </c>
      <c r="H35" s="62"/>
      <c r="I35" s="63"/>
    </row>
    <row r="36" spans="1:9" s="64" customFormat="1" ht="14.25">
      <c r="A36" s="58"/>
      <c r="B36" s="59" t="s">
        <v>2</v>
      </c>
      <c r="C36" s="78" t="s">
        <v>195</v>
      </c>
      <c r="D36" s="60" t="s">
        <v>3</v>
      </c>
      <c r="E36" s="79">
        <v>2</v>
      </c>
      <c r="F36" s="61">
        <f>TRUNC(5.45,2)</f>
        <v>5.45</v>
      </c>
      <c r="G36" s="62">
        <f t="shared" si="0"/>
        <v>10.9</v>
      </c>
      <c r="H36" s="62"/>
      <c r="I36" s="63"/>
    </row>
    <row r="37" spans="1:9" s="64" customFormat="1" ht="14.25">
      <c r="A37" s="58"/>
      <c r="B37" s="59" t="s">
        <v>108</v>
      </c>
      <c r="C37" s="78" t="s">
        <v>73</v>
      </c>
      <c r="D37" s="60" t="s">
        <v>12</v>
      </c>
      <c r="E37" s="79">
        <v>0.95</v>
      </c>
      <c r="F37" s="61">
        <f>TRUNC(0.89,2)</f>
        <v>0.89</v>
      </c>
      <c r="G37" s="62">
        <f t="shared" si="0"/>
        <v>0.84</v>
      </c>
      <c r="H37" s="62"/>
      <c r="I37" s="63"/>
    </row>
    <row r="38" spans="1:9" s="64" customFormat="1" ht="28.5">
      <c r="A38" s="58"/>
      <c r="B38" s="59" t="s">
        <v>4</v>
      </c>
      <c r="C38" s="78" t="s">
        <v>69</v>
      </c>
      <c r="D38" s="60" t="s">
        <v>5</v>
      </c>
      <c r="E38" s="79">
        <v>0.12</v>
      </c>
      <c r="F38" s="61">
        <f>TRUNC(15.94,2)</f>
        <v>15.94</v>
      </c>
      <c r="G38" s="62">
        <f t="shared" si="0"/>
        <v>1.91</v>
      </c>
      <c r="H38" s="62"/>
      <c r="I38" s="63"/>
    </row>
    <row r="39" spans="1:9" s="64" customFormat="1" ht="14.25">
      <c r="A39" s="58"/>
      <c r="B39" s="59" t="s">
        <v>105</v>
      </c>
      <c r="C39" s="78" t="s">
        <v>74</v>
      </c>
      <c r="D39" s="60" t="s">
        <v>0</v>
      </c>
      <c r="E39" s="79">
        <v>0.06</v>
      </c>
      <c r="F39" s="61">
        <f>TRUNC(58.71,2)</f>
        <v>58.71</v>
      </c>
      <c r="G39" s="62">
        <f t="shared" si="0"/>
        <v>3.52</v>
      </c>
      <c r="H39" s="62"/>
      <c r="I39" s="63"/>
    </row>
    <row r="40" spans="1:9" s="64" customFormat="1" ht="14.25">
      <c r="A40" s="58"/>
      <c r="B40" s="59" t="s">
        <v>104</v>
      </c>
      <c r="C40" s="78" t="s">
        <v>256</v>
      </c>
      <c r="D40" s="60" t="s">
        <v>12</v>
      </c>
      <c r="E40" s="79">
        <v>0.17170000000000002</v>
      </c>
      <c r="F40" s="61">
        <f>TRUNC(2.12,2)</f>
        <v>2.12</v>
      </c>
      <c r="G40" s="62">
        <f t="shared" si="0"/>
        <v>0.36</v>
      </c>
      <c r="H40" s="62"/>
      <c r="I40" s="63"/>
    </row>
    <row r="41" spans="1:9" s="64" customFormat="1" ht="28.5">
      <c r="A41" s="58"/>
      <c r="B41" s="59" t="s">
        <v>134</v>
      </c>
      <c r="C41" s="78" t="s">
        <v>135</v>
      </c>
      <c r="D41" s="60" t="s">
        <v>6</v>
      </c>
      <c r="E41" s="79">
        <v>8.137</v>
      </c>
      <c r="F41" s="61">
        <f>TRUNC(24.61,2)</f>
        <v>24.61</v>
      </c>
      <c r="G41" s="62">
        <f t="shared" si="0"/>
        <v>200.25</v>
      </c>
      <c r="H41" s="62"/>
      <c r="I41" s="63"/>
    </row>
    <row r="42" spans="1:9" s="64" customFormat="1" ht="28.5">
      <c r="A42" s="58"/>
      <c r="B42" s="59" t="s">
        <v>132</v>
      </c>
      <c r="C42" s="78" t="s">
        <v>133</v>
      </c>
      <c r="D42" s="60" t="s">
        <v>6</v>
      </c>
      <c r="E42" s="79">
        <v>8.549000000000001</v>
      </c>
      <c r="F42" s="61">
        <f>TRUNC(16.55,2)</f>
        <v>16.55</v>
      </c>
      <c r="G42" s="62">
        <f t="shared" si="0"/>
        <v>141.48</v>
      </c>
      <c r="H42" s="62"/>
      <c r="I42" s="63"/>
    </row>
    <row r="43" spans="1:9" s="64" customFormat="1" ht="28.5">
      <c r="A43" s="58"/>
      <c r="B43" s="59" t="s">
        <v>138</v>
      </c>
      <c r="C43" s="78" t="s">
        <v>139</v>
      </c>
      <c r="D43" s="60" t="s">
        <v>6</v>
      </c>
      <c r="E43" s="79">
        <v>0.41200000000000003</v>
      </c>
      <c r="F43" s="61">
        <f>TRUNC(22.86,2)</f>
        <v>22.86</v>
      </c>
      <c r="G43" s="62">
        <f t="shared" si="0"/>
        <v>9.41</v>
      </c>
      <c r="H43" s="62"/>
      <c r="I43" s="63"/>
    </row>
    <row r="44" spans="1:9" s="64" customFormat="1" ht="14.25">
      <c r="A44" s="58"/>
      <c r="B44" s="59" t="s">
        <v>140</v>
      </c>
      <c r="C44" s="78" t="s">
        <v>201</v>
      </c>
      <c r="D44" s="60" t="s">
        <v>0</v>
      </c>
      <c r="E44" s="79">
        <v>1.65</v>
      </c>
      <c r="F44" s="61">
        <f>TRUNC(29.6403,2)</f>
        <v>29.64</v>
      </c>
      <c r="G44" s="62">
        <f t="shared" si="0"/>
        <v>48.9</v>
      </c>
      <c r="H44" s="62"/>
      <c r="I44" s="63"/>
    </row>
    <row r="45" spans="1:9" s="64" customFormat="1" ht="14.25">
      <c r="A45" s="58"/>
      <c r="B45" s="59"/>
      <c r="C45" s="78"/>
      <c r="D45" s="60"/>
      <c r="E45" s="79" t="s">
        <v>7</v>
      </c>
      <c r="F45" s="61"/>
      <c r="G45" s="62">
        <f>TRUNC(SUM(G28:G44),2)</f>
        <v>441.08</v>
      </c>
      <c r="H45" s="62"/>
      <c r="I45" s="63"/>
    </row>
    <row r="46" spans="1:10" s="103" customFormat="1" ht="28.5">
      <c r="A46" s="95" t="s">
        <v>11</v>
      </c>
      <c r="B46" s="96" t="s">
        <v>261</v>
      </c>
      <c r="C46" s="97" t="s">
        <v>245</v>
      </c>
      <c r="D46" s="98" t="s">
        <v>0</v>
      </c>
      <c r="E46" s="99">
        <v>123.2</v>
      </c>
      <c r="F46" s="100">
        <f>TRUNC(G48,2)</f>
        <v>17.04</v>
      </c>
      <c r="G46" s="101">
        <f>TRUNC(F46*1.2338,2)</f>
        <v>21.02</v>
      </c>
      <c r="H46" s="101">
        <f>TRUNC(F46*E46,2)</f>
        <v>2099.32</v>
      </c>
      <c r="I46" s="102">
        <f>TRUNC(E46*G46,2)</f>
        <v>2589.66</v>
      </c>
      <c r="J46" s="103">
        <v>2237.31</v>
      </c>
    </row>
    <row r="47" spans="1:9" s="64" customFormat="1" ht="28.5">
      <c r="A47" s="58"/>
      <c r="B47" s="59" t="s">
        <v>132</v>
      </c>
      <c r="C47" s="78" t="s">
        <v>133</v>
      </c>
      <c r="D47" s="60" t="s">
        <v>6</v>
      </c>
      <c r="E47" s="79">
        <v>1.03</v>
      </c>
      <c r="F47" s="61">
        <f>TRUNC(16.55,2)</f>
        <v>16.55</v>
      </c>
      <c r="G47" s="62">
        <f>TRUNC(E47*F47,2)</f>
        <v>17.04</v>
      </c>
      <c r="H47" s="62"/>
      <c r="I47" s="63"/>
    </row>
    <row r="48" spans="1:9" s="64" customFormat="1" ht="14.25">
      <c r="A48" s="58"/>
      <c r="B48" s="59"/>
      <c r="C48" s="78"/>
      <c r="D48" s="60"/>
      <c r="E48" s="79" t="s">
        <v>7</v>
      </c>
      <c r="F48" s="61"/>
      <c r="G48" s="62">
        <f>TRUNC(SUM(G47:G47),2)</f>
        <v>17.04</v>
      </c>
      <c r="H48" s="62"/>
      <c r="I48" s="63"/>
    </row>
    <row r="49" spans="1:10" s="103" customFormat="1" ht="28.5">
      <c r="A49" s="95" t="s">
        <v>168</v>
      </c>
      <c r="B49" s="96" t="s">
        <v>268</v>
      </c>
      <c r="C49" s="97" t="s">
        <v>267</v>
      </c>
      <c r="D49" s="98" t="s">
        <v>12</v>
      </c>
      <c r="E49" s="99">
        <v>5</v>
      </c>
      <c r="F49" s="100">
        <f>TRUNC(G52,2)</f>
        <v>24.1</v>
      </c>
      <c r="G49" s="101">
        <f>TRUNC(F49*1.2338,2)</f>
        <v>29.73</v>
      </c>
      <c r="H49" s="101">
        <f>TRUNC(F49*E49,2)</f>
        <v>120.5</v>
      </c>
      <c r="I49" s="102">
        <f>TRUNC(E49*G49,2)</f>
        <v>148.65</v>
      </c>
      <c r="J49" s="103">
        <v>128.4</v>
      </c>
    </row>
    <row r="50" spans="1:9" s="64" customFormat="1" ht="28.5">
      <c r="A50" s="58"/>
      <c r="B50" s="59" t="s">
        <v>132</v>
      </c>
      <c r="C50" s="78" t="s">
        <v>133</v>
      </c>
      <c r="D50" s="60" t="s">
        <v>6</v>
      </c>
      <c r="E50" s="79">
        <v>1.03</v>
      </c>
      <c r="F50" s="61">
        <f>TRUNC(16.55,2)</f>
        <v>16.55</v>
      </c>
      <c r="G50" s="62">
        <f>TRUNC(E50*F50,2)</f>
        <v>17.04</v>
      </c>
      <c r="H50" s="62"/>
      <c r="I50" s="63"/>
    </row>
    <row r="51" spans="1:9" s="64" customFormat="1" ht="14.25">
      <c r="A51" s="58"/>
      <c r="B51" s="59" t="s">
        <v>145</v>
      </c>
      <c r="C51" s="78" t="s">
        <v>146</v>
      </c>
      <c r="D51" s="60" t="s">
        <v>6</v>
      </c>
      <c r="E51" s="79">
        <v>0.309</v>
      </c>
      <c r="F51" s="61">
        <f>TRUNC(22.86,2)</f>
        <v>22.86</v>
      </c>
      <c r="G51" s="62">
        <f>TRUNC(E51*F51,2)</f>
        <v>7.06</v>
      </c>
      <c r="H51" s="62"/>
      <c r="I51" s="63"/>
    </row>
    <row r="52" spans="1:9" s="64" customFormat="1" ht="14.25">
      <c r="A52" s="58"/>
      <c r="B52" s="59"/>
      <c r="C52" s="78"/>
      <c r="D52" s="60"/>
      <c r="E52" s="79" t="s">
        <v>7</v>
      </c>
      <c r="F52" s="61"/>
      <c r="G52" s="62">
        <f>TRUNC(SUM(G50:G51),2)</f>
        <v>24.1</v>
      </c>
      <c r="H52" s="62"/>
      <c r="I52" s="63"/>
    </row>
    <row r="53" spans="1:10" s="103" customFormat="1" ht="14.25">
      <c r="A53" s="95" t="s">
        <v>190</v>
      </c>
      <c r="B53" s="96" t="s">
        <v>277</v>
      </c>
      <c r="C53" s="97" t="s">
        <v>275</v>
      </c>
      <c r="D53" s="98" t="s">
        <v>0</v>
      </c>
      <c r="E53" s="99">
        <v>310.48</v>
      </c>
      <c r="F53" s="100">
        <f>TRUNC(G56,2)</f>
        <v>3.75</v>
      </c>
      <c r="G53" s="101">
        <f>TRUNC(F53*1.2338,2)</f>
        <v>4.62</v>
      </c>
      <c r="H53" s="101">
        <f>TRUNC(F53*E53,2)</f>
        <v>1164.3</v>
      </c>
      <c r="I53" s="102">
        <f>TRUNC(E53*G53,2)</f>
        <v>1434.41</v>
      </c>
      <c r="J53" s="103">
        <v>1304.01</v>
      </c>
    </row>
    <row r="54" spans="1:9" s="64" customFormat="1" ht="14.25">
      <c r="A54" s="58"/>
      <c r="B54" s="59" t="s">
        <v>278</v>
      </c>
      <c r="C54" s="78" t="s">
        <v>276</v>
      </c>
      <c r="D54" s="60" t="s">
        <v>6</v>
      </c>
      <c r="E54" s="79">
        <v>0.0718</v>
      </c>
      <c r="F54" s="61">
        <f>TRUNC(28.95,2)</f>
        <v>28.95</v>
      </c>
      <c r="G54" s="62">
        <f>TRUNC(E54*F54,2)</f>
        <v>2.07</v>
      </c>
      <c r="H54" s="62"/>
      <c r="I54" s="63"/>
    </row>
    <row r="55" spans="1:9" s="64" customFormat="1" ht="14.25">
      <c r="A55" s="58"/>
      <c r="B55" s="59" t="s">
        <v>234</v>
      </c>
      <c r="C55" s="78" t="s">
        <v>99</v>
      </c>
      <c r="D55" s="60" t="s">
        <v>6</v>
      </c>
      <c r="E55" s="79">
        <v>0.0718</v>
      </c>
      <c r="F55" s="61">
        <f>TRUNC(23.42,2)</f>
        <v>23.42</v>
      </c>
      <c r="G55" s="62">
        <f>TRUNC(E55*F55,2)</f>
        <v>1.68</v>
      </c>
      <c r="H55" s="62"/>
      <c r="I55" s="63"/>
    </row>
    <row r="56" spans="1:9" s="64" customFormat="1" ht="14.25">
      <c r="A56" s="58"/>
      <c r="B56" s="59"/>
      <c r="C56" s="78"/>
      <c r="D56" s="60"/>
      <c r="E56" s="79" t="s">
        <v>7</v>
      </c>
      <c r="F56" s="61"/>
      <c r="G56" s="62">
        <f>TRUNC(SUM(G54:G55),2)</f>
        <v>3.75</v>
      </c>
      <c r="H56" s="62"/>
      <c r="I56" s="63"/>
    </row>
    <row r="57" spans="1:10" s="103" customFormat="1" ht="28.5">
      <c r="A57" s="95" t="s">
        <v>367</v>
      </c>
      <c r="B57" s="96" t="s">
        <v>324</v>
      </c>
      <c r="C57" s="97" t="s">
        <v>244</v>
      </c>
      <c r="D57" s="98" t="s">
        <v>1</v>
      </c>
      <c r="E57" s="99">
        <v>0.19</v>
      </c>
      <c r="F57" s="100">
        <f>TRUNC(G60,2)</f>
        <v>232.8</v>
      </c>
      <c r="G57" s="101">
        <f>TRUNC(F57*1.2338,2)</f>
        <v>287.22</v>
      </c>
      <c r="H57" s="101">
        <f>TRUNC(F57*E57,2)</f>
        <v>44.23</v>
      </c>
      <c r="I57" s="102">
        <f>TRUNC(E57*G57,2)</f>
        <v>54.57</v>
      </c>
      <c r="J57" s="103">
        <v>47.16</v>
      </c>
    </row>
    <row r="58" spans="1:9" s="64" customFormat="1" ht="28.5">
      <c r="A58" s="58"/>
      <c r="B58" s="59" t="s">
        <v>132</v>
      </c>
      <c r="C58" s="78" t="s">
        <v>133</v>
      </c>
      <c r="D58" s="60" t="s">
        <v>6</v>
      </c>
      <c r="E58" s="79">
        <v>12.36</v>
      </c>
      <c r="F58" s="61">
        <f>TRUNC(16.55,2)</f>
        <v>16.55</v>
      </c>
      <c r="G58" s="62">
        <f>TRUNC(E58*F58,2)</f>
        <v>204.55</v>
      </c>
      <c r="H58" s="62"/>
      <c r="I58" s="63"/>
    </row>
    <row r="59" spans="1:9" s="64" customFormat="1" ht="14.25">
      <c r="A59" s="58"/>
      <c r="B59" s="59" t="s">
        <v>145</v>
      </c>
      <c r="C59" s="78" t="s">
        <v>146</v>
      </c>
      <c r="D59" s="60" t="s">
        <v>6</v>
      </c>
      <c r="E59" s="79">
        <v>1.236</v>
      </c>
      <c r="F59" s="61">
        <f>TRUNC(22.86,2)</f>
        <v>22.86</v>
      </c>
      <c r="G59" s="62">
        <f>TRUNC(E59*F59,2)</f>
        <v>28.25</v>
      </c>
      <c r="H59" s="62"/>
      <c r="I59" s="63"/>
    </row>
    <row r="60" spans="1:9" s="64" customFormat="1" ht="14.25">
      <c r="A60" s="58"/>
      <c r="B60" s="59"/>
      <c r="C60" s="78"/>
      <c r="D60" s="60"/>
      <c r="E60" s="79" t="s">
        <v>7</v>
      </c>
      <c r="F60" s="61"/>
      <c r="G60" s="62">
        <f>TRUNC(SUM(G58:G59),2)</f>
        <v>232.8</v>
      </c>
      <c r="H60" s="62"/>
      <c r="I60" s="63"/>
    </row>
    <row r="61" spans="1:10" s="103" customFormat="1" ht="28.5">
      <c r="A61" s="95" t="s">
        <v>323</v>
      </c>
      <c r="B61" s="96" t="s">
        <v>325</v>
      </c>
      <c r="C61" s="97" t="s">
        <v>326</v>
      </c>
      <c r="D61" s="98" t="s">
        <v>12</v>
      </c>
      <c r="E61" s="99">
        <v>4</v>
      </c>
      <c r="F61" s="100">
        <f>TRUNC(G63,2)</f>
        <v>105.71</v>
      </c>
      <c r="G61" s="101">
        <f>TRUNC(F61*1.2338,2)</f>
        <v>130.42</v>
      </c>
      <c r="H61" s="101">
        <f>TRUNC(F61*E61,2)</f>
        <v>422.84</v>
      </c>
      <c r="I61" s="102">
        <f>TRUNC(E61*G61,2)</f>
        <v>521.68</v>
      </c>
      <c r="J61" s="103">
        <v>475.56</v>
      </c>
    </row>
    <row r="62" spans="1:9" s="64" customFormat="1" ht="28.5">
      <c r="A62" s="58"/>
      <c r="B62" s="59" t="s">
        <v>207</v>
      </c>
      <c r="C62" s="78" t="s">
        <v>208</v>
      </c>
      <c r="D62" s="60" t="s">
        <v>6</v>
      </c>
      <c r="E62" s="79">
        <v>8.24</v>
      </c>
      <c r="F62" s="61">
        <f>TRUNC(12.83,2)</f>
        <v>12.83</v>
      </c>
      <c r="G62" s="62">
        <f>TRUNC(E62*F62,2)</f>
        <v>105.71</v>
      </c>
      <c r="H62" s="62"/>
      <c r="I62" s="63"/>
    </row>
    <row r="63" spans="1:9" s="64" customFormat="1" ht="14.25">
      <c r="A63" s="58"/>
      <c r="B63" s="59"/>
      <c r="C63" s="78"/>
      <c r="D63" s="60"/>
      <c r="E63" s="79" t="s">
        <v>7</v>
      </c>
      <c r="F63" s="61"/>
      <c r="G63" s="62">
        <f>TRUNC(SUM(G62:G62),2)</f>
        <v>105.71</v>
      </c>
      <c r="H63" s="62"/>
      <c r="I63" s="63"/>
    </row>
    <row r="64" spans="1:9" s="103" customFormat="1" ht="42.75">
      <c r="A64" s="95" t="s">
        <v>327</v>
      </c>
      <c r="B64" s="96" t="s">
        <v>443</v>
      </c>
      <c r="C64" s="97" t="s">
        <v>441</v>
      </c>
      <c r="D64" s="98" t="s">
        <v>0</v>
      </c>
      <c r="E64" s="99">
        <v>67.85</v>
      </c>
      <c r="F64" s="100">
        <f>TRUNC(G66,2)</f>
        <v>11.93</v>
      </c>
      <c r="G64" s="101">
        <f>TRUNC(F64*1.2338,2)</f>
        <v>14.71</v>
      </c>
      <c r="H64" s="101">
        <f>TRUNC(F64*E64,2)</f>
        <v>809.45</v>
      </c>
      <c r="I64" s="102">
        <f>TRUNC(E64*G64,2)</f>
        <v>998.07</v>
      </c>
    </row>
    <row r="65" spans="1:9" s="64" customFormat="1" ht="28.5">
      <c r="A65" s="58"/>
      <c r="B65" s="59" t="s">
        <v>132</v>
      </c>
      <c r="C65" s="78" t="s">
        <v>133</v>
      </c>
      <c r="D65" s="60" t="s">
        <v>6</v>
      </c>
      <c r="E65" s="79">
        <v>0.721</v>
      </c>
      <c r="F65" s="61">
        <f>TRUNC(16.55,2)</f>
        <v>16.55</v>
      </c>
      <c r="G65" s="62">
        <f>TRUNC(E65*F65,2)</f>
        <v>11.93</v>
      </c>
      <c r="H65" s="62"/>
      <c r="I65" s="63"/>
    </row>
    <row r="66" spans="1:9" s="64" customFormat="1" ht="14.25">
      <c r="A66" s="58"/>
      <c r="B66" s="59"/>
      <c r="C66" s="78"/>
      <c r="D66" s="60"/>
      <c r="E66" s="79" t="s">
        <v>7</v>
      </c>
      <c r="F66" s="61"/>
      <c r="G66" s="62">
        <f>TRUNC(SUM(G65:G65),2)</f>
        <v>11.93</v>
      </c>
      <c r="H66" s="62"/>
      <c r="I66" s="63"/>
    </row>
    <row r="67" spans="1:9" s="103" customFormat="1" ht="42.75">
      <c r="A67" s="95" t="s">
        <v>445</v>
      </c>
      <c r="B67" s="96" t="s">
        <v>444</v>
      </c>
      <c r="C67" s="97" t="s">
        <v>442</v>
      </c>
      <c r="D67" s="98" t="s">
        <v>1</v>
      </c>
      <c r="E67" s="99">
        <v>0.42</v>
      </c>
      <c r="F67" s="100">
        <f>TRUNC(G70,2)</f>
        <v>87.29</v>
      </c>
      <c r="G67" s="101">
        <f>TRUNC(F67*1.2338,2)</f>
        <v>107.69</v>
      </c>
      <c r="H67" s="101">
        <f>TRUNC(F67*E67,2)</f>
        <v>36.66</v>
      </c>
      <c r="I67" s="102">
        <f>TRUNC(E67*G67,2)</f>
        <v>45.22</v>
      </c>
    </row>
    <row r="68" spans="1:9" s="64" customFormat="1" ht="28.5">
      <c r="A68" s="58"/>
      <c r="B68" s="59" t="s">
        <v>132</v>
      </c>
      <c r="C68" s="78" t="s">
        <v>133</v>
      </c>
      <c r="D68" s="60" t="s">
        <v>6</v>
      </c>
      <c r="E68" s="79">
        <v>4.635</v>
      </c>
      <c r="F68" s="61">
        <f>TRUNC(16.55,2)</f>
        <v>16.55</v>
      </c>
      <c r="G68" s="62">
        <f>TRUNC(E68*F68,2)</f>
        <v>76.7</v>
      </c>
      <c r="H68" s="62"/>
      <c r="I68" s="63"/>
    </row>
    <row r="69" spans="1:9" s="64" customFormat="1" ht="14.25">
      <c r="A69" s="58"/>
      <c r="B69" s="59" t="s">
        <v>145</v>
      </c>
      <c r="C69" s="78" t="s">
        <v>146</v>
      </c>
      <c r="D69" s="60" t="s">
        <v>6</v>
      </c>
      <c r="E69" s="79">
        <v>0.4635</v>
      </c>
      <c r="F69" s="61">
        <f>TRUNC(22.86,2)</f>
        <v>22.86</v>
      </c>
      <c r="G69" s="62">
        <f>TRUNC(E69*F69,2)</f>
        <v>10.59</v>
      </c>
      <c r="H69" s="62"/>
      <c r="I69" s="63"/>
    </row>
    <row r="70" spans="1:9" s="64" customFormat="1" ht="14.25">
      <c r="A70" s="58"/>
      <c r="B70" s="59"/>
      <c r="C70" s="78"/>
      <c r="D70" s="60"/>
      <c r="E70" s="79" t="s">
        <v>7</v>
      </c>
      <c r="F70" s="61"/>
      <c r="G70" s="62">
        <f>TRUNC(SUM(G68:G69),2)</f>
        <v>87.29</v>
      </c>
      <c r="H70" s="62"/>
      <c r="I70" s="63"/>
    </row>
    <row r="71" spans="1:10" s="44" customFormat="1" ht="15.75">
      <c r="A71" s="53" t="s">
        <v>52</v>
      </c>
      <c r="B71" s="55"/>
      <c r="C71" s="54"/>
      <c r="D71" s="55"/>
      <c r="E71" s="55"/>
      <c r="F71" s="55"/>
      <c r="G71" s="53" t="s">
        <v>56</v>
      </c>
      <c r="H71" s="57">
        <f>H49+H46+H27+H20+H13+H53+H57+H61+H64+H67</f>
        <v>11022.619999999999</v>
      </c>
      <c r="I71" s="57">
        <f>I49+I46+I27+I20+I13+I53+I57+I61+I64+I67</f>
        <v>13595.689999999999</v>
      </c>
      <c r="J71" s="44">
        <v>9707.13</v>
      </c>
    </row>
    <row r="72" spans="1:9" s="43" customFormat="1" ht="15.75">
      <c r="A72" s="43" t="s">
        <v>20</v>
      </c>
      <c r="B72" s="51"/>
      <c r="C72" s="52" t="s">
        <v>189</v>
      </c>
      <c r="D72" s="52"/>
      <c r="E72" s="52"/>
      <c r="F72" s="52"/>
      <c r="G72" s="52"/>
      <c r="H72" s="52"/>
      <c r="I72" s="50"/>
    </row>
    <row r="73" spans="1:9" s="123" customFormat="1" ht="15.75">
      <c r="A73" s="43" t="s">
        <v>439</v>
      </c>
      <c r="B73" s="51"/>
      <c r="C73" s="127" t="s">
        <v>438</v>
      </c>
      <c r="D73" s="52"/>
      <c r="E73" s="52"/>
      <c r="F73" s="52"/>
      <c r="G73" s="52"/>
      <c r="H73" s="52"/>
      <c r="I73" s="50"/>
    </row>
    <row r="74" spans="1:9" s="130" customFormat="1" ht="57">
      <c r="A74" s="95" t="s">
        <v>53</v>
      </c>
      <c r="B74" s="96" t="s">
        <v>446</v>
      </c>
      <c r="C74" s="97" t="s">
        <v>388</v>
      </c>
      <c r="D74" s="98" t="s">
        <v>3</v>
      </c>
      <c r="E74" s="99">
        <v>256</v>
      </c>
      <c r="F74" s="100">
        <f>TRUNC(G87,2)</f>
        <v>363.67</v>
      </c>
      <c r="G74" s="128">
        <f>TRUNC(F74*1.2338,2)</f>
        <v>448.69</v>
      </c>
      <c r="H74" s="128">
        <f>TRUNC(F74*E74,2)</f>
        <v>93099.52</v>
      </c>
      <c r="I74" s="129">
        <f>TRUNC(E74*G74,2)</f>
        <v>114864.64</v>
      </c>
    </row>
    <row r="75" spans="1:9" s="64" customFormat="1" ht="14.25">
      <c r="A75" s="58"/>
      <c r="B75" s="59" t="s">
        <v>389</v>
      </c>
      <c r="C75" s="78" t="s">
        <v>390</v>
      </c>
      <c r="D75" s="60" t="s">
        <v>5</v>
      </c>
      <c r="E75" s="79">
        <v>0.06</v>
      </c>
      <c r="F75" s="61">
        <f>TRUNC(38.8,2)</f>
        <v>38.8</v>
      </c>
      <c r="G75" s="62">
        <f aca="true" t="shared" si="1" ref="G75:G86">TRUNC(E75*F75,2)</f>
        <v>2.32</v>
      </c>
      <c r="H75" s="62"/>
      <c r="I75" s="63"/>
    </row>
    <row r="76" spans="1:9" s="64" customFormat="1" ht="28.5">
      <c r="A76" s="58"/>
      <c r="B76" s="59" t="s">
        <v>391</v>
      </c>
      <c r="C76" s="78" t="s">
        <v>392</v>
      </c>
      <c r="D76" s="60" t="s">
        <v>1</v>
      </c>
      <c r="E76" s="79">
        <v>0.17</v>
      </c>
      <c r="F76" s="61">
        <f>TRUNC(350,2)</f>
        <v>350</v>
      </c>
      <c r="G76" s="62">
        <f t="shared" si="1"/>
        <v>59.5</v>
      </c>
      <c r="H76" s="62"/>
      <c r="I76" s="63"/>
    </row>
    <row r="77" spans="1:9" s="64" customFormat="1" ht="28.5">
      <c r="A77" s="58"/>
      <c r="B77" s="59" t="s">
        <v>132</v>
      </c>
      <c r="C77" s="78" t="s">
        <v>133</v>
      </c>
      <c r="D77" s="60" t="s">
        <v>6</v>
      </c>
      <c r="E77" s="79">
        <v>0.4326</v>
      </c>
      <c r="F77" s="61">
        <f>TRUNC(16.55,2)</f>
        <v>16.55</v>
      </c>
      <c r="G77" s="62">
        <f t="shared" si="1"/>
        <v>7.15</v>
      </c>
      <c r="H77" s="62"/>
      <c r="I77" s="63"/>
    </row>
    <row r="78" spans="1:9" s="64" customFormat="1" ht="28.5">
      <c r="A78" s="58"/>
      <c r="B78" s="59" t="s">
        <v>447</v>
      </c>
      <c r="C78" s="78" t="s">
        <v>448</v>
      </c>
      <c r="D78" s="60" t="s">
        <v>6</v>
      </c>
      <c r="E78" s="79">
        <v>0.2163</v>
      </c>
      <c r="F78" s="61">
        <f>TRUNC(24.61,2)</f>
        <v>24.61</v>
      </c>
      <c r="G78" s="62">
        <f t="shared" si="1"/>
        <v>5.32</v>
      </c>
      <c r="H78" s="62"/>
      <c r="I78" s="63"/>
    </row>
    <row r="79" spans="1:9" s="64" customFormat="1" ht="14.25">
      <c r="A79" s="58"/>
      <c r="B79" s="59" t="s">
        <v>449</v>
      </c>
      <c r="C79" s="78" t="s">
        <v>450</v>
      </c>
      <c r="D79" s="60" t="s">
        <v>6</v>
      </c>
      <c r="E79" s="79">
        <v>0.18</v>
      </c>
      <c r="F79" s="61">
        <f>TRUNC(448.3739,2)</f>
        <v>448.37</v>
      </c>
      <c r="G79" s="62">
        <f t="shared" si="1"/>
        <v>80.7</v>
      </c>
      <c r="H79" s="62"/>
      <c r="I79" s="63"/>
    </row>
    <row r="80" spans="1:9" s="64" customFormat="1" ht="14.25">
      <c r="A80" s="58"/>
      <c r="B80" s="59" t="s">
        <v>451</v>
      </c>
      <c r="C80" s="78" t="s">
        <v>452</v>
      </c>
      <c r="D80" s="60" t="s">
        <v>6</v>
      </c>
      <c r="E80" s="79">
        <v>0.25</v>
      </c>
      <c r="F80" s="61">
        <f>TRUNC(18.8369,2)</f>
        <v>18.83</v>
      </c>
      <c r="G80" s="62">
        <f t="shared" si="1"/>
        <v>4.7</v>
      </c>
      <c r="H80" s="62"/>
      <c r="I80" s="63"/>
    </row>
    <row r="81" spans="1:9" s="64" customFormat="1" ht="14.25">
      <c r="A81" s="58"/>
      <c r="B81" s="59" t="s">
        <v>453</v>
      </c>
      <c r="C81" s="78" t="s">
        <v>454</v>
      </c>
      <c r="D81" s="60" t="s">
        <v>5</v>
      </c>
      <c r="E81" s="79">
        <v>2.07</v>
      </c>
      <c r="F81" s="61">
        <f>TRUNC(4.8709,2)</f>
        <v>4.87</v>
      </c>
      <c r="G81" s="62">
        <f t="shared" si="1"/>
        <v>10.08</v>
      </c>
      <c r="H81" s="62"/>
      <c r="I81" s="63"/>
    </row>
    <row r="82" spans="1:9" s="64" customFormat="1" ht="14.25">
      <c r="A82" s="58"/>
      <c r="B82" s="59" t="s">
        <v>455</v>
      </c>
      <c r="C82" s="78" t="s">
        <v>456</v>
      </c>
      <c r="D82" s="60" t="s">
        <v>5</v>
      </c>
      <c r="E82" s="79">
        <v>14.09</v>
      </c>
      <c r="F82" s="61">
        <f>TRUNC(3.6532,2)</f>
        <v>3.65</v>
      </c>
      <c r="G82" s="62">
        <f t="shared" si="1"/>
        <v>51.42</v>
      </c>
      <c r="H82" s="62"/>
      <c r="I82" s="63"/>
    </row>
    <row r="83" spans="1:9" s="64" customFormat="1" ht="14.25">
      <c r="A83" s="58"/>
      <c r="B83" s="59" t="s">
        <v>457</v>
      </c>
      <c r="C83" s="78" t="s">
        <v>458</v>
      </c>
      <c r="D83" s="60" t="s">
        <v>5</v>
      </c>
      <c r="E83" s="79">
        <v>14.09</v>
      </c>
      <c r="F83" s="61">
        <f>TRUNC(7.4924,2)</f>
        <v>7.49</v>
      </c>
      <c r="G83" s="62">
        <f t="shared" si="1"/>
        <v>105.53</v>
      </c>
      <c r="H83" s="62"/>
      <c r="I83" s="63"/>
    </row>
    <row r="84" spans="1:9" s="64" customFormat="1" ht="14.25">
      <c r="A84" s="58"/>
      <c r="B84" s="59" t="s">
        <v>459</v>
      </c>
      <c r="C84" s="78" t="s">
        <v>460</v>
      </c>
      <c r="D84" s="60" t="s">
        <v>6</v>
      </c>
      <c r="E84" s="79">
        <v>0.05</v>
      </c>
      <c r="F84" s="61">
        <f>TRUNC(153.517,2)</f>
        <v>153.51</v>
      </c>
      <c r="G84" s="62">
        <f t="shared" si="1"/>
        <v>7.67</v>
      </c>
      <c r="H84" s="62"/>
      <c r="I84" s="63"/>
    </row>
    <row r="85" spans="1:9" s="64" customFormat="1" ht="14.25">
      <c r="A85" s="58"/>
      <c r="B85" s="59" t="s">
        <v>461</v>
      </c>
      <c r="C85" s="78" t="s">
        <v>462</v>
      </c>
      <c r="D85" s="60" t="s">
        <v>6</v>
      </c>
      <c r="E85" s="79">
        <v>0.06</v>
      </c>
      <c r="F85" s="61">
        <f>TRUNC(136.6245,2)</f>
        <v>136.62</v>
      </c>
      <c r="G85" s="62">
        <f t="shared" si="1"/>
        <v>8.19</v>
      </c>
      <c r="H85" s="62"/>
      <c r="I85" s="63"/>
    </row>
    <row r="86" spans="1:9" s="64" customFormat="1" ht="14.25">
      <c r="A86" s="58"/>
      <c r="B86" s="59" t="s">
        <v>463</v>
      </c>
      <c r="C86" s="78" t="s">
        <v>464</v>
      </c>
      <c r="D86" s="60" t="s">
        <v>5</v>
      </c>
      <c r="E86" s="79">
        <v>2.07</v>
      </c>
      <c r="F86" s="61">
        <f>TRUNC(10.1992,2)</f>
        <v>10.19</v>
      </c>
      <c r="G86" s="62">
        <f t="shared" si="1"/>
        <v>21.09</v>
      </c>
      <c r="H86" s="62"/>
      <c r="I86" s="63"/>
    </row>
    <row r="87" spans="1:9" s="64" customFormat="1" ht="14.25">
      <c r="A87" s="58"/>
      <c r="B87" s="59"/>
      <c r="C87" s="78"/>
      <c r="D87" s="60"/>
      <c r="E87" s="79" t="s">
        <v>7</v>
      </c>
      <c r="F87" s="61"/>
      <c r="G87" s="62">
        <f>TRUNC(SUM(G75:G86),2)</f>
        <v>363.67</v>
      </c>
      <c r="H87" s="62"/>
      <c r="I87" s="63"/>
    </row>
    <row r="88" spans="1:9" s="130" customFormat="1" ht="42.75">
      <c r="A88" s="95" t="s">
        <v>191</v>
      </c>
      <c r="B88" s="96" t="s">
        <v>465</v>
      </c>
      <c r="C88" s="97" t="s">
        <v>393</v>
      </c>
      <c r="D88" s="98" t="s">
        <v>12</v>
      </c>
      <c r="E88" s="99">
        <v>1</v>
      </c>
      <c r="F88" s="100">
        <f>TRUNC(G97,2)</f>
        <v>10642.51</v>
      </c>
      <c r="G88" s="128">
        <f>TRUNC(F88*1.2338,2)</f>
        <v>13130.72</v>
      </c>
      <c r="H88" s="128">
        <f>TRUNC(F88*E88,2)</f>
        <v>10642.51</v>
      </c>
      <c r="I88" s="129">
        <f>TRUNC(E88*G88,2)</f>
        <v>13130.72</v>
      </c>
    </row>
    <row r="89" spans="1:9" s="64" customFormat="1" ht="28.5">
      <c r="A89" s="58"/>
      <c r="B89" s="59" t="s">
        <v>132</v>
      </c>
      <c r="C89" s="78" t="s">
        <v>133</v>
      </c>
      <c r="D89" s="60" t="s">
        <v>6</v>
      </c>
      <c r="E89" s="79">
        <v>214.4</v>
      </c>
      <c r="F89" s="61">
        <f>TRUNC(16.55,2)</f>
        <v>16.55</v>
      </c>
      <c r="G89" s="62">
        <f aca="true" t="shared" si="2" ref="G89:G96">TRUNC(E89*F89,2)</f>
        <v>3548.32</v>
      </c>
      <c r="H89" s="62"/>
      <c r="I89" s="63"/>
    </row>
    <row r="90" spans="1:9" s="64" customFormat="1" ht="28.5">
      <c r="A90" s="58"/>
      <c r="B90" s="59" t="s">
        <v>466</v>
      </c>
      <c r="C90" s="78" t="s">
        <v>467</v>
      </c>
      <c r="D90" s="60" t="s">
        <v>6</v>
      </c>
      <c r="E90" s="79">
        <v>53.6</v>
      </c>
      <c r="F90" s="61">
        <f>TRUNC(24.61,2)</f>
        <v>24.61</v>
      </c>
      <c r="G90" s="62">
        <f t="shared" si="2"/>
        <v>1319.09</v>
      </c>
      <c r="H90" s="62"/>
      <c r="I90" s="63"/>
    </row>
    <row r="91" spans="1:9" s="64" customFormat="1" ht="28.5">
      <c r="A91" s="58"/>
      <c r="B91" s="59" t="s">
        <v>468</v>
      </c>
      <c r="C91" s="78" t="s">
        <v>469</v>
      </c>
      <c r="D91" s="60" t="s">
        <v>6</v>
      </c>
      <c r="E91" s="79">
        <v>107.2</v>
      </c>
      <c r="F91" s="61">
        <f>TRUNC(22.86,2)</f>
        <v>22.86</v>
      </c>
      <c r="G91" s="62">
        <f t="shared" si="2"/>
        <v>2450.59</v>
      </c>
      <c r="H91" s="62"/>
      <c r="I91" s="63"/>
    </row>
    <row r="92" spans="1:9" s="64" customFormat="1" ht="14.25">
      <c r="A92" s="58"/>
      <c r="B92" s="59" t="s">
        <v>470</v>
      </c>
      <c r="C92" s="78" t="s">
        <v>471</v>
      </c>
      <c r="D92" s="60" t="s">
        <v>6</v>
      </c>
      <c r="E92" s="79">
        <v>26.8</v>
      </c>
      <c r="F92" s="61">
        <f>TRUNC(38.06,2)</f>
        <v>38.06</v>
      </c>
      <c r="G92" s="62">
        <f t="shared" si="2"/>
        <v>1020</v>
      </c>
      <c r="H92" s="62"/>
      <c r="I92" s="63"/>
    </row>
    <row r="93" spans="1:9" s="64" customFormat="1" ht="14.25">
      <c r="A93" s="58"/>
      <c r="B93" s="59" t="s">
        <v>394</v>
      </c>
      <c r="C93" s="78" t="s">
        <v>395</v>
      </c>
      <c r="D93" s="60" t="s">
        <v>12</v>
      </c>
      <c r="E93" s="79">
        <v>0.001375</v>
      </c>
      <c r="F93" s="61">
        <f>TRUNC(187702.26,2)</f>
        <v>187702.26</v>
      </c>
      <c r="G93" s="62">
        <f t="shared" si="2"/>
        <v>258.09</v>
      </c>
      <c r="H93" s="62"/>
      <c r="I93" s="63"/>
    </row>
    <row r="94" spans="1:9" s="64" customFormat="1" ht="14.25">
      <c r="A94" s="58"/>
      <c r="B94" s="59" t="s">
        <v>396</v>
      </c>
      <c r="C94" s="78" t="s">
        <v>397</v>
      </c>
      <c r="D94" s="60" t="s">
        <v>12</v>
      </c>
      <c r="E94" s="79">
        <v>0.000385</v>
      </c>
      <c r="F94" s="61">
        <f>TRUNC(6511.3943,2)</f>
        <v>6511.39</v>
      </c>
      <c r="G94" s="62">
        <f t="shared" si="2"/>
        <v>2.5</v>
      </c>
      <c r="H94" s="62"/>
      <c r="I94" s="63"/>
    </row>
    <row r="95" spans="1:9" s="64" customFormat="1" ht="14.25">
      <c r="A95" s="58"/>
      <c r="B95" s="59" t="s">
        <v>472</v>
      </c>
      <c r="C95" s="78" t="s">
        <v>473</v>
      </c>
      <c r="D95" s="60" t="s">
        <v>6</v>
      </c>
      <c r="E95" s="79">
        <v>40</v>
      </c>
      <c r="F95" s="61">
        <f>TRUNC(46.5926,2)</f>
        <v>46.59</v>
      </c>
      <c r="G95" s="62">
        <f t="shared" si="2"/>
        <v>1863.6</v>
      </c>
      <c r="H95" s="62"/>
      <c r="I95" s="63"/>
    </row>
    <row r="96" spans="1:9" s="64" customFormat="1" ht="14.25">
      <c r="A96" s="58"/>
      <c r="B96" s="59" t="s">
        <v>474</v>
      </c>
      <c r="C96" s="78" t="s">
        <v>475</v>
      </c>
      <c r="D96" s="60" t="s">
        <v>6</v>
      </c>
      <c r="E96" s="79">
        <v>1.25</v>
      </c>
      <c r="F96" s="61">
        <f>TRUNC(144.2693,2)</f>
        <v>144.26</v>
      </c>
      <c r="G96" s="62">
        <f t="shared" si="2"/>
        <v>180.32</v>
      </c>
      <c r="H96" s="62"/>
      <c r="I96" s="63"/>
    </row>
    <row r="97" spans="1:9" s="64" customFormat="1" ht="14.25">
      <c r="A97" s="58"/>
      <c r="B97" s="59"/>
      <c r="C97" s="78"/>
      <c r="D97" s="60"/>
      <c r="E97" s="79" t="s">
        <v>7</v>
      </c>
      <c r="F97" s="61"/>
      <c r="G97" s="62">
        <f>TRUNC(SUM(G89:G96),2)</f>
        <v>10642.51</v>
      </c>
      <c r="H97" s="62"/>
      <c r="I97" s="63"/>
    </row>
    <row r="98" spans="1:9" s="130" customFormat="1" ht="36.75" customHeight="1">
      <c r="A98" s="95" t="s">
        <v>192</v>
      </c>
      <c r="B98" s="96" t="s">
        <v>476</v>
      </c>
      <c r="C98" s="97" t="s">
        <v>398</v>
      </c>
      <c r="D98" s="98" t="s">
        <v>1</v>
      </c>
      <c r="E98" s="99">
        <v>77.76</v>
      </c>
      <c r="F98" s="100">
        <f>TRUNC(G103,2)</f>
        <v>40.97</v>
      </c>
      <c r="G98" s="128">
        <f>TRUNC(F98*1.2338,2)</f>
        <v>50.54</v>
      </c>
      <c r="H98" s="128">
        <f>TRUNC(F98*E98,2)</f>
        <v>3185.82</v>
      </c>
      <c r="I98" s="129">
        <f>TRUNC(E98*G98,2)</f>
        <v>3929.99</v>
      </c>
    </row>
    <row r="99" spans="1:9" s="64" customFormat="1" ht="14.25">
      <c r="A99" s="58"/>
      <c r="B99" s="59" t="s">
        <v>234</v>
      </c>
      <c r="C99" s="78" t="s">
        <v>99</v>
      </c>
      <c r="D99" s="60" t="s">
        <v>6</v>
      </c>
      <c r="E99" s="79">
        <v>0.161</v>
      </c>
      <c r="F99" s="61">
        <f>TRUNC(23.42,2)</f>
        <v>23.42</v>
      </c>
      <c r="G99" s="62">
        <f>TRUNC(E99*F99,2)</f>
        <v>3.77</v>
      </c>
      <c r="H99" s="62"/>
      <c r="I99" s="63"/>
    </row>
    <row r="100" spans="1:9" s="64" customFormat="1" ht="14.25">
      <c r="A100" s="58"/>
      <c r="B100" s="59" t="s">
        <v>235</v>
      </c>
      <c r="C100" s="78" t="s">
        <v>172</v>
      </c>
      <c r="D100" s="60" t="s">
        <v>6</v>
      </c>
      <c r="E100" s="79">
        <v>0.225</v>
      </c>
      <c r="F100" s="61">
        <f>TRUNC(29.96,2)</f>
        <v>29.96</v>
      </c>
      <c r="G100" s="62">
        <f>TRUNC(E100*F100,2)</f>
        <v>6.74</v>
      </c>
      <c r="H100" s="62"/>
      <c r="I100" s="63"/>
    </row>
    <row r="101" spans="1:9" s="64" customFormat="1" ht="57">
      <c r="A101" s="58"/>
      <c r="B101" s="59" t="s">
        <v>477</v>
      </c>
      <c r="C101" s="78" t="s">
        <v>478</v>
      </c>
      <c r="D101" s="60" t="s">
        <v>196</v>
      </c>
      <c r="E101" s="79">
        <v>0.085</v>
      </c>
      <c r="F101" s="61">
        <f>TRUNC(57.54,2)</f>
        <v>57.54</v>
      </c>
      <c r="G101" s="62">
        <f>TRUNC(E101*F101,2)</f>
        <v>4.89</v>
      </c>
      <c r="H101" s="62"/>
      <c r="I101" s="63"/>
    </row>
    <row r="102" spans="1:9" s="64" customFormat="1" ht="57">
      <c r="A102" s="58"/>
      <c r="B102" s="59" t="s">
        <v>479</v>
      </c>
      <c r="C102" s="78" t="s">
        <v>480</v>
      </c>
      <c r="D102" s="60" t="s">
        <v>51</v>
      </c>
      <c r="E102" s="79">
        <v>0.208</v>
      </c>
      <c r="F102" s="61">
        <f>TRUNC(122.97,2)</f>
        <v>122.97</v>
      </c>
      <c r="G102" s="62">
        <f>TRUNC(E102*F102,2)</f>
        <v>25.57</v>
      </c>
      <c r="H102" s="62"/>
      <c r="I102" s="63"/>
    </row>
    <row r="103" spans="1:9" s="64" customFormat="1" ht="14.25">
      <c r="A103" s="58"/>
      <c r="B103" s="59"/>
      <c r="C103" s="78"/>
      <c r="D103" s="60"/>
      <c r="E103" s="79" t="s">
        <v>7</v>
      </c>
      <c r="F103" s="61"/>
      <c r="G103" s="62">
        <f>TRUNC(SUM(G99:G102),2)</f>
        <v>40.97</v>
      </c>
      <c r="H103" s="62"/>
      <c r="I103" s="63"/>
    </row>
    <row r="104" spans="1:9" s="130" customFormat="1" ht="42.75">
      <c r="A104" s="95" t="s">
        <v>696</v>
      </c>
      <c r="B104" s="96" t="s">
        <v>399</v>
      </c>
      <c r="C104" s="97" t="s">
        <v>400</v>
      </c>
      <c r="D104" s="98" t="s">
        <v>1</v>
      </c>
      <c r="E104" s="99">
        <v>56</v>
      </c>
      <c r="F104" s="100">
        <f>TRUNC(G109,2)</f>
        <v>19.76</v>
      </c>
      <c r="G104" s="128">
        <f>TRUNC(F104*1.2338,2)</f>
        <v>24.37</v>
      </c>
      <c r="H104" s="128">
        <f>TRUNC(F104*E104,2)</f>
        <v>1106.56</v>
      </c>
      <c r="I104" s="129">
        <f>TRUNC(E104*G104,2)</f>
        <v>1364.72</v>
      </c>
    </row>
    <row r="105" spans="1:9" s="64" customFormat="1" ht="28.5">
      <c r="A105" s="58"/>
      <c r="B105" s="59" t="s">
        <v>70</v>
      </c>
      <c r="C105" s="78" t="s">
        <v>71</v>
      </c>
      <c r="D105" s="60" t="s">
        <v>6</v>
      </c>
      <c r="E105" s="79">
        <v>1.09901</v>
      </c>
      <c r="F105" s="61">
        <f>TRUNC(14.34,2)</f>
        <v>14.34</v>
      </c>
      <c r="G105" s="62">
        <f>TRUNC(E105*F105,2)</f>
        <v>15.75</v>
      </c>
      <c r="H105" s="62"/>
      <c r="I105" s="63"/>
    </row>
    <row r="106" spans="1:9" s="64" customFormat="1" ht="28.5">
      <c r="A106" s="58"/>
      <c r="B106" s="59" t="s">
        <v>401</v>
      </c>
      <c r="C106" s="78" t="s">
        <v>402</v>
      </c>
      <c r="D106" s="60" t="s">
        <v>6</v>
      </c>
      <c r="E106" s="79">
        <v>0.13699</v>
      </c>
      <c r="F106" s="61">
        <f>TRUNC(22.25,2)</f>
        <v>22.25</v>
      </c>
      <c r="G106" s="62">
        <f>TRUNC(E106*F106,2)</f>
        <v>3.04</v>
      </c>
      <c r="H106" s="62"/>
      <c r="I106" s="63"/>
    </row>
    <row r="107" spans="1:9" s="64" customFormat="1" ht="14.25">
      <c r="A107" s="58"/>
      <c r="B107" s="59" t="s">
        <v>119</v>
      </c>
      <c r="C107" s="78" t="s">
        <v>95</v>
      </c>
      <c r="D107" s="60" t="s">
        <v>6</v>
      </c>
      <c r="E107" s="79">
        <v>0.033</v>
      </c>
      <c r="F107" s="61">
        <f>TRUNC(2.083,2)</f>
        <v>2.08</v>
      </c>
      <c r="G107" s="62">
        <f>TRUNC(E107*F107,2)</f>
        <v>0.06</v>
      </c>
      <c r="H107" s="62"/>
      <c r="I107" s="63"/>
    </row>
    <row r="108" spans="1:9" s="64" customFormat="1" ht="14.25">
      <c r="A108" s="58"/>
      <c r="B108" s="59" t="s">
        <v>120</v>
      </c>
      <c r="C108" s="78" t="s">
        <v>94</v>
      </c>
      <c r="D108" s="60" t="s">
        <v>6</v>
      </c>
      <c r="E108" s="79">
        <v>0.1</v>
      </c>
      <c r="F108" s="61">
        <f>TRUNC(9.1513,2)</f>
        <v>9.15</v>
      </c>
      <c r="G108" s="62">
        <f>TRUNC(E108*F108,2)</f>
        <v>0.91</v>
      </c>
      <c r="H108" s="62"/>
      <c r="I108" s="63"/>
    </row>
    <row r="109" spans="1:9" s="64" customFormat="1" ht="14.25">
      <c r="A109" s="58"/>
      <c r="B109" s="59"/>
      <c r="C109" s="78"/>
      <c r="D109" s="60"/>
      <c r="E109" s="79" t="s">
        <v>7</v>
      </c>
      <c r="F109" s="61"/>
      <c r="G109" s="62">
        <f>TRUNC(SUM(G105:G108),2)</f>
        <v>19.76</v>
      </c>
      <c r="H109" s="62"/>
      <c r="I109" s="63"/>
    </row>
    <row r="110" spans="1:9" s="130" customFormat="1" ht="28.5">
      <c r="A110" s="95" t="s">
        <v>697</v>
      </c>
      <c r="B110" s="96" t="s">
        <v>481</v>
      </c>
      <c r="C110" s="97" t="s">
        <v>403</v>
      </c>
      <c r="D110" s="98" t="s">
        <v>0</v>
      </c>
      <c r="E110" s="99">
        <v>25.6</v>
      </c>
      <c r="F110" s="100">
        <f>TRUNC(G114,2)</f>
        <v>27.42</v>
      </c>
      <c r="G110" s="128">
        <f>TRUNC(F110*1.2338,2)</f>
        <v>33.83</v>
      </c>
      <c r="H110" s="128">
        <f>TRUNC(F110*E110,2)</f>
        <v>701.95</v>
      </c>
      <c r="I110" s="129">
        <f>TRUNC(E110*G110,2)</f>
        <v>866.04</v>
      </c>
    </row>
    <row r="111" spans="1:9" s="64" customFormat="1" ht="14.25">
      <c r="A111" s="58"/>
      <c r="B111" s="59" t="s">
        <v>234</v>
      </c>
      <c r="C111" s="78" t="s">
        <v>99</v>
      </c>
      <c r="D111" s="60" t="s">
        <v>6</v>
      </c>
      <c r="E111" s="79">
        <v>0.0741</v>
      </c>
      <c r="F111" s="61">
        <f>TRUNC(23.42,2)</f>
        <v>23.42</v>
      </c>
      <c r="G111" s="62">
        <f>TRUNC(E111*F111,2)</f>
        <v>1.73</v>
      </c>
      <c r="H111" s="62"/>
      <c r="I111" s="63"/>
    </row>
    <row r="112" spans="1:9" s="64" customFormat="1" ht="14.25">
      <c r="A112" s="58"/>
      <c r="B112" s="59" t="s">
        <v>235</v>
      </c>
      <c r="C112" s="78" t="s">
        <v>172</v>
      </c>
      <c r="D112" s="60" t="s">
        <v>6</v>
      </c>
      <c r="E112" s="79">
        <v>0.2718</v>
      </c>
      <c r="F112" s="61">
        <f>TRUNC(29.96,2)</f>
        <v>29.96</v>
      </c>
      <c r="G112" s="62">
        <f>TRUNC(E112*F112,2)</f>
        <v>8.14</v>
      </c>
      <c r="H112" s="62"/>
      <c r="I112" s="63"/>
    </row>
    <row r="113" spans="1:9" s="64" customFormat="1" ht="42.75">
      <c r="A113" s="58"/>
      <c r="B113" s="59" t="s">
        <v>482</v>
      </c>
      <c r="C113" s="78" t="s">
        <v>483</v>
      </c>
      <c r="D113" s="60" t="s">
        <v>1</v>
      </c>
      <c r="E113" s="79">
        <v>0.0565</v>
      </c>
      <c r="F113" s="61">
        <f>TRUNC(310.75,2)</f>
        <v>310.75</v>
      </c>
      <c r="G113" s="62">
        <f>TRUNC(E113*F113,2)</f>
        <v>17.55</v>
      </c>
      <c r="H113" s="62"/>
      <c r="I113" s="63"/>
    </row>
    <row r="114" spans="1:9" s="64" customFormat="1" ht="14.25">
      <c r="A114" s="58"/>
      <c r="B114" s="59"/>
      <c r="C114" s="78"/>
      <c r="D114" s="60"/>
      <c r="E114" s="79" t="s">
        <v>7</v>
      </c>
      <c r="F114" s="61"/>
      <c r="G114" s="62">
        <f>TRUNC(SUM(G111:G113),2)</f>
        <v>27.42</v>
      </c>
      <c r="H114" s="62"/>
      <c r="I114" s="63"/>
    </row>
    <row r="115" spans="1:9" s="130" customFormat="1" ht="28.5">
      <c r="A115" s="95" t="s">
        <v>698</v>
      </c>
      <c r="B115" s="96" t="s">
        <v>484</v>
      </c>
      <c r="C115" s="97" t="s">
        <v>404</v>
      </c>
      <c r="D115" s="98" t="s">
        <v>0</v>
      </c>
      <c r="E115" s="99">
        <v>71.68</v>
      </c>
      <c r="F115" s="100">
        <f>TRUNC(G126,2)</f>
        <v>130.83</v>
      </c>
      <c r="G115" s="128">
        <f>TRUNC(F115*1.2338,2)</f>
        <v>161.41</v>
      </c>
      <c r="H115" s="128">
        <f>TRUNC(F115*E115,2)</f>
        <v>9377.89</v>
      </c>
      <c r="I115" s="129">
        <f>TRUNC(E115*G115,2)</f>
        <v>11569.86</v>
      </c>
    </row>
    <row r="116" spans="1:9" s="64" customFormat="1" ht="14.25">
      <c r="A116" s="58"/>
      <c r="B116" s="59" t="s">
        <v>485</v>
      </c>
      <c r="C116" s="78" t="s">
        <v>405</v>
      </c>
      <c r="D116" s="60" t="s">
        <v>5</v>
      </c>
      <c r="E116" s="79">
        <v>0.044</v>
      </c>
      <c r="F116" s="61">
        <f>TRUNC(18.61,2)</f>
        <v>18.61</v>
      </c>
      <c r="G116" s="62">
        <f aca="true" t="shared" si="3" ref="G116:G125">TRUNC(E116*F116,2)</f>
        <v>0.81</v>
      </c>
      <c r="H116" s="62"/>
      <c r="I116" s="63"/>
    </row>
    <row r="117" spans="1:9" s="64" customFormat="1" ht="28.5">
      <c r="A117" s="58"/>
      <c r="B117" s="59" t="s">
        <v>486</v>
      </c>
      <c r="C117" s="78" t="s">
        <v>406</v>
      </c>
      <c r="D117" s="60" t="s">
        <v>3</v>
      </c>
      <c r="E117" s="79">
        <v>2.041</v>
      </c>
      <c r="F117" s="61">
        <f>TRUNC(26.6,2)</f>
        <v>26.6</v>
      </c>
      <c r="G117" s="62">
        <f t="shared" si="3"/>
        <v>54.29</v>
      </c>
      <c r="H117" s="62"/>
      <c r="I117" s="63"/>
    </row>
    <row r="118" spans="1:9" s="64" customFormat="1" ht="14.25">
      <c r="A118" s="58"/>
      <c r="B118" s="59" t="s">
        <v>487</v>
      </c>
      <c r="C118" s="78" t="s">
        <v>407</v>
      </c>
      <c r="D118" s="60" t="s">
        <v>5</v>
      </c>
      <c r="E118" s="79">
        <v>0.022</v>
      </c>
      <c r="F118" s="61">
        <f>TRUNC(16.89,2)</f>
        <v>16.89</v>
      </c>
      <c r="G118" s="62">
        <f t="shared" si="3"/>
        <v>0.37</v>
      </c>
      <c r="H118" s="62"/>
      <c r="I118" s="63"/>
    </row>
    <row r="119" spans="1:9" s="64" customFormat="1" ht="14.25">
      <c r="A119" s="58"/>
      <c r="B119" s="59" t="s">
        <v>488</v>
      </c>
      <c r="C119" s="78" t="s">
        <v>408</v>
      </c>
      <c r="D119" s="60" t="s">
        <v>3</v>
      </c>
      <c r="E119" s="79">
        <v>1.78</v>
      </c>
      <c r="F119" s="61">
        <f>TRUNC(2.14,2)</f>
        <v>2.14</v>
      </c>
      <c r="G119" s="62">
        <f t="shared" si="3"/>
        <v>3.8</v>
      </c>
      <c r="H119" s="62"/>
      <c r="I119" s="63"/>
    </row>
    <row r="120" spans="1:9" s="64" customFormat="1" ht="14.25">
      <c r="A120" s="58"/>
      <c r="B120" s="59" t="s">
        <v>489</v>
      </c>
      <c r="C120" s="78" t="s">
        <v>409</v>
      </c>
      <c r="D120" s="60" t="s">
        <v>3</v>
      </c>
      <c r="E120" s="79">
        <v>1.205</v>
      </c>
      <c r="F120" s="61">
        <f>TRUNC(6.13,2)</f>
        <v>6.13</v>
      </c>
      <c r="G120" s="62">
        <f t="shared" si="3"/>
        <v>7.38</v>
      </c>
      <c r="H120" s="62"/>
      <c r="I120" s="63"/>
    </row>
    <row r="121" spans="1:9" s="64" customFormat="1" ht="28.5">
      <c r="A121" s="58"/>
      <c r="B121" s="59" t="s">
        <v>490</v>
      </c>
      <c r="C121" s="78" t="s">
        <v>410</v>
      </c>
      <c r="D121" s="60" t="s">
        <v>411</v>
      </c>
      <c r="E121" s="79">
        <v>0.017</v>
      </c>
      <c r="F121" s="61">
        <f>TRUNC(5.8,2)</f>
        <v>5.8</v>
      </c>
      <c r="G121" s="62">
        <f t="shared" si="3"/>
        <v>0.09</v>
      </c>
      <c r="H121" s="62"/>
      <c r="I121" s="63"/>
    </row>
    <row r="122" spans="1:9" s="64" customFormat="1" ht="14.25">
      <c r="A122" s="58"/>
      <c r="B122" s="59" t="s">
        <v>236</v>
      </c>
      <c r="C122" s="78" t="s">
        <v>216</v>
      </c>
      <c r="D122" s="60" t="s">
        <v>6</v>
      </c>
      <c r="E122" s="79">
        <v>1.563</v>
      </c>
      <c r="F122" s="61">
        <f>TRUNC(29.7,2)</f>
        <v>29.7</v>
      </c>
      <c r="G122" s="62">
        <f t="shared" si="3"/>
        <v>46.42</v>
      </c>
      <c r="H122" s="62"/>
      <c r="I122" s="63"/>
    </row>
    <row r="123" spans="1:9" s="64" customFormat="1" ht="14.25">
      <c r="A123" s="58"/>
      <c r="B123" s="59" t="s">
        <v>491</v>
      </c>
      <c r="C123" s="78" t="s">
        <v>412</v>
      </c>
      <c r="D123" s="60" t="s">
        <v>6</v>
      </c>
      <c r="E123" s="79">
        <v>0.619</v>
      </c>
      <c r="F123" s="61">
        <f>TRUNC(24.91,2)</f>
        <v>24.91</v>
      </c>
      <c r="G123" s="62">
        <f t="shared" si="3"/>
        <v>15.41</v>
      </c>
      <c r="H123" s="62"/>
      <c r="I123" s="63"/>
    </row>
    <row r="124" spans="1:9" s="64" customFormat="1" ht="28.5">
      <c r="A124" s="58"/>
      <c r="B124" s="59" t="s">
        <v>492</v>
      </c>
      <c r="C124" s="78" t="s">
        <v>493</v>
      </c>
      <c r="D124" s="60" t="s">
        <v>196</v>
      </c>
      <c r="E124" s="79">
        <v>0.028</v>
      </c>
      <c r="F124" s="61">
        <f>TRUNC(34.47,2)</f>
        <v>34.47</v>
      </c>
      <c r="G124" s="62">
        <f t="shared" si="3"/>
        <v>0.96</v>
      </c>
      <c r="H124" s="62"/>
      <c r="I124" s="63"/>
    </row>
    <row r="125" spans="1:9" s="64" customFormat="1" ht="28.5">
      <c r="A125" s="58"/>
      <c r="B125" s="59" t="s">
        <v>494</v>
      </c>
      <c r="C125" s="78" t="s">
        <v>495</v>
      </c>
      <c r="D125" s="60" t="s">
        <v>51</v>
      </c>
      <c r="E125" s="79">
        <v>0.035</v>
      </c>
      <c r="F125" s="61">
        <f>TRUNC(37.4,2)</f>
        <v>37.4</v>
      </c>
      <c r="G125" s="62">
        <f t="shared" si="3"/>
        <v>1.3</v>
      </c>
      <c r="H125" s="62"/>
      <c r="I125" s="63"/>
    </row>
    <row r="126" spans="1:9" s="64" customFormat="1" ht="14.25">
      <c r="A126" s="58"/>
      <c r="B126" s="59"/>
      <c r="C126" s="78"/>
      <c r="D126" s="60"/>
      <c r="E126" s="79" t="s">
        <v>7</v>
      </c>
      <c r="F126" s="61"/>
      <c r="G126" s="62">
        <f>TRUNC(SUM(G116:G125),2)</f>
        <v>130.83</v>
      </c>
      <c r="H126" s="62"/>
      <c r="I126" s="63"/>
    </row>
    <row r="127" spans="1:9" s="130" customFormat="1" ht="28.5">
      <c r="A127" s="95" t="s">
        <v>699</v>
      </c>
      <c r="B127" s="96" t="s">
        <v>496</v>
      </c>
      <c r="C127" s="97" t="s">
        <v>413</v>
      </c>
      <c r="D127" s="98" t="s">
        <v>1</v>
      </c>
      <c r="E127" s="99">
        <v>20.48</v>
      </c>
      <c r="F127" s="100">
        <f>TRUNC(G133,2)</f>
        <v>402.56</v>
      </c>
      <c r="G127" s="128">
        <f>TRUNC(F127*1.2338,2)</f>
        <v>496.67</v>
      </c>
      <c r="H127" s="128">
        <f>TRUNC(F127*E127,2)</f>
        <v>8244.42</v>
      </c>
      <c r="I127" s="129">
        <f>TRUNC(E127*G127,2)</f>
        <v>10171.8</v>
      </c>
    </row>
    <row r="128" spans="1:9" s="93" customFormat="1" ht="30">
      <c r="A128" s="87"/>
      <c r="B128" s="88" t="s">
        <v>414</v>
      </c>
      <c r="C128" s="89" t="s">
        <v>415</v>
      </c>
      <c r="D128" s="90" t="s">
        <v>1</v>
      </c>
      <c r="E128" s="91">
        <v>1.15</v>
      </c>
      <c r="F128" s="92">
        <v>329.36</v>
      </c>
      <c r="G128" s="75">
        <f>TRUNC(E128*F128,2)</f>
        <v>378.76</v>
      </c>
      <c r="H128" s="75"/>
      <c r="I128" s="76"/>
    </row>
    <row r="129" spans="1:9" s="64" customFormat="1" ht="14.25">
      <c r="A129" s="58"/>
      <c r="B129" s="59" t="s">
        <v>234</v>
      </c>
      <c r="C129" s="78" t="s">
        <v>99</v>
      </c>
      <c r="D129" s="60" t="s">
        <v>6</v>
      </c>
      <c r="E129" s="79">
        <v>0.544</v>
      </c>
      <c r="F129" s="61">
        <f>TRUNC(23.42,2)</f>
        <v>23.42</v>
      </c>
      <c r="G129" s="62">
        <f>TRUNC(E129*F129,2)</f>
        <v>12.74</v>
      </c>
      <c r="H129" s="62"/>
      <c r="I129" s="63"/>
    </row>
    <row r="130" spans="1:9" s="64" customFormat="1" ht="14.25">
      <c r="A130" s="58"/>
      <c r="B130" s="59" t="s">
        <v>235</v>
      </c>
      <c r="C130" s="78" t="s">
        <v>172</v>
      </c>
      <c r="D130" s="60" t="s">
        <v>6</v>
      </c>
      <c r="E130" s="79">
        <v>0.363</v>
      </c>
      <c r="F130" s="61">
        <f>TRUNC(29.96,2)</f>
        <v>29.96</v>
      </c>
      <c r="G130" s="62">
        <f>TRUNC(E130*F130,2)</f>
        <v>10.87</v>
      </c>
      <c r="H130" s="62"/>
      <c r="I130" s="63"/>
    </row>
    <row r="131" spans="1:9" s="64" customFormat="1" ht="28.5">
      <c r="A131" s="58"/>
      <c r="B131" s="59" t="s">
        <v>237</v>
      </c>
      <c r="C131" s="78" t="s">
        <v>238</v>
      </c>
      <c r="D131" s="60" t="s">
        <v>196</v>
      </c>
      <c r="E131" s="79">
        <v>0.093</v>
      </c>
      <c r="F131" s="61">
        <f>TRUNC(0.42,2)</f>
        <v>0.42</v>
      </c>
      <c r="G131" s="62">
        <f>TRUNC(E131*F131,2)</f>
        <v>0.03</v>
      </c>
      <c r="H131" s="62"/>
      <c r="I131" s="63"/>
    </row>
    <row r="132" spans="1:9" s="64" customFormat="1" ht="28.5">
      <c r="A132" s="58"/>
      <c r="B132" s="59" t="s">
        <v>239</v>
      </c>
      <c r="C132" s="78" t="s">
        <v>240</v>
      </c>
      <c r="D132" s="60" t="s">
        <v>51</v>
      </c>
      <c r="E132" s="79">
        <v>0.088</v>
      </c>
      <c r="F132" s="61">
        <f>TRUNC(1.85,2)</f>
        <v>1.85</v>
      </c>
      <c r="G132" s="62">
        <f>TRUNC(E132*F132,2)</f>
        <v>0.16</v>
      </c>
      <c r="H132" s="62"/>
      <c r="I132" s="63"/>
    </row>
    <row r="133" spans="1:9" s="64" customFormat="1" ht="14.25">
      <c r="A133" s="58"/>
      <c r="B133" s="59"/>
      <c r="C133" s="78"/>
      <c r="D133" s="60"/>
      <c r="E133" s="79" t="s">
        <v>7</v>
      </c>
      <c r="F133" s="61"/>
      <c r="G133" s="62">
        <f>TRUNC(SUM(G128:G132),2)</f>
        <v>402.56</v>
      </c>
      <c r="H133" s="62"/>
      <c r="I133" s="63"/>
    </row>
    <row r="134" spans="1:9" s="130" customFormat="1" ht="57">
      <c r="A134" s="95" t="s">
        <v>700</v>
      </c>
      <c r="B134" s="96" t="s">
        <v>416</v>
      </c>
      <c r="C134" s="97" t="s">
        <v>417</v>
      </c>
      <c r="D134" s="98" t="s">
        <v>5</v>
      </c>
      <c r="E134" s="99">
        <v>465</v>
      </c>
      <c r="F134" s="100">
        <f>TRUNC(G139,2)</f>
        <v>8.65</v>
      </c>
      <c r="G134" s="128">
        <f>TRUNC(F134*1.2338,2)</f>
        <v>10.67</v>
      </c>
      <c r="H134" s="128">
        <f>TRUNC(F134*E134,2)</f>
        <v>4022.25</v>
      </c>
      <c r="I134" s="129">
        <f>TRUNC(E134*G134,2)</f>
        <v>4961.55</v>
      </c>
    </row>
    <row r="135" spans="1:9" s="64" customFormat="1" ht="14.25">
      <c r="A135" s="58"/>
      <c r="B135" s="59" t="s">
        <v>418</v>
      </c>
      <c r="C135" s="78" t="s">
        <v>419</v>
      </c>
      <c r="D135" s="60" t="s">
        <v>5</v>
      </c>
      <c r="E135" s="79">
        <v>0.37</v>
      </c>
      <c r="F135" s="61">
        <f>TRUNC(7.1356,2)</f>
        <v>7.13</v>
      </c>
      <c r="G135" s="62">
        <f>TRUNC(E135*F135,2)</f>
        <v>2.63</v>
      </c>
      <c r="H135" s="62"/>
      <c r="I135" s="63"/>
    </row>
    <row r="136" spans="1:9" s="64" customFormat="1" ht="14.25">
      <c r="A136" s="58"/>
      <c r="B136" s="59" t="s">
        <v>420</v>
      </c>
      <c r="C136" s="78" t="s">
        <v>421</v>
      </c>
      <c r="D136" s="60" t="s">
        <v>5</v>
      </c>
      <c r="E136" s="79">
        <v>0.37</v>
      </c>
      <c r="F136" s="61">
        <f>TRUNC(7.4924,2)</f>
        <v>7.49</v>
      </c>
      <c r="G136" s="62">
        <f>TRUNC(E136*F136,2)</f>
        <v>2.77</v>
      </c>
      <c r="H136" s="62"/>
      <c r="I136" s="63"/>
    </row>
    <row r="137" spans="1:9" s="64" customFormat="1" ht="14.25">
      <c r="A137" s="58"/>
      <c r="B137" s="59" t="s">
        <v>422</v>
      </c>
      <c r="C137" s="78" t="s">
        <v>423</v>
      </c>
      <c r="D137" s="60" t="s">
        <v>5</v>
      </c>
      <c r="E137" s="79">
        <v>0.37</v>
      </c>
      <c r="F137" s="61">
        <f>TRUNC(7.8492,2)</f>
        <v>7.84</v>
      </c>
      <c r="G137" s="62">
        <f>TRUNC(E137*F137,2)</f>
        <v>2.9</v>
      </c>
      <c r="H137" s="62"/>
      <c r="I137" s="63"/>
    </row>
    <row r="138" spans="1:9" s="64" customFormat="1" ht="14.25">
      <c r="A138" s="58"/>
      <c r="B138" s="59" t="s">
        <v>424</v>
      </c>
      <c r="C138" s="78" t="s">
        <v>425</v>
      </c>
      <c r="D138" s="60" t="s">
        <v>5</v>
      </c>
      <c r="E138" s="79">
        <v>0.03</v>
      </c>
      <c r="F138" s="61">
        <f>TRUNC(11.9,2)</f>
        <v>11.9</v>
      </c>
      <c r="G138" s="62">
        <f>TRUNC(E138*F138,2)</f>
        <v>0.35</v>
      </c>
      <c r="H138" s="62"/>
      <c r="I138" s="63"/>
    </row>
    <row r="139" spans="1:9" s="64" customFormat="1" ht="14.25">
      <c r="A139" s="58"/>
      <c r="B139" s="59"/>
      <c r="C139" s="78"/>
      <c r="D139" s="60"/>
      <c r="E139" s="79" t="s">
        <v>7</v>
      </c>
      <c r="F139" s="61"/>
      <c r="G139" s="62">
        <f>TRUNC(SUM(G135:G138),2)</f>
        <v>8.65</v>
      </c>
      <c r="H139" s="62"/>
      <c r="I139" s="63"/>
    </row>
    <row r="140" spans="1:9" s="130" customFormat="1" ht="28.5">
      <c r="A140" s="95" t="s">
        <v>701</v>
      </c>
      <c r="B140" s="96" t="s">
        <v>497</v>
      </c>
      <c r="C140" s="97" t="s">
        <v>426</v>
      </c>
      <c r="D140" s="98" t="s">
        <v>5</v>
      </c>
      <c r="E140" s="99">
        <v>465</v>
      </c>
      <c r="F140" s="100">
        <f>TRUNC(G146,2)</f>
        <v>17.98</v>
      </c>
      <c r="G140" s="128">
        <f>TRUNC(F140*1.2338,2)</f>
        <v>22.18</v>
      </c>
      <c r="H140" s="128">
        <f>TRUNC(F140*E140,2)</f>
        <v>8360.7</v>
      </c>
      <c r="I140" s="129">
        <f>TRUNC(E140*G140,2)</f>
        <v>10313.7</v>
      </c>
    </row>
    <row r="141" spans="1:9" s="64" customFormat="1" ht="28.5">
      <c r="A141" s="58"/>
      <c r="B141" s="59" t="s">
        <v>498</v>
      </c>
      <c r="C141" s="78" t="s">
        <v>427</v>
      </c>
      <c r="D141" s="60" t="s">
        <v>5</v>
      </c>
      <c r="E141" s="79">
        <v>0.025</v>
      </c>
      <c r="F141" s="61">
        <f>TRUNC(18.6,2)</f>
        <v>18.6</v>
      </c>
      <c r="G141" s="62">
        <f>TRUNC(E141*F141,2)</f>
        <v>0.46</v>
      </c>
      <c r="H141" s="62"/>
      <c r="I141" s="63"/>
    </row>
    <row r="142" spans="1:9" s="64" customFormat="1" ht="28.5">
      <c r="A142" s="58"/>
      <c r="B142" s="59" t="s">
        <v>499</v>
      </c>
      <c r="C142" s="78" t="s">
        <v>428</v>
      </c>
      <c r="D142" s="60" t="s">
        <v>12</v>
      </c>
      <c r="E142" s="79">
        <v>0.4655</v>
      </c>
      <c r="F142" s="61">
        <f>TRUNC(0.32,2)</f>
        <v>0.32</v>
      </c>
      <c r="G142" s="62">
        <f>TRUNC(E142*F142,2)</f>
        <v>0.14</v>
      </c>
      <c r="H142" s="62"/>
      <c r="I142" s="63"/>
    </row>
    <row r="143" spans="1:9" s="64" customFormat="1" ht="14.25">
      <c r="A143" s="58"/>
      <c r="B143" s="59" t="s">
        <v>273</v>
      </c>
      <c r="C143" s="78" t="s">
        <v>217</v>
      </c>
      <c r="D143" s="60" t="s">
        <v>6</v>
      </c>
      <c r="E143" s="79">
        <v>0.089</v>
      </c>
      <c r="F143" s="61">
        <f>TRUNC(29.8,2)</f>
        <v>29.8</v>
      </c>
      <c r="G143" s="62">
        <f>TRUNC(E143*F143,2)</f>
        <v>2.65</v>
      </c>
      <c r="H143" s="62"/>
      <c r="I143" s="63"/>
    </row>
    <row r="144" spans="1:9" s="64" customFormat="1" ht="14.25">
      <c r="A144" s="58"/>
      <c r="B144" s="59" t="s">
        <v>274</v>
      </c>
      <c r="C144" s="78" t="s">
        <v>218</v>
      </c>
      <c r="D144" s="60" t="s">
        <v>6</v>
      </c>
      <c r="E144" s="79">
        <v>0.029</v>
      </c>
      <c r="F144" s="61">
        <f>TRUNC(22.91,2)</f>
        <v>22.91</v>
      </c>
      <c r="G144" s="62">
        <f>TRUNC(E144*F144,2)</f>
        <v>0.66</v>
      </c>
      <c r="H144" s="62"/>
      <c r="I144" s="63"/>
    </row>
    <row r="145" spans="1:9" s="64" customFormat="1" ht="28.5">
      <c r="A145" s="58"/>
      <c r="B145" s="59" t="s">
        <v>500</v>
      </c>
      <c r="C145" s="78" t="s">
        <v>501</v>
      </c>
      <c r="D145" s="60" t="s">
        <v>5</v>
      </c>
      <c r="E145" s="79">
        <v>1</v>
      </c>
      <c r="F145" s="61">
        <f>TRUNC(14.07,2)</f>
        <v>14.07</v>
      </c>
      <c r="G145" s="62">
        <f>TRUNC(E145*F145,2)</f>
        <v>14.07</v>
      </c>
      <c r="H145" s="62"/>
      <c r="I145" s="63"/>
    </row>
    <row r="146" spans="1:9" s="64" customFormat="1" ht="14.25">
      <c r="A146" s="58"/>
      <c r="B146" s="59"/>
      <c r="C146" s="78"/>
      <c r="D146" s="60"/>
      <c r="E146" s="79" t="s">
        <v>7</v>
      </c>
      <c r="F146" s="61"/>
      <c r="G146" s="62">
        <f>TRUNC(SUM(G141:G145),2)</f>
        <v>17.98</v>
      </c>
      <c r="H146" s="62"/>
      <c r="I146" s="63"/>
    </row>
    <row r="147" spans="1:9" s="130" customFormat="1" ht="57">
      <c r="A147" s="95" t="s">
        <v>702</v>
      </c>
      <c r="B147" s="96" t="s">
        <v>502</v>
      </c>
      <c r="C147" s="97" t="s">
        <v>417</v>
      </c>
      <c r="D147" s="98" t="s">
        <v>5</v>
      </c>
      <c r="E147" s="99">
        <v>1094</v>
      </c>
      <c r="F147" s="100">
        <f>TRUNC(G152,2)</f>
        <v>8.65</v>
      </c>
      <c r="G147" s="128">
        <f>TRUNC(F147*1.2338,2)</f>
        <v>10.67</v>
      </c>
      <c r="H147" s="128">
        <f>TRUNC(F147*E147,2)</f>
        <v>9463.1</v>
      </c>
      <c r="I147" s="129">
        <f>TRUNC(E147*G147,2)</f>
        <v>11672.98</v>
      </c>
    </row>
    <row r="148" spans="1:9" s="64" customFormat="1" ht="14.25">
      <c r="A148" s="58"/>
      <c r="B148" s="59" t="s">
        <v>418</v>
      </c>
      <c r="C148" s="78" t="s">
        <v>419</v>
      </c>
      <c r="D148" s="60" t="s">
        <v>5</v>
      </c>
      <c r="E148" s="79">
        <v>0.37</v>
      </c>
      <c r="F148" s="61">
        <f>TRUNC(7.1356,2)</f>
        <v>7.13</v>
      </c>
      <c r="G148" s="62">
        <f>TRUNC(E148*F148,2)</f>
        <v>2.63</v>
      </c>
      <c r="H148" s="62"/>
      <c r="I148" s="63"/>
    </row>
    <row r="149" spans="1:9" s="64" customFormat="1" ht="14.25">
      <c r="A149" s="58"/>
      <c r="B149" s="59" t="s">
        <v>420</v>
      </c>
      <c r="C149" s="78" t="s">
        <v>421</v>
      </c>
      <c r="D149" s="60" t="s">
        <v>5</v>
      </c>
      <c r="E149" s="79">
        <v>0.37</v>
      </c>
      <c r="F149" s="61">
        <f>TRUNC(7.4924,2)</f>
        <v>7.49</v>
      </c>
      <c r="G149" s="62">
        <f>TRUNC(E149*F149,2)</f>
        <v>2.77</v>
      </c>
      <c r="H149" s="62"/>
      <c r="I149" s="63"/>
    </row>
    <row r="150" spans="1:9" s="64" customFormat="1" ht="14.25">
      <c r="A150" s="58"/>
      <c r="B150" s="59" t="s">
        <v>422</v>
      </c>
      <c r="C150" s="78" t="s">
        <v>423</v>
      </c>
      <c r="D150" s="60" t="s">
        <v>5</v>
      </c>
      <c r="E150" s="79">
        <v>0.37</v>
      </c>
      <c r="F150" s="61">
        <f>TRUNC(7.8492,2)</f>
        <v>7.84</v>
      </c>
      <c r="G150" s="62">
        <f>TRUNC(E150*F150,2)</f>
        <v>2.9</v>
      </c>
      <c r="H150" s="62"/>
      <c r="I150" s="63"/>
    </row>
    <row r="151" spans="1:9" s="64" customFormat="1" ht="14.25">
      <c r="A151" s="58"/>
      <c r="B151" s="59" t="s">
        <v>424</v>
      </c>
      <c r="C151" s="78" t="s">
        <v>425</v>
      </c>
      <c r="D151" s="60" t="s">
        <v>5</v>
      </c>
      <c r="E151" s="79">
        <v>0.03</v>
      </c>
      <c r="F151" s="61">
        <f>TRUNC(11.9,2)</f>
        <v>11.9</v>
      </c>
      <c r="G151" s="62">
        <f>TRUNC(E151*F151,2)</f>
        <v>0.35</v>
      </c>
      <c r="H151" s="62"/>
      <c r="I151" s="63"/>
    </row>
    <row r="152" spans="1:9" s="64" customFormat="1" ht="14.25">
      <c r="A152" s="58"/>
      <c r="B152" s="59"/>
      <c r="C152" s="78"/>
      <c r="D152" s="60"/>
      <c r="E152" s="79" t="s">
        <v>7</v>
      </c>
      <c r="F152" s="61"/>
      <c r="G152" s="62">
        <f>TRUNC(SUM(G148:G151),2)</f>
        <v>8.65</v>
      </c>
      <c r="H152" s="62"/>
      <c r="I152" s="63"/>
    </row>
    <row r="153" spans="1:9" s="130" customFormat="1" ht="28.5">
      <c r="A153" s="95" t="s">
        <v>703</v>
      </c>
      <c r="B153" s="96" t="s">
        <v>503</v>
      </c>
      <c r="C153" s="97" t="s">
        <v>429</v>
      </c>
      <c r="D153" s="98" t="s">
        <v>5</v>
      </c>
      <c r="E153" s="99">
        <v>1094</v>
      </c>
      <c r="F153" s="100">
        <f>TRUNC(G159,2)</f>
        <v>15.12</v>
      </c>
      <c r="G153" s="128">
        <f>TRUNC(F153*1.2338,2)</f>
        <v>18.65</v>
      </c>
      <c r="H153" s="128">
        <f>TRUNC(F153*E153,2)</f>
        <v>16541.28</v>
      </c>
      <c r="I153" s="129">
        <f>TRUNC(E153*G153,2)</f>
        <v>20403.1</v>
      </c>
    </row>
    <row r="154" spans="1:9" s="64" customFormat="1" ht="28.5">
      <c r="A154" s="58"/>
      <c r="B154" s="59" t="s">
        <v>498</v>
      </c>
      <c r="C154" s="78" t="s">
        <v>427</v>
      </c>
      <c r="D154" s="60" t="s">
        <v>5</v>
      </c>
      <c r="E154" s="79">
        <v>0.025</v>
      </c>
      <c r="F154" s="61">
        <f>TRUNC(18.6,2)</f>
        <v>18.6</v>
      </c>
      <c r="G154" s="62">
        <f>TRUNC(E154*F154,2)</f>
        <v>0.46</v>
      </c>
      <c r="H154" s="62"/>
      <c r="I154" s="63"/>
    </row>
    <row r="155" spans="1:9" s="64" customFormat="1" ht="28.5">
      <c r="A155" s="58"/>
      <c r="B155" s="59" t="s">
        <v>499</v>
      </c>
      <c r="C155" s="78" t="s">
        <v>428</v>
      </c>
      <c r="D155" s="60" t="s">
        <v>12</v>
      </c>
      <c r="E155" s="79">
        <v>0.306</v>
      </c>
      <c r="F155" s="61">
        <f>TRUNC(0.32,2)</f>
        <v>0.32</v>
      </c>
      <c r="G155" s="62">
        <f>TRUNC(E155*F155,2)</f>
        <v>0.09</v>
      </c>
      <c r="H155" s="62"/>
      <c r="I155" s="63"/>
    </row>
    <row r="156" spans="1:9" s="64" customFormat="1" ht="14.25">
      <c r="A156" s="58"/>
      <c r="B156" s="59" t="s">
        <v>273</v>
      </c>
      <c r="C156" s="78" t="s">
        <v>217</v>
      </c>
      <c r="D156" s="60" t="s">
        <v>6</v>
      </c>
      <c r="E156" s="79">
        <v>0.068</v>
      </c>
      <c r="F156" s="61">
        <f>TRUNC(29.8,2)</f>
        <v>29.8</v>
      </c>
      <c r="G156" s="62">
        <f>TRUNC(E156*F156,2)</f>
        <v>2.02</v>
      </c>
      <c r="H156" s="62"/>
      <c r="I156" s="63"/>
    </row>
    <row r="157" spans="1:9" s="64" customFormat="1" ht="14.25">
      <c r="A157" s="58"/>
      <c r="B157" s="59" t="s">
        <v>274</v>
      </c>
      <c r="C157" s="78" t="s">
        <v>218</v>
      </c>
      <c r="D157" s="60" t="s">
        <v>6</v>
      </c>
      <c r="E157" s="79">
        <v>0.022</v>
      </c>
      <c r="F157" s="61">
        <f>TRUNC(22.91,2)</f>
        <v>22.91</v>
      </c>
      <c r="G157" s="62">
        <f>TRUNC(E157*F157,2)</f>
        <v>0.5</v>
      </c>
      <c r="H157" s="62"/>
      <c r="I157" s="63"/>
    </row>
    <row r="158" spans="1:9" s="64" customFormat="1" ht="28.5">
      <c r="A158" s="58"/>
      <c r="B158" s="59" t="s">
        <v>504</v>
      </c>
      <c r="C158" s="78" t="s">
        <v>505</v>
      </c>
      <c r="D158" s="60" t="s">
        <v>5</v>
      </c>
      <c r="E158" s="79">
        <v>1</v>
      </c>
      <c r="F158" s="61">
        <f>TRUNC(12.05,2)</f>
        <v>12.05</v>
      </c>
      <c r="G158" s="62">
        <f>TRUNC(E158*F158,2)</f>
        <v>12.05</v>
      </c>
      <c r="H158" s="62"/>
      <c r="I158" s="63"/>
    </row>
    <row r="159" spans="1:9" s="64" customFormat="1" ht="14.25">
      <c r="A159" s="58"/>
      <c r="B159" s="59"/>
      <c r="C159" s="78"/>
      <c r="D159" s="60"/>
      <c r="E159" s="79" t="s">
        <v>7</v>
      </c>
      <c r="F159" s="61"/>
      <c r="G159" s="62">
        <f>TRUNC(SUM(G154:G158),2)</f>
        <v>15.12</v>
      </c>
      <c r="H159" s="62"/>
      <c r="I159" s="63"/>
    </row>
    <row r="160" spans="1:9" s="130" customFormat="1" ht="57">
      <c r="A160" s="95" t="s">
        <v>704</v>
      </c>
      <c r="B160" s="96" t="s">
        <v>506</v>
      </c>
      <c r="C160" s="97" t="s">
        <v>430</v>
      </c>
      <c r="D160" s="98" t="s">
        <v>5</v>
      </c>
      <c r="E160" s="99">
        <v>554</v>
      </c>
      <c r="F160" s="100">
        <f>TRUNC(G165,2)</f>
        <v>7.46</v>
      </c>
      <c r="G160" s="128">
        <f>TRUNC(F160*1.2338,2)</f>
        <v>9.2</v>
      </c>
      <c r="H160" s="128">
        <f>TRUNC(F160*E160,2)</f>
        <v>4132.84</v>
      </c>
      <c r="I160" s="129">
        <f>TRUNC(E160*G160,2)</f>
        <v>5096.8</v>
      </c>
    </row>
    <row r="161" spans="1:9" s="64" customFormat="1" ht="14.25">
      <c r="A161" s="58"/>
      <c r="B161" s="59" t="s">
        <v>431</v>
      </c>
      <c r="C161" s="78" t="s">
        <v>432</v>
      </c>
      <c r="D161" s="60" t="s">
        <v>5</v>
      </c>
      <c r="E161" s="79">
        <v>0.3333</v>
      </c>
      <c r="F161" s="61">
        <f>TRUNC(7.1356,2)</f>
        <v>7.13</v>
      </c>
      <c r="G161" s="62">
        <f>TRUNC(E161*F161,2)</f>
        <v>2.37</v>
      </c>
      <c r="H161" s="62"/>
      <c r="I161" s="63"/>
    </row>
    <row r="162" spans="1:9" s="64" customFormat="1" ht="14.25">
      <c r="A162" s="58"/>
      <c r="B162" s="59" t="s">
        <v>433</v>
      </c>
      <c r="C162" s="78" t="s">
        <v>434</v>
      </c>
      <c r="D162" s="60" t="s">
        <v>5</v>
      </c>
      <c r="E162" s="79">
        <v>0.3333</v>
      </c>
      <c r="F162" s="61">
        <f>TRUNC(7.1356,2)</f>
        <v>7.13</v>
      </c>
      <c r="G162" s="62">
        <f>TRUNC(E162*F162,2)</f>
        <v>2.37</v>
      </c>
      <c r="H162" s="62"/>
      <c r="I162" s="63"/>
    </row>
    <row r="163" spans="1:9" s="64" customFormat="1" ht="14.25">
      <c r="A163" s="58"/>
      <c r="B163" s="59" t="s">
        <v>435</v>
      </c>
      <c r="C163" s="78" t="s">
        <v>436</v>
      </c>
      <c r="D163" s="60" t="s">
        <v>5</v>
      </c>
      <c r="E163" s="79">
        <v>0.3334</v>
      </c>
      <c r="F163" s="61">
        <f>TRUNC(7.1356,2)</f>
        <v>7.13</v>
      </c>
      <c r="G163" s="62">
        <f>TRUNC(E163*F163,2)</f>
        <v>2.37</v>
      </c>
      <c r="H163" s="62"/>
      <c r="I163" s="63"/>
    </row>
    <row r="164" spans="1:9" s="64" customFormat="1" ht="14.25">
      <c r="A164" s="58"/>
      <c r="B164" s="59" t="s">
        <v>424</v>
      </c>
      <c r="C164" s="78" t="s">
        <v>425</v>
      </c>
      <c r="D164" s="60" t="s">
        <v>5</v>
      </c>
      <c r="E164" s="79">
        <v>0.03</v>
      </c>
      <c r="F164" s="61">
        <f>TRUNC(11.9,2)</f>
        <v>11.9</v>
      </c>
      <c r="G164" s="62">
        <f>TRUNC(E164*F164,2)</f>
        <v>0.35</v>
      </c>
      <c r="H164" s="62"/>
      <c r="I164" s="63"/>
    </row>
    <row r="165" spans="1:9" s="64" customFormat="1" ht="14.25">
      <c r="A165" s="58"/>
      <c r="B165" s="59"/>
      <c r="C165" s="78"/>
      <c r="D165" s="60"/>
      <c r="E165" s="79" t="s">
        <v>7</v>
      </c>
      <c r="F165" s="61"/>
      <c r="G165" s="62">
        <f>TRUNC(SUM(G161:G164),2)</f>
        <v>7.46</v>
      </c>
      <c r="H165" s="62"/>
      <c r="I165" s="63"/>
    </row>
    <row r="166" spans="1:9" s="130" customFormat="1" ht="28.5">
      <c r="A166" s="95" t="s">
        <v>705</v>
      </c>
      <c r="B166" s="96" t="s">
        <v>507</v>
      </c>
      <c r="C166" s="97" t="s">
        <v>437</v>
      </c>
      <c r="D166" s="98" t="s">
        <v>5</v>
      </c>
      <c r="E166" s="99">
        <v>554</v>
      </c>
      <c r="F166" s="100">
        <f>TRUNC(G172,2)</f>
        <v>14.29</v>
      </c>
      <c r="G166" s="128">
        <f>TRUNC(F166*1.2338,2)</f>
        <v>17.63</v>
      </c>
      <c r="H166" s="128">
        <f>TRUNC(F166*E166,2)</f>
        <v>7916.66</v>
      </c>
      <c r="I166" s="129">
        <f>TRUNC(E166*G166,2)</f>
        <v>9767.02</v>
      </c>
    </row>
    <row r="167" spans="1:9" s="64" customFormat="1" ht="28.5">
      <c r="A167" s="58"/>
      <c r="B167" s="59" t="s">
        <v>498</v>
      </c>
      <c r="C167" s="78" t="s">
        <v>427</v>
      </c>
      <c r="D167" s="60" t="s">
        <v>5</v>
      </c>
      <c r="E167" s="79">
        <v>0.025</v>
      </c>
      <c r="F167" s="61">
        <f>TRUNC(18.6,2)</f>
        <v>18.6</v>
      </c>
      <c r="G167" s="62">
        <f>TRUNC(E167*F167,2)</f>
        <v>0.46</v>
      </c>
      <c r="H167" s="62"/>
      <c r="I167" s="63"/>
    </row>
    <row r="168" spans="1:9" s="64" customFormat="1" ht="28.5">
      <c r="A168" s="58"/>
      <c r="B168" s="59" t="s">
        <v>499</v>
      </c>
      <c r="C168" s="78" t="s">
        <v>428</v>
      </c>
      <c r="D168" s="60" t="s">
        <v>12</v>
      </c>
      <c r="E168" s="79">
        <v>0.1975</v>
      </c>
      <c r="F168" s="61">
        <f>TRUNC(0.32,2)</f>
        <v>0.32</v>
      </c>
      <c r="G168" s="62">
        <f>TRUNC(E168*F168,2)</f>
        <v>0.06</v>
      </c>
      <c r="H168" s="62"/>
      <c r="I168" s="63"/>
    </row>
    <row r="169" spans="1:9" s="64" customFormat="1" ht="14.25">
      <c r="A169" s="58"/>
      <c r="B169" s="59" t="s">
        <v>273</v>
      </c>
      <c r="C169" s="78" t="s">
        <v>217</v>
      </c>
      <c r="D169" s="60" t="s">
        <v>6</v>
      </c>
      <c r="E169" s="79">
        <v>0.0495</v>
      </c>
      <c r="F169" s="61">
        <f>TRUNC(29.8,2)</f>
        <v>29.8</v>
      </c>
      <c r="G169" s="62">
        <f>TRUNC(E169*F169,2)</f>
        <v>1.47</v>
      </c>
      <c r="H169" s="62"/>
      <c r="I169" s="63"/>
    </row>
    <row r="170" spans="1:9" s="64" customFormat="1" ht="14.25">
      <c r="A170" s="58"/>
      <c r="B170" s="59" t="s">
        <v>274</v>
      </c>
      <c r="C170" s="78" t="s">
        <v>218</v>
      </c>
      <c r="D170" s="60" t="s">
        <v>6</v>
      </c>
      <c r="E170" s="79">
        <v>0.016</v>
      </c>
      <c r="F170" s="61">
        <f>TRUNC(22.91,2)</f>
        <v>22.91</v>
      </c>
      <c r="G170" s="62">
        <f>TRUNC(E170*F170,2)</f>
        <v>0.36</v>
      </c>
      <c r="H170" s="62"/>
      <c r="I170" s="63"/>
    </row>
    <row r="171" spans="1:9" s="64" customFormat="1" ht="28.5">
      <c r="A171" s="58"/>
      <c r="B171" s="59" t="s">
        <v>508</v>
      </c>
      <c r="C171" s="78" t="s">
        <v>509</v>
      </c>
      <c r="D171" s="60" t="s">
        <v>5</v>
      </c>
      <c r="E171" s="79">
        <v>1</v>
      </c>
      <c r="F171" s="61">
        <f>TRUNC(11.94,2)</f>
        <v>11.94</v>
      </c>
      <c r="G171" s="62">
        <f>TRUNC(E171*F171,2)</f>
        <v>11.94</v>
      </c>
      <c r="H171" s="62"/>
      <c r="I171" s="63"/>
    </row>
    <row r="172" spans="1:9" s="64" customFormat="1" ht="14.25">
      <c r="A172" s="58"/>
      <c r="B172" s="59"/>
      <c r="C172" s="78"/>
      <c r="D172" s="60"/>
      <c r="E172" s="79" t="s">
        <v>7</v>
      </c>
      <c r="F172" s="61"/>
      <c r="G172" s="62">
        <f>TRUNC(SUM(G167:G171),2)</f>
        <v>14.29</v>
      </c>
      <c r="H172" s="62"/>
      <c r="I172" s="63"/>
    </row>
    <row r="173" spans="1:9" s="131" customFormat="1" ht="15.75">
      <c r="A173" s="124" t="s">
        <v>439</v>
      </c>
      <c r="B173" s="126"/>
      <c r="C173" s="127" t="s">
        <v>440</v>
      </c>
      <c r="D173" s="127"/>
      <c r="E173" s="127"/>
      <c r="F173" s="127"/>
      <c r="G173" s="127"/>
      <c r="H173" s="127"/>
      <c r="I173" s="125"/>
    </row>
    <row r="174" spans="1:9" s="130" customFormat="1" ht="28.5">
      <c r="A174" s="95" t="s">
        <v>706</v>
      </c>
      <c r="B174" s="96" t="s">
        <v>510</v>
      </c>
      <c r="C174" s="97" t="s">
        <v>511</v>
      </c>
      <c r="D174" s="98" t="s">
        <v>1</v>
      </c>
      <c r="E174" s="99">
        <v>21.16</v>
      </c>
      <c r="F174" s="100">
        <f>TRUNC(G179,2)</f>
        <v>35.93</v>
      </c>
      <c r="G174" s="128">
        <f>TRUNC(F174*1.2338,2)</f>
        <v>44.33</v>
      </c>
      <c r="H174" s="128">
        <f>TRUNC(F174*E174,2)</f>
        <v>760.27</v>
      </c>
      <c r="I174" s="129">
        <f>TRUNC(E174*G174,2)</f>
        <v>938.02</v>
      </c>
    </row>
    <row r="175" spans="1:9" s="64" customFormat="1" ht="14.25">
      <c r="A175" s="58"/>
      <c r="B175" s="59" t="s">
        <v>234</v>
      </c>
      <c r="C175" s="78" t="s">
        <v>99</v>
      </c>
      <c r="D175" s="60" t="s">
        <v>6</v>
      </c>
      <c r="E175" s="79">
        <v>0.074</v>
      </c>
      <c r="F175" s="61">
        <f>TRUNC(23.42,2)</f>
        <v>23.42</v>
      </c>
      <c r="G175" s="62">
        <f>TRUNC(E175*F175,2)</f>
        <v>1.73</v>
      </c>
      <c r="H175" s="62"/>
      <c r="I175" s="63"/>
    </row>
    <row r="176" spans="1:9" s="64" customFormat="1" ht="14.25">
      <c r="A176" s="58"/>
      <c r="B176" s="59" t="s">
        <v>235</v>
      </c>
      <c r="C176" s="78" t="s">
        <v>172</v>
      </c>
      <c r="D176" s="60" t="s">
        <v>6</v>
      </c>
      <c r="E176" s="79">
        <v>0.104</v>
      </c>
      <c r="F176" s="61">
        <f>TRUNC(29.96,2)</f>
        <v>29.96</v>
      </c>
      <c r="G176" s="62">
        <f>TRUNC(E176*F176,2)</f>
        <v>3.11</v>
      </c>
      <c r="H176" s="62"/>
      <c r="I176" s="63"/>
    </row>
    <row r="177" spans="1:9" s="64" customFormat="1" ht="28.5">
      <c r="A177" s="58"/>
      <c r="B177" s="59" t="s">
        <v>512</v>
      </c>
      <c r="C177" s="78" t="s">
        <v>513</v>
      </c>
      <c r="D177" s="60" t="s">
        <v>196</v>
      </c>
      <c r="E177" s="79">
        <v>0.125</v>
      </c>
      <c r="F177" s="61">
        <f>TRUNC(50.73,2)</f>
        <v>50.73</v>
      </c>
      <c r="G177" s="62">
        <f>TRUNC(E177*F177,2)</f>
        <v>6.34</v>
      </c>
      <c r="H177" s="62"/>
      <c r="I177" s="63"/>
    </row>
    <row r="178" spans="1:9" s="64" customFormat="1" ht="28.5">
      <c r="A178" s="58"/>
      <c r="B178" s="59" t="s">
        <v>514</v>
      </c>
      <c r="C178" s="78" t="s">
        <v>515</v>
      </c>
      <c r="D178" s="60" t="s">
        <v>51</v>
      </c>
      <c r="E178" s="79">
        <v>0.304</v>
      </c>
      <c r="F178" s="61">
        <f>TRUNC(81.44,2)</f>
        <v>81.44</v>
      </c>
      <c r="G178" s="62">
        <f>TRUNC(E178*F178,2)</f>
        <v>24.75</v>
      </c>
      <c r="H178" s="62"/>
      <c r="I178" s="63"/>
    </row>
    <row r="179" spans="1:9" s="64" customFormat="1" ht="14.25">
      <c r="A179" s="58"/>
      <c r="B179" s="59"/>
      <c r="C179" s="78"/>
      <c r="D179" s="60"/>
      <c r="E179" s="79" t="s">
        <v>7</v>
      </c>
      <c r="F179" s="61"/>
      <c r="G179" s="62">
        <f>TRUNC(SUM(G175:G178),2)</f>
        <v>35.93</v>
      </c>
      <c r="H179" s="62"/>
      <c r="I179" s="63"/>
    </row>
    <row r="180" spans="1:9" s="130" customFormat="1" ht="42.75">
      <c r="A180" s="95" t="s">
        <v>707</v>
      </c>
      <c r="B180" s="96" t="s">
        <v>520</v>
      </c>
      <c r="C180" s="97" t="s">
        <v>400</v>
      </c>
      <c r="D180" s="98" t="s">
        <v>1</v>
      </c>
      <c r="E180" s="99">
        <v>12.7</v>
      </c>
      <c r="F180" s="100">
        <f>TRUNC(G185,2)</f>
        <v>22.66</v>
      </c>
      <c r="G180" s="128">
        <f>TRUNC(F180*1.2338,2)</f>
        <v>27.95</v>
      </c>
      <c r="H180" s="128">
        <f>TRUNC(F180*E180,2)</f>
        <v>287.78</v>
      </c>
      <c r="I180" s="129">
        <f>TRUNC(E180*G180,2)</f>
        <v>354.96</v>
      </c>
    </row>
    <row r="181" spans="1:9" s="64" customFormat="1" ht="28.5">
      <c r="A181" s="58"/>
      <c r="B181" s="59" t="s">
        <v>132</v>
      </c>
      <c r="C181" s="78" t="s">
        <v>133</v>
      </c>
      <c r="D181" s="60" t="s">
        <v>6</v>
      </c>
      <c r="E181" s="79">
        <v>1.09901</v>
      </c>
      <c r="F181" s="61">
        <f>TRUNC(16.55,2)</f>
        <v>16.55</v>
      </c>
      <c r="G181" s="62">
        <f>TRUNC(E181*F181,2)</f>
        <v>18.18</v>
      </c>
      <c r="H181" s="62"/>
      <c r="I181" s="63"/>
    </row>
    <row r="182" spans="1:9" s="64" customFormat="1" ht="28.5">
      <c r="A182" s="58"/>
      <c r="B182" s="59" t="s">
        <v>521</v>
      </c>
      <c r="C182" s="78" t="s">
        <v>522</v>
      </c>
      <c r="D182" s="60" t="s">
        <v>6</v>
      </c>
      <c r="E182" s="79">
        <v>0.13699</v>
      </c>
      <c r="F182" s="61">
        <f>TRUNC(25.68,2)</f>
        <v>25.68</v>
      </c>
      <c r="G182" s="62">
        <f>TRUNC(E182*F182,2)</f>
        <v>3.51</v>
      </c>
      <c r="H182" s="62"/>
      <c r="I182" s="63"/>
    </row>
    <row r="183" spans="1:9" s="64" customFormat="1" ht="14.25">
      <c r="A183" s="58"/>
      <c r="B183" s="59" t="s">
        <v>147</v>
      </c>
      <c r="C183" s="78" t="s">
        <v>148</v>
      </c>
      <c r="D183" s="60" t="s">
        <v>6</v>
      </c>
      <c r="E183" s="79">
        <v>0.033</v>
      </c>
      <c r="F183" s="61">
        <f>TRUNC(2.083,2)</f>
        <v>2.08</v>
      </c>
      <c r="G183" s="62">
        <f>TRUNC(E183*F183,2)</f>
        <v>0.06</v>
      </c>
      <c r="H183" s="62"/>
      <c r="I183" s="63"/>
    </row>
    <row r="184" spans="1:9" s="64" customFormat="1" ht="14.25">
      <c r="A184" s="58"/>
      <c r="B184" s="59" t="s">
        <v>149</v>
      </c>
      <c r="C184" s="78" t="s">
        <v>150</v>
      </c>
      <c r="D184" s="60" t="s">
        <v>6</v>
      </c>
      <c r="E184" s="79">
        <v>0.1</v>
      </c>
      <c r="F184" s="61">
        <f>TRUNC(9.1513,2)</f>
        <v>9.15</v>
      </c>
      <c r="G184" s="62">
        <f>TRUNC(E184*F184,2)</f>
        <v>0.91</v>
      </c>
      <c r="H184" s="62"/>
      <c r="I184" s="63"/>
    </row>
    <row r="185" spans="1:9" s="64" customFormat="1" ht="14.25">
      <c r="A185" s="58"/>
      <c r="B185" s="59"/>
      <c r="C185" s="78"/>
      <c r="D185" s="60"/>
      <c r="E185" s="79" t="s">
        <v>7</v>
      </c>
      <c r="F185" s="61"/>
      <c r="G185" s="62">
        <f>TRUNC(SUM(G181:G184),2)</f>
        <v>22.66</v>
      </c>
      <c r="H185" s="62"/>
      <c r="I185" s="63"/>
    </row>
    <row r="186" spans="1:9" s="130" customFormat="1" ht="28.5">
      <c r="A186" s="95" t="s">
        <v>708</v>
      </c>
      <c r="B186" s="96" t="s">
        <v>516</v>
      </c>
      <c r="C186" s="97" t="s">
        <v>517</v>
      </c>
      <c r="D186" s="98" t="s">
        <v>0</v>
      </c>
      <c r="E186" s="99">
        <v>77</v>
      </c>
      <c r="F186" s="100">
        <f>TRUNC(G197,2)</f>
        <v>115.5</v>
      </c>
      <c r="G186" s="128">
        <f>TRUNC(F186*1.2338,2)</f>
        <v>142.5</v>
      </c>
      <c r="H186" s="128">
        <f>TRUNC(F186*E186,2)</f>
        <v>8893.5</v>
      </c>
      <c r="I186" s="129">
        <f>TRUNC(E186*G186,2)</f>
        <v>10972.5</v>
      </c>
    </row>
    <row r="187" spans="1:9" s="64" customFormat="1" ht="14.25">
      <c r="A187" s="58"/>
      <c r="B187" s="59" t="s">
        <v>485</v>
      </c>
      <c r="C187" s="78" t="s">
        <v>405</v>
      </c>
      <c r="D187" s="60" t="s">
        <v>5</v>
      </c>
      <c r="E187" s="79">
        <v>0.034</v>
      </c>
      <c r="F187" s="61">
        <f>TRUNC(18.61,2)</f>
        <v>18.61</v>
      </c>
      <c r="G187" s="62">
        <f aca="true" t="shared" si="4" ref="G187:G196">TRUNC(E187*F187,2)</f>
        <v>0.63</v>
      </c>
      <c r="H187" s="62"/>
      <c r="I187" s="63"/>
    </row>
    <row r="188" spans="1:9" s="64" customFormat="1" ht="28.5">
      <c r="A188" s="58"/>
      <c r="B188" s="59" t="s">
        <v>486</v>
      </c>
      <c r="C188" s="78" t="s">
        <v>406</v>
      </c>
      <c r="D188" s="60" t="s">
        <v>3</v>
      </c>
      <c r="E188" s="79">
        <v>1.943</v>
      </c>
      <c r="F188" s="61">
        <f>TRUNC(26.6,2)</f>
        <v>26.6</v>
      </c>
      <c r="G188" s="62">
        <f t="shared" si="4"/>
        <v>51.68</v>
      </c>
      <c r="H188" s="62"/>
      <c r="I188" s="63"/>
    </row>
    <row r="189" spans="1:9" s="64" customFormat="1" ht="14.25">
      <c r="A189" s="58"/>
      <c r="B189" s="59" t="s">
        <v>518</v>
      </c>
      <c r="C189" s="78" t="s">
        <v>519</v>
      </c>
      <c r="D189" s="60" t="s">
        <v>5</v>
      </c>
      <c r="E189" s="79">
        <v>0.049</v>
      </c>
      <c r="F189" s="61">
        <f>TRUNC(15.36,2)</f>
        <v>15.36</v>
      </c>
      <c r="G189" s="62">
        <f t="shared" si="4"/>
        <v>0.75</v>
      </c>
      <c r="H189" s="62"/>
      <c r="I189" s="63"/>
    </row>
    <row r="190" spans="1:9" s="64" customFormat="1" ht="14.25">
      <c r="A190" s="58"/>
      <c r="B190" s="59" t="s">
        <v>488</v>
      </c>
      <c r="C190" s="78" t="s">
        <v>408</v>
      </c>
      <c r="D190" s="60" t="s">
        <v>3</v>
      </c>
      <c r="E190" s="79">
        <v>1.093</v>
      </c>
      <c r="F190" s="61">
        <f>TRUNC(2.14,2)</f>
        <v>2.14</v>
      </c>
      <c r="G190" s="62">
        <f t="shared" si="4"/>
        <v>2.33</v>
      </c>
      <c r="H190" s="62"/>
      <c r="I190" s="63"/>
    </row>
    <row r="191" spans="1:9" s="64" customFormat="1" ht="14.25">
      <c r="A191" s="58"/>
      <c r="B191" s="59" t="s">
        <v>489</v>
      </c>
      <c r="C191" s="78" t="s">
        <v>409</v>
      </c>
      <c r="D191" s="60" t="s">
        <v>3</v>
      </c>
      <c r="E191" s="79">
        <v>1.166</v>
      </c>
      <c r="F191" s="61">
        <f>TRUNC(6.13,2)</f>
        <v>6.13</v>
      </c>
      <c r="G191" s="62">
        <f t="shared" si="4"/>
        <v>7.14</v>
      </c>
      <c r="H191" s="62"/>
      <c r="I191" s="63"/>
    </row>
    <row r="192" spans="1:9" s="64" customFormat="1" ht="28.5">
      <c r="A192" s="58"/>
      <c r="B192" s="59" t="s">
        <v>490</v>
      </c>
      <c r="C192" s="78" t="s">
        <v>410</v>
      </c>
      <c r="D192" s="60" t="s">
        <v>411</v>
      </c>
      <c r="E192" s="79">
        <v>0.017</v>
      </c>
      <c r="F192" s="61">
        <f>TRUNC(5.8,2)</f>
        <v>5.8</v>
      </c>
      <c r="G192" s="62">
        <f t="shared" si="4"/>
        <v>0.09</v>
      </c>
      <c r="H192" s="62"/>
      <c r="I192" s="63"/>
    </row>
    <row r="193" spans="1:9" s="64" customFormat="1" ht="14.25">
      <c r="A193" s="58"/>
      <c r="B193" s="59" t="s">
        <v>236</v>
      </c>
      <c r="C193" s="78" t="s">
        <v>216</v>
      </c>
      <c r="D193" s="60" t="s">
        <v>6</v>
      </c>
      <c r="E193" s="79">
        <v>1.289</v>
      </c>
      <c r="F193" s="61">
        <f>TRUNC(29.7,2)</f>
        <v>29.7</v>
      </c>
      <c r="G193" s="62">
        <f t="shared" si="4"/>
        <v>38.28</v>
      </c>
      <c r="H193" s="62"/>
      <c r="I193" s="63"/>
    </row>
    <row r="194" spans="1:9" s="64" customFormat="1" ht="14.25">
      <c r="A194" s="58"/>
      <c r="B194" s="59" t="s">
        <v>491</v>
      </c>
      <c r="C194" s="78" t="s">
        <v>412</v>
      </c>
      <c r="D194" s="60" t="s">
        <v>6</v>
      </c>
      <c r="E194" s="79">
        <v>0.5</v>
      </c>
      <c r="F194" s="61">
        <f>TRUNC(24.91,2)</f>
        <v>24.91</v>
      </c>
      <c r="G194" s="62">
        <f t="shared" si="4"/>
        <v>12.45</v>
      </c>
      <c r="H194" s="62"/>
      <c r="I194" s="63"/>
    </row>
    <row r="195" spans="1:9" s="64" customFormat="1" ht="28.5">
      <c r="A195" s="58"/>
      <c r="B195" s="59" t="s">
        <v>492</v>
      </c>
      <c r="C195" s="78" t="s">
        <v>493</v>
      </c>
      <c r="D195" s="60" t="s">
        <v>196</v>
      </c>
      <c r="E195" s="79">
        <v>0.028</v>
      </c>
      <c r="F195" s="61">
        <f>TRUNC(34.47,2)</f>
        <v>34.47</v>
      </c>
      <c r="G195" s="62">
        <f t="shared" si="4"/>
        <v>0.96</v>
      </c>
      <c r="H195" s="62"/>
      <c r="I195" s="63"/>
    </row>
    <row r="196" spans="1:9" s="64" customFormat="1" ht="28.5">
      <c r="A196" s="58"/>
      <c r="B196" s="59" t="s">
        <v>494</v>
      </c>
      <c r="C196" s="78" t="s">
        <v>495</v>
      </c>
      <c r="D196" s="60" t="s">
        <v>51</v>
      </c>
      <c r="E196" s="79">
        <v>0.032</v>
      </c>
      <c r="F196" s="61">
        <f>TRUNC(37.4,2)</f>
        <v>37.4</v>
      </c>
      <c r="G196" s="62">
        <f t="shared" si="4"/>
        <v>1.19</v>
      </c>
      <c r="H196" s="62"/>
      <c r="I196" s="63"/>
    </row>
    <row r="197" spans="1:9" s="64" customFormat="1" ht="14.25">
      <c r="A197" s="58"/>
      <c r="B197" s="59"/>
      <c r="C197" s="78"/>
      <c r="D197" s="60"/>
      <c r="E197" s="79" t="s">
        <v>7</v>
      </c>
      <c r="F197" s="61"/>
      <c r="G197" s="62">
        <f>TRUNC(SUM(G187:G196),2)</f>
        <v>115.5</v>
      </c>
      <c r="H197" s="62"/>
      <c r="I197" s="63"/>
    </row>
    <row r="198" spans="1:9" s="130" customFormat="1" ht="28.5">
      <c r="A198" s="95" t="s">
        <v>709</v>
      </c>
      <c r="B198" s="96" t="s">
        <v>481</v>
      </c>
      <c r="C198" s="97" t="s">
        <v>403</v>
      </c>
      <c r="D198" s="98" t="s">
        <v>0</v>
      </c>
      <c r="E198" s="99">
        <v>15.6</v>
      </c>
      <c r="F198" s="100">
        <f>TRUNC(G202,2)</f>
        <v>27.42</v>
      </c>
      <c r="G198" s="128">
        <f>TRUNC(F198*1.2338,2)</f>
        <v>33.83</v>
      </c>
      <c r="H198" s="128">
        <f>TRUNC(F198*E198,2)</f>
        <v>427.75</v>
      </c>
      <c r="I198" s="129">
        <f>TRUNC(E198*G198,2)</f>
        <v>527.74</v>
      </c>
    </row>
    <row r="199" spans="1:9" s="64" customFormat="1" ht="14.25">
      <c r="A199" s="58"/>
      <c r="B199" s="59" t="s">
        <v>234</v>
      </c>
      <c r="C199" s="78" t="s">
        <v>99</v>
      </c>
      <c r="D199" s="60" t="s">
        <v>6</v>
      </c>
      <c r="E199" s="79">
        <v>0.0741</v>
      </c>
      <c r="F199" s="61">
        <f>TRUNC(23.42,2)</f>
        <v>23.42</v>
      </c>
      <c r="G199" s="62">
        <f>TRUNC(E199*F199,2)</f>
        <v>1.73</v>
      </c>
      <c r="H199" s="62"/>
      <c r="I199" s="63"/>
    </row>
    <row r="200" spans="1:9" s="64" customFormat="1" ht="14.25">
      <c r="A200" s="58"/>
      <c r="B200" s="59" t="s">
        <v>235</v>
      </c>
      <c r="C200" s="78" t="s">
        <v>172</v>
      </c>
      <c r="D200" s="60" t="s">
        <v>6</v>
      </c>
      <c r="E200" s="79">
        <v>0.2718</v>
      </c>
      <c r="F200" s="61">
        <f>TRUNC(29.96,2)</f>
        <v>29.96</v>
      </c>
      <c r="G200" s="62">
        <f>TRUNC(E200*F200,2)</f>
        <v>8.14</v>
      </c>
      <c r="H200" s="62"/>
      <c r="I200" s="63"/>
    </row>
    <row r="201" spans="1:9" s="64" customFormat="1" ht="42.75">
      <c r="A201" s="58"/>
      <c r="B201" s="59" t="s">
        <v>482</v>
      </c>
      <c r="C201" s="78" t="s">
        <v>483</v>
      </c>
      <c r="D201" s="60" t="s">
        <v>1</v>
      </c>
      <c r="E201" s="79">
        <v>0.0565</v>
      </c>
      <c r="F201" s="61">
        <f>TRUNC(310.75,2)</f>
        <v>310.75</v>
      </c>
      <c r="G201" s="62">
        <f>TRUNC(E201*F201,2)</f>
        <v>17.55</v>
      </c>
      <c r="H201" s="62"/>
      <c r="I201" s="63"/>
    </row>
    <row r="202" spans="1:9" s="64" customFormat="1" ht="14.25">
      <c r="A202" s="58"/>
      <c r="B202" s="59"/>
      <c r="C202" s="78"/>
      <c r="D202" s="60"/>
      <c r="E202" s="79" t="s">
        <v>7</v>
      </c>
      <c r="F202" s="61"/>
      <c r="G202" s="62">
        <f>TRUNC(SUM(G199:G201),2)</f>
        <v>27.42</v>
      </c>
      <c r="H202" s="62"/>
      <c r="I202" s="63"/>
    </row>
    <row r="203" spans="1:9" s="130" customFormat="1" ht="28.5">
      <c r="A203" s="95" t="s">
        <v>710</v>
      </c>
      <c r="B203" s="96" t="s">
        <v>496</v>
      </c>
      <c r="C203" s="97" t="s">
        <v>413</v>
      </c>
      <c r="D203" s="98" t="s">
        <v>1</v>
      </c>
      <c r="E203" s="99">
        <v>7.7</v>
      </c>
      <c r="F203" s="100">
        <f>TRUNC(G209,2)</f>
        <v>402.56</v>
      </c>
      <c r="G203" s="128">
        <f>TRUNC(F203*1.2338,2)</f>
        <v>496.67</v>
      </c>
      <c r="H203" s="128">
        <f>TRUNC(F203*E203,2)</f>
        <v>3099.71</v>
      </c>
      <c r="I203" s="129">
        <f>TRUNC(E203*G203,2)</f>
        <v>3824.35</v>
      </c>
    </row>
    <row r="204" spans="1:9" s="93" customFormat="1" ht="30">
      <c r="A204" s="87"/>
      <c r="B204" s="88" t="s">
        <v>414</v>
      </c>
      <c r="C204" s="89" t="s">
        <v>415</v>
      </c>
      <c r="D204" s="90" t="s">
        <v>1</v>
      </c>
      <c r="E204" s="91">
        <v>1.15</v>
      </c>
      <c r="F204" s="92">
        <v>329.36</v>
      </c>
      <c r="G204" s="75">
        <f>TRUNC(E204*F204,2)</f>
        <v>378.76</v>
      </c>
      <c r="H204" s="75"/>
      <c r="I204" s="76"/>
    </row>
    <row r="205" spans="1:9" s="64" customFormat="1" ht="14.25">
      <c r="A205" s="58"/>
      <c r="B205" s="59" t="s">
        <v>234</v>
      </c>
      <c r="C205" s="78" t="s">
        <v>99</v>
      </c>
      <c r="D205" s="60" t="s">
        <v>6</v>
      </c>
      <c r="E205" s="79">
        <v>0.544</v>
      </c>
      <c r="F205" s="61">
        <f>TRUNC(23.42,2)</f>
        <v>23.42</v>
      </c>
      <c r="G205" s="62">
        <f>TRUNC(E205*F205,2)</f>
        <v>12.74</v>
      </c>
      <c r="H205" s="62"/>
      <c r="I205" s="63"/>
    </row>
    <row r="206" spans="1:9" s="64" customFormat="1" ht="14.25">
      <c r="A206" s="58"/>
      <c r="B206" s="59" t="s">
        <v>235</v>
      </c>
      <c r="C206" s="78" t="s">
        <v>172</v>
      </c>
      <c r="D206" s="60" t="s">
        <v>6</v>
      </c>
      <c r="E206" s="79">
        <v>0.363</v>
      </c>
      <c r="F206" s="61">
        <f>TRUNC(29.96,2)</f>
        <v>29.96</v>
      </c>
      <c r="G206" s="62">
        <f>TRUNC(E206*F206,2)</f>
        <v>10.87</v>
      </c>
      <c r="H206" s="62"/>
      <c r="I206" s="63"/>
    </row>
    <row r="207" spans="1:9" s="64" customFormat="1" ht="28.5">
      <c r="A207" s="58"/>
      <c r="B207" s="59" t="s">
        <v>237</v>
      </c>
      <c r="C207" s="78" t="s">
        <v>238</v>
      </c>
      <c r="D207" s="60" t="s">
        <v>196</v>
      </c>
      <c r="E207" s="79">
        <v>0.093</v>
      </c>
      <c r="F207" s="61">
        <f>TRUNC(0.42,2)</f>
        <v>0.42</v>
      </c>
      <c r="G207" s="62">
        <f>TRUNC(E207*F207,2)</f>
        <v>0.03</v>
      </c>
      <c r="H207" s="62"/>
      <c r="I207" s="63"/>
    </row>
    <row r="208" spans="1:9" s="64" customFormat="1" ht="28.5">
      <c r="A208" s="58"/>
      <c r="B208" s="59" t="s">
        <v>239</v>
      </c>
      <c r="C208" s="78" t="s">
        <v>240</v>
      </c>
      <c r="D208" s="60" t="s">
        <v>51</v>
      </c>
      <c r="E208" s="79">
        <v>0.088</v>
      </c>
      <c r="F208" s="61">
        <f>TRUNC(1.85,2)</f>
        <v>1.85</v>
      </c>
      <c r="G208" s="62">
        <f>TRUNC(E208*F208,2)</f>
        <v>0.16</v>
      </c>
      <c r="H208" s="62"/>
      <c r="I208" s="63"/>
    </row>
    <row r="209" spans="1:9" s="64" customFormat="1" ht="14.25">
      <c r="A209" s="58"/>
      <c r="B209" s="59"/>
      <c r="C209" s="78"/>
      <c r="D209" s="60"/>
      <c r="E209" s="79" t="s">
        <v>7</v>
      </c>
      <c r="F209" s="61"/>
      <c r="G209" s="62">
        <f>TRUNC(SUM(G204:G208),2)</f>
        <v>402.56</v>
      </c>
      <c r="H209" s="62"/>
      <c r="I209" s="63"/>
    </row>
    <row r="210" spans="1:9" s="130" customFormat="1" ht="71.25">
      <c r="A210" s="95" t="s">
        <v>711</v>
      </c>
      <c r="B210" s="96" t="s">
        <v>523</v>
      </c>
      <c r="C210" s="97" t="s">
        <v>524</v>
      </c>
      <c r="D210" s="98" t="s">
        <v>5</v>
      </c>
      <c r="E210" s="99">
        <v>85</v>
      </c>
      <c r="F210" s="100">
        <f>TRUNC(G214,2)</f>
        <v>9.24</v>
      </c>
      <c r="G210" s="128">
        <f>TRUNC(F210*1.2338,2)</f>
        <v>11.4</v>
      </c>
      <c r="H210" s="128">
        <f>TRUNC(F210*E210,2)</f>
        <v>785.4</v>
      </c>
      <c r="I210" s="129">
        <f>TRUNC(E210*G210,2)</f>
        <v>969</v>
      </c>
    </row>
    <row r="211" spans="1:9" s="64" customFormat="1" ht="14.25">
      <c r="A211" s="58"/>
      <c r="B211" s="59" t="s">
        <v>525</v>
      </c>
      <c r="C211" s="78" t="s">
        <v>526</v>
      </c>
      <c r="D211" s="60" t="s">
        <v>5</v>
      </c>
      <c r="E211" s="79">
        <v>0.55</v>
      </c>
      <c r="F211" s="61">
        <f>TRUNC(8.04,2)</f>
        <v>8.04</v>
      </c>
      <c r="G211" s="62">
        <f>TRUNC(E211*F211,2)</f>
        <v>4.42</v>
      </c>
      <c r="H211" s="62"/>
      <c r="I211" s="63"/>
    </row>
    <row r="212" spans="1:9" s="64" customFormat="1" ht="14.25">
      <c r="A212" s="58"/>
      <c r="B212" s="59" t="s">
        <v>527</v>
      </c>
      <c r="C212" s="78" t="s">
        <v>528</v>
      </c>
      <c r="D212" s="60" t="s">
        <v>5</v>
      </c>
      <c r="E212" s="79">
        <v>0.55</v>
      </c>
      <c r="F212" s="61">
        <f>TRUNC(8.13,2)</f>
        <v>8.13</v>
      </c>
      <c r="G212" s="62">
        <f>TRUNC(E212*F212,2)</f>
        <v>4.47</v>
      </c>
      <c r="H212" s="62"/>
      <c r="I212" s="63"/>
    </row>
    <row r="213" spans="1:9" s="64" customFormat="1" ht="14.25">
      <c r="A213" s="58"/>
      <c r="B213" s="59" t="s">
        <v>424</v>
      </c>
      <c r="C213" s="78" t="s">
        <v>425</v>
      </c>
      <c r="D213" s="60" t="s">
        <v>5</v>
      </c>
      <c r="E213" s="79">
        <v>0.03</v>
      </c>
      <c r="F213" s="61">
        <f>TRUNC(11.9,2)</f>
        <v>11.9</v>
      </c>
      <c r="G213" s="62">
        <f>TRUNC(E213*F213,2)</f>
        <v>0.35</v>
      </c>
      <c r="H213" s="62"/>
      <c r="I213" s="63"/>
    </row>
    <row r="214" spans="1:9" s="64" customFormat="1" ht="14.25">
      <c r="A214" s="58"/>
      <c r="B214" s="59"/>
      <c r="C214" s="78"/>
      <c r="D214" s="60"/>
      <c r="E214" s="79" t="s">
        <v>7</v>
      </c>
      <c r="F214" s="61"/>
      <c r="G214" s="62">
        <f>TRUNC(SUM(G211:G213),2)</f>
        <v>9.24</v>
      </c>
      <c r="H214" s="62"/>
      <c r="I214" s="63"/>
    </row>
    <row r="215" spans="1:9" s="130" customFormat="1" ht="28.5">
      <c r="A215" s="95" t="s">
        <v>712</v>
      </c>
      <c r="B215" s="96" t="s">
        <v>529</v>
      </c>
      <c r="C215" s="97" t="s">
        <v>530</v>
      </c>
      <c r="D215" s="98" t="s">
        <v>5</v>
      </c>
      <c r="E215" s="99">
        <v>85</v>
      </c>
      <c r="F215" s="100">
        <f>TRUNC(G221,2)</f>
        <v>23.31</v>
      </c>
      <c r="G215" s="128">
        <f>TRUNC(F215*1.2338,2)</f>
        <v>28.75</v>
      </c>
      <c r="H215" s="128">
        <f>TRUNC(F215*E215,2)</f>
        <v>1981.35</v>
      </c>
      <c r="I215" s="129">
        <f>TRUNC(E215*G215,2)</f>
        <v>2443.75</v>
      </c>
    </row>
    <row r="216" spans="1:9" s="64" customFormat="1" ht="28.5">
      <c r="A216" s="58"/>
      <c r="B216" s="59" t="s">
        <v>498</v>
      </c>
      <c r="C216" s="78" t="s">
        <v>427</v>
      </c>
      <c r="D216" s="60" t="s">
        <v>5</v>
      </c>
      <c r="E216" s="79">
        <v>0.025</v>
      </c>
      <c r="F216" s="61">
        <f>TRUNC(18.6,2)</f>
        <v>18.6</v>
      </c>
      <c r="G216" s="62">
        <f>TRUNC(E216*F216,2)</f>
        <v>0.46</v>
      </c>
      <c r="H216" s="62"/>
      <c r="I216" s="63"/>
    </row>
    <row r="217" spans="1:9" s="64" customFormat="1" ht="28.5">
      <c r="A217" s="58"/>
      <c r="B217" s="59" t="s">
        <v>499</v>
      </c>
      <c r="C217" s="78" t="s">
        <v>428</v>
      </c>
      <c r="D217" s="60" t="s">
        <v>12</v>
      </c>
      <c r="E217" s="79">
        <v>1.9665</v>
      </c>
      <c r="F217" s="61">
        <f>TRUNC(0.32,2)</f>
        <v>0.32</v>
      </c>
      <c r="G217" s="62">
        <f>TRUNC(E217*F217,2)</f>
        <v>0.62</v>
      </c>
      <c r="H217" s="62"/>
      <c r="I217" s="63"/>
    </row>
    <row r="218" spans="1:9" s="64" customFormat="1" ht="14.25">
      <c r="A218" s="58"/>
      <c r="B218" s="59" t="s">
        <v>273</v>
      </c>
      <c r="C218" s="78" t="s">
        <v>217</v>
      </c>
      <c r="D218" s="60" t="s">
        <v>6</v>
      </c>
      <c r="E218" s="79">
        <v>0.1945</v>
      </c>
      <c r="F218" s="61">
        <f>TRUNC(29.8,2)</f>
        <v>29.8</v>
      </c>
      <c r="G218" s="62">
        <f>TRUNC(E218*F218,2)</f>
        <v>5.79</v>
      </c>
      <c r="H218" s="62"/>
      <c r="I218" s="63"/>
    </row>
    <row r="219" spans="1:9" s="64" customFormat="1" ht="14.25">
      <c r="A219" s="58"/>
      <c r="B219" s="59" t="s">
        <v>274</v>
      </c>
      <c r="C219" s="78" t="s">
        <v>218</v>
      </c>
      <c r="D219" s="60" t="s">
        <v>6</v>
      </c>
      <c r="E219" s="79">
        <v>0.0635</v>
      </c>
      <c r="F219" s="61">
        <f>TRUNC(22.91,2)</f>
        <v>22.91</v>
      </c>
      <c r="G219" s="62">
        <f>TRUNC(E219*F219,2)</f>
        <v>1.45</v>
      </c>
      <c r="H219" s="62"/>
      <c r="I219" s="63"/>
    </row>
    <row r="220" spans="1:9" s="64" customFormat="1" ht="28.5">
      <c r="A220" s="58"/>
      <c r="B220" s="59" t="s">
        <v>531</v>
      </c>
      <c r="C220" s="78" t="s">
        <v>532</v>
      </c>
      <c r="D220" s="60" t="s">
        <v>5</v>
      </c>
      <c r="E220" s="79">
        <v>1</v>
      </c>
      <c r="F220" s="61">
        <f>TRUNC(14.99,2)</f>
        <v>14.99</v>
      </c>
      <c r="G220" s="62">
        <f>TRUNC(E220*F220,2)</f>
        <v>14.99</v>
      </c>
      <c r="H220" s="62"/>
      <c r="I220" s="63"/>
    </row>
    <row r="221" spans="1:9" s="64" customFormat="1" ht="14.25">
      <c r="A221" s="58"/>
      <c r="B221" s="59"/>
      <c r="C221" s="78"/>
      <c r="D221" s="60"/>
      <c r="E221" s="79" t="s">
        <v>7</v>
      </c>
      <c r="F221" s="61"/>
      <c r="G221" s="62">
        <f>TRUNC(SUM(G216:G220),2)</f>
        <v>23.31</v>
      </c>
      <c r="H221" s="62"/>
      <c r="I221" s="63"/>
    </row>
    <row r="222" spans="1:9" s="130" customFormat="1" ht="57">
      <c r="A222" s="95" t="s">
        <v>713</v>
      </c>
      <c r="B222" s="96" t="s">
        <v>502</v>
      </c>
      <c r="C222" s="97" t="s">
        <v>417</v>
      </c>
      <c r="D222" s="98" t="s">
        <v>5</v>
      </c>
      <c r="E222" s="99">
        <v>113.65</v>
      </c>
      <c r="F222" s="100">
        <f>TRUNC(G227,2)</f>
        <v>8.65</v>
      </c>
      <c r="G222" s="128">
        <f>TRUNC(F222*1.2338,2)</f>
        <v>10.67</v>
      </c>
      <c r="H222" s="128">
        <f>TRUNC(F222*E222,2)</f>
        <v>983.07</v>
      </c>
      <c r="I222" s="129">
        <f>TRUNC(E222*G222,2)</f>
        <v>1212.64</v>
      </c>
    </row>
    <row r="223" spans="1:9" s="64" customFormat="1" ht="14.25">
      <c r="A223" s="58"/>
      <c r="B223" s="59" t="s">
        <v>418</v>
      </c>
      <c r="C223" s="78" t="s">
        <v>419</v>
      </c>
      <c r="D223" s="60" t="s">
        <v>5</v>
      </c>
      <c r="E223" s="79">
        <v>0.37</v>
      </c>
      <c r="F223" s="61">
        <f>TRUNC(7.1356,2)</f>
        <v>7.13</v>
      </c>
      <c r="G223" s="62">
        <f>TRUNC(E223*F223,2)</f>
        <v>2.63</v>
      </c>
      <c r="H223" s="62"/>
      <c r="I223" s="63"/>
    </row>
    <row r="224" spans="1:9" s="64" customFormat="1" ht="14.25">
      <c r="A224" s="58"/>
      <c r="B224" s="59" t="s">
        <v>420</v>
      </c>
      <c r="C224" s="78" t="s">
        <v>421</v>
      </c>
      <c r="D224" s="60" t="s">
        <v>5</v>
      </c>
      <c r="E224" s="79">
        <v>0.37</v>
      </c>
      <c r="F224" s="61">
        <f>TRUNC(7.4924,2)</f>
        <v>7.49</v>
      </c>
      <c r="G224" s="62">
        <f>TRUNC(E224*F224,2)</f>
        <v>2.77</v>
      </c>
      <c r="H224" s="62"/>
      <c r="I224" s="63"/>
    </row>
    <row r="225" spans="1:9" s="64" customFormat="1" ht="14.25">
      <c r="A225" s="58"/>
      <c r="B225" s="59" t="s">
        <v>422</v>
      </c>
      <c r="C225" s="78" t="s">
        <v>423</v>
      </c>
      <c r="D225" s="60" t="s">
        <v>5</v>
      </c>
      <c r="E225" s="79">
        <v>0.37</v>
      </c>
      <c r="F225" s="61">
        <f>TRUNC(7.8492,2)</f>
        <v>7.84</v>
      </c>
      <c r="G225" s="62">
        <f>TRUNC(E225*F225,2)</f>
        <v>2.9</v>
      </c>
      <c r="H225" s="62"/>
      <c r="I225" s="63"/>
    </row>
    <row r="226" spans="1:9" s="64" customFormat="1" ht="14.25">
      <c r="A226" s="58"/>
      <c r="B226" s="59" t="s">
        <v>424</v>
      </c>
      <c r="C226" s="78" t="s">
        <v>425</v>
      </c>
      <c r="D226" s="60" t="s">
        <v>5</v>
      </c>
      <c r="E226" s="79">
        <v>0.03</v>
      </c>
      <c r="F226" s="61">
        <f>TRUNC(11.9,2)</f>
        <v>11.9</v>
      </c>
      <c r="G226" s="62">
        <f>TRUNC(E226*F226,2)</f>
        <v>0.35</v>
      </c>
      <c r="H226" s="62"/>
      <c r="I226" s="63"/>
    </row>
    <row r="227" spans="1:9" s="64" customFormat="1" ht="14.25">
      <c r="A227" s="58"/>
      <c r="B227" s="59"/>
      <c r="C227" s="78"/>
      <c r="D227" s="60"/>
      <c r="E227" s="79" t="s">
        <v>7</v>
      </c>
      <c r="F227" s="61"/>
      <c r="G227" s="62">
        <f>TRUNC(SUM(G223:G226),2)</f>
        <v>8.65</v>
      </c>
      <c r="H227" s="62"/>
      <c r="I227" s="63"/>
    </row>
    <row r="228" spans="1:9" s="130" customFormat="1" ht="28.5">
      <c r="A228" s="95" t="s">
        <v>714</v>
      </c>
      <c r="B228" s="96" t="s">
        <v>497</v>
      </c>
      <c r="C228" s="97" t="s">
        <v>426</v>
      </c>
      <c r="D228" s="98" t="s">
        <v>5</v>
      </c>
      <c r="E228" s="99">
        <v>113.65</v>
      </c>
      <c r="F228" s="100">
        <f>TRUNC(G234,2)</f>
        <v>17.98</v>
      </c>
      <c r="G228" s="128">
        <f>TRUNC(F228*1.2338,2)</f>
        <v>22.18</v>
      </c>
      <c r="H228" s="128">
        <f>TRUNC(F228*E228,2)</f>
        <v>2043.42</v>
      </c>
      <c r="I228" s="129">
        <f>TRUNC(E228*G228,2)</f>
        <v>2520.75</v>
      </c>
    </row>
    <row r="229" spans="1:9" s="64" customFormat="1" ht="28.5">
      <c r="A229" s="58"/>
      <c r="B229" s="59" t="s">
        <v>498</v>
      </c>
      <c r="C229" s="78" t="s">
        <v>427</v>
      </c>
      <c r="D229" s="60" t="s">
        <v>5</v>
      </c>
      <c r="E229" s="79">
        <v>0.025</v>
      </c>
      <c r="F229" s="61">
        <f>TRUNC(18.6,2)</f>
        <v>18.6</v>
      </c>
      <c r="G229" s="62">
        <f>TRUNC(E229*F229,2)</f>
        <v>0.46</v>
      </c>
      <c r="H229" s="62"/>
      <c r="I229" s="63"/>
    </row>
    <row r="230" spans="1:9" s="64" customFormat="1" ht="28.5">
      <c r="A230" s="58"/>
      <c r="B230" s="59" t="s">
        <v>499</v>
      </c>
      <c r="C230" s="78" t="s">
        <v>428</v>
      </c>
      <c r="D230" s="60" t="s">
        <v>12</v>
      </c>
      <c r="E230" s="79">
        <v>0.4655</v>
      </c>
      <c r="F230" s="61">
        <f>TRUNC(0.32,2)</f>
        <v>0.32</v>
      </c>
      <c r="G230" s="62">
        <f>TRUNC(E230*F230,2)</f>
        <v>0.14</v>
      </c>
      <c r="H230" s="62"/>
      <c r="I230" s="63"/>
    </row>
    <row r="231" spans="1:9" s="64" customFormat="1" ht="14.25">
      <c r="A231" s="58"/>
      <c r="B231" s="59" t="s">
        <v>273</v>
      </c>
      <c r="C231" s="78" t="s">
        <v>217</v>
      </c>
      <c r="D231" s="60" t="s">
        <v>6</v>
      </c>
      <c r="E231" s="79">
        <v>0.089</v>
      </c>
      <c r="F231" s="61">
        <f>TRUNC(29.8,2)</f>
        <v>29.8</v>
      </c>
      <c r="G231" s="62">
        <f>TRUNC(E231*F231,2)</f>
        <v>2.65</v>
      </c>
      <c r="H231" s="62"/>
      <c r="I231" s="63"/>
    </row>
    <row r="232" spans="1:9" s="64" customFormat="1" ht="14.25">
      <c r="A232" s="58"/>
      <c r="B232" s="59" t="s">
        <v>274</v>
      </c>
      <c r="C232" s="78" t="s">
        <v>218</v>
      </c>
      <c r="D232" s="60" t="s">
        <v>6</v>
      </c>
      <c r="E232" s="79">
        <v>0.029</v>
      </c>
      <c r="F232" s="61">
        <f>TRUNC(22.91,2)</f>
        <v>22.91</v>
      </c>
      <c r="G232" s="62">
        <f>TRUNC(E232*F232,2)</f>
        <v>0.66</v>
      </c>
      <c r="H232" s="62"/>
      <c r="I232" s="63"/>
    </row>
    <row r="233" spans="1:9" s="64" customFormat="1" ht="28.5">
      <c r="A233" s="58"/>
      <c r="B233" s="59" t="s">
        <v>500</v>
      </c>
      <c r="C233" s="78" t="s">
        <v>501</v>
      </c>
      <c r="D233" s="60" t="s">
        <v>5</v>
      </c>
      <c r="E233" s="79">
        <v>1</v>
      </c>
      <c r="F233" s="61">
        <f>TRUNC(14.07,2)</f>
        <v>14.07</v>
      </c>
      <c r="G233" s="62">
        <f>TRUNC(E233*F233,2)</f>
        <v>14.07</v>
      </c>
      <c r="H233" s="62"/>
      <c r="I233" s="63"/>
    </row>
    <row r="234" spans="1:9" s="64" customFormat="1" ht="14.25">
      <c r="A234" s="58"/>
      <c r="B234" s="59"/>
      <c r="C234" s="78"/>
      <c r="D234" s="60"/>
      <c r="E234" s="79" t="s">
        <v>7</v>
      </c>
      <c r="F234" s="61"/>
      <c r="G234" s="62">
        <f>TRUNC(SUM(G229:G233),2)</f>
        <v>17.98</v>
      </c>
      <c r="H234" s="62"/>
      <c r="I234" s="63"/>
    </row>
    <row r="235" spans="1:9" s="130" customFormat="1" ht="57">
      <c r="A235" s="95" t="s">
        <v>715</v>
      </c>
      <c r="B235" s="96" t="s">
        <v>502</v>
      </c>
      <c r="C235" s="97" t="s">
        <v>417</v>
      </c>
      <c r="D235" s="98" t="s">
        <v>5</v>
      </c>
      <c r="E235" s="99">
        <v>189.86</v>
      </c>
      <c r="F235" s="100">
        <f>TRUNC(G240,2)</f>
        <v>8.65</v>
      </c>
      <c r="G235" s="128">
        <f>TRUNC(F235*1.2338,2)</f>
        <v>10.67</v>
      </c>
      <c r="H235" s="128">
        <f>TRUNC(F235*E235,2)</f>
        <v>1642.28</v>
      </c>
      <c r="I235" s="129">
        <f>TRUNC(E235*G235,2)</f>
        <v>2025.8</v>
      </c>
    </row>
    <row r="236" spans="1:9" s="64" customFormat="1" ht="14.25">
      <c r="A236" s="58"/>
      <c r="B236" s="59" t="s">
        <v>418</v>
      </c>
      <c r="C236" s="78" t="s">
        <v>419</v>
      </c>
      <c r="D236" s="60" t="s">
        <v>5</v>
      </c>
      <c r="E236" s="79">
        <v>0.37</v>
      </c>
      <c r="F236" s="61">
        <f>TRUNC(7.1356,2)</f>
        <v>7.13</v>
      </c>
      <c r="G236" s="62">
        <f>TRUNC(E236*F236,2)</f>
        <v>2.63</v>
      </c>
      <c r="H236" s="62"/>
      <c r="I236" s="63"/>
    </row>
    <row r="237" spans="1:9" s="64" customFormat="1" ht="14.25">
      <c r="A237" s="58"/>
      <c r="B237" s="59" t="s">
        <v>420</v>
      </c>
      <c r="C237" s="78" t="s">
        <v>421</v>
      </c>
      <c r="D237" s="60" t="s">
        <v>5</v>
      </c>
      <c r="E237" s="79">
        <v>0.37</v>
      </c>
      <c r="F237" s="61">
        <f>TRUNC(7.4924,2)</f>
        <v>7.49</v>
      </c>
      <c r="G237" s="62">
        <f>TRUNC(E237*F237,2)</f>
        <v>2.77</v>
      </c>
      <c r="H237" s="62"/>
      <c r="I237" s="63"/>
    </row>
    <row r="238" spans="1:9" s="64" customFormat="1" ht="14.25">
      <c r="A238" s="58"/>
      <c r="B238" s="59" t="s">
        <v>422</v>
      </c>
      <c r="C238" s="78" t="s">
        <v>423</v>
      </c>
      <c r="D238" s="60" t="s">
        <v>5</v>
      </c>
      <c r="E238" s="79">
        <v>0.37</v>
      </c>
      <c r="F238" s="61">
        <f>TRUNC(7.8492,2)</f>
        <v>7.84</v>
      </c>
      <c r="G238" s="62">
        <f>TRUNC(E238*F238,2)</f>
        <v>2.9</v>
      </c>
      <c r="H238" s="62"/>
      <c r="I238" s="63"/>
    </row>
    <row r="239" spans="1:9" s="64" customFormat="1" ht="14.25">
      <c r="A239" s="58"/>
      <c r="B239" s="59" t="s">
        <v>424</v>
      </c>
      <c r="C239" s="78" t="s">
        <v>425</v>
      </c>
      <c r="D239" s="60" t="s">
        <v>5</v>
      </c>
      <c r="E239" s="79">
        <v>0.03</v>
      </c>
      <c r="F239" s="61">
        <f>TRUNC(11.9,2)</f>
        <v>11.9</v>
      </c>
      <c r="G239" s="62">
        <f>TRUNC(E239*F239,2)</f>
        <v>0.35</v>
      </c>
      <c r="H239" s="62"/>
      <c r="I239" s="63"/>
    </row>
    <row r="240" spans="1:9" s="64" customFormat="1" ht="14.25">
      <c r="A240" s="58"/>
      <c r="B240" s="59"/>
      <c r="C240" s="78"/>
      <c r="D240" s="60"/>
      <c r="E240" s="79" t="s">
        <v>7</v>
      </c>
      <c r="F240" s="61"/>
      <c r="G240" s="62">
        <f>TRUNC(SUM(G236:G239),2)</f>
        <v>8.65</v>
      </c>
      <c r="H240" s="62"/>
      <c r="I240" s="63"/>
    </row>
    <row r="241" spans="1:9" s="130" customFormat="1" ht="28.5">
      <c r="A241" s="95" t="s">
        <v>716</v>
      </c>
      <c r="B241" s="96" t="s">
        <v>503</v>
      </c>
      <c r="C241" s="97" t="s">
        <v>429</v>
      </c>
      <c r="D241" s="98" t="s">
        <v>5</v>
      </c>
      <c r="E241" s="99">
        <v>189.86</v>
      </c>
      <c r="F241" s="100">
        <f>TRUNC(G247,2)</f>
        <v>15.12</v>
      </c>
      <c r="G241" s="128">
        <f>TRUNC(F241*1.2338,2)</f>
        <v>18.65</v>
      </c>
      <c r="H241" s="128">
        <f>TRUNC(F241*E241,2)</f>
        <v>2870.68</v>
      </c>
      <c r="I241" s="129">
        <f>TRUNC(E241*G241,2)</f>
        <v>3540.88</v>
      </c>
    </row>
    <row r="242" spans="1:9" s="64" customFormat="1" ht="28.5">
      <c r="A242" s="58"/>
      <c r="B242" s="59" t="s">
        <v>498</v>
      </c>
      <c r="C242" s="78" t="s">
        <v>427</v>
      </c>
      <c r="D242" s="60" t="s">
        <v>5</v>
      </c>
      <c r="E242" s="79">
        <v>0.025</v>
      </c>
      <c r="F242" s="61">
        <f>TRUNC(18.6,2)</f>
        <v>18.6</v>
      </c>
      <c r="G242" s="62">
        <f>TRUNC(E242*F242,2)</f>
        <v>0.46</v>
      </c>
      <c r="H242" s="62"/>
      <c r="I242" s="63"/>
    </row>
    <row r="243" spans="1:9" s="64" customFormat="1" ht="28.5">
      <c r="A243" s="58"/>
      <c r="B243" s="59" t="s">
        <v>499</v>
      </c>
      <c r="C243" s="78" t="s">
        <v>428</v>
      </c>
      <c r="D243" s="60" t="s">
        <v>12</v>
      </c>
      <c r="E243" s="79">
        <v>0.306</v>
      </c>
      <c r="F243" s="61">
        <f>TRUNC(0.32,2)</f>
        <v>0.32</v>
      </c>
      <c r="G243" s="62">
        <f>TRUNC(E243*F243,2)</f>
        <v>0.09</v>
      </c>
      <c r="H243" s="62"/>
      <c r="I243" s="63"/>
    </row>
    <row r="244" spans="1:9" s="64" customFormat="1" ht="14.25">
      <c r="A244" s="58"/>
      <c r="B244" s="59" t="s">
        <v>273</v>
      </c>
      <c r="C244" s="78" t="s">
        <v>217</v>
      </c>
      <c r="D244" s="60" t="s">
        <v>6</v>
      </c>
      <c r="E244" s="79">
        <v>0.068</v>
      </c>
      <c r="F244" s="61">
        <f>TRUNC(29.8,2)</f>
        <v>29.8</v>
      </c>
      <c r="G244" s="62">
        <f>TRUNC(E244*F244,2)</f>
        <v>2.02</v>
      </c>
      <c r="H244" s="62"/>
      <c r="I244" s="63"/>
    </row>
    <row r="245" spans="1:9" s="64" customFormat="1" ht="14.25">
      <c r="A245" s="58"/>
      <c r="B245" s="59" t="s">
        <v>274</v>
      </c>
      <c r="C245" s="78" t="s">
        <v>218</v>
      </c>
      <c r="D245" s="60" t="s">
        <v>6</v>
      </c>
      <c r="E245" s="79">
        <v>0.022</v>
      </c>
      <c r="F245" s="61">
        <f>TRUNC(22.91,2)</f>
        <v>22.91</v>
      </c>
      <c r="G245" s="62">
        <f>TRUNC(E245*F245,2)</f>
        <v>0.5</v>
      </c>
      <c r="H245" s="62"/>
      <c r="I245" s="63"/>
    </row>
    <row r="246" spans="1:9" s="64" customFormat="1" ht="28.5">
      <c r="A246" s="58"/>
      <c r="B246" s="59" t="s">
        <v>504</v>
      </c>
      <c r="C246" s="78" t="s">
        <v>505</v>
      </c>
      <c r="D246" s="60" t="s">
        <v>5</v>
      </c>
      <c r="E246" s="79">
        <v>1</v>
      </c>
      <c r="F246" s="61">
        <f>TRUNC(12.05,2)</f>
        <v>12.05</v>
      </c>
      <c r="G246" s="62">
        <f>TRUNC(E246*F246,2)</f>
        <v>12.05</v>
      </c>
      <c r="H246" s="62"/>
      <c r="I246" s="63"/>
    </row>
    <row r="247" spans="1:9" s="64" customFormat="1" ht="14.25">
      <c r="A247" s="58"/>
      <c r="B247" s="59"/>
      <c r="C247" s="78"/>
      <c r="D247" s="60"/>
      <c r="E247" s="79" t="s">
        <v>7</v>
      </c>
      <c r="F247" s="61"/>
      <c r="G247" s="62">
        <f>TRUNC(SUM(G242:G246),2)</f>
        <v>15.12</v>
      </c>
      <c r="H247" s="62"/>
      <c r="I247" s="63"/>
    </row>
    <row r="248" spans="1:9" s="130" customFormat="1" ht="57">
      <c r="A248" s="95" t="s">
        <v>717</v>
      </c>
      <c r="B248" s="96" t="s">
        <v>506</v>
      </c>
      <c r="C248" s="97" t="s">
        <v>430</v>
      </c>
      <c r="D248" s="98" t="s">
        <v>5</v>
      </c>
      <c r="E248" s="99">
        <v>149.25</v>
      </c>
      <c r="F248" s="100">
        <f>TRUNC(G253,2)</f>
        <v>7.46</v>
      </c>
      <c r="G248" s="128">
        <f>TRUNC(F248*1.2338,2)</f>
        <v>9.2</v>
      </c>
      <c r="H248" s="128">
        <f>TRUNC(F248*E248,2)</f>
        <v>1113.4</v>
      </c>
      <c r="I248" s="129">
        <f>TRUNC(E248*G248,2)</f>
        <v>1373.1</v>
      </c>
    </row>
    <row r="249" spans="1:9" s="64" customFormat="1" ht="14.25">
      <c r="A249" s="58"/>
      <c r="B249" s="59" t="s">
        <v>431</v>
      </c>
      <c r="C249" s="78" t="s">
        <v>432</v>
      </c>
      <c r="D249" s="60" t="s">
        <v>5</v>
      </c>
      <c r="E249" s="79">
        <v>0.3333</v>
      </c>
      <c r="F249" s="61">
        <f>TRUNC(7.1356,2)</f>
        <v>7.13</v>
      </c>
      <c r="G249" s="62">
        <f>TRUNC(E249*F249,2)</f>
        <v>2.37</v>
      </c>
      <c r="H249" s="62"/>
      <c r="I249" s="63"/>
    </row>
    <row r="250" spans="1:9" s="64" customFormat="1" ht="14.25">
      <c r="A250" s="58"/>
      <c r="B250" s="59" t="s">
        <v>433</v>
      </c>
      <c r="C250" s="78" t="s">
        <v>434</v>
      </c>
      <c r="D250" s="60" t="s">
        <v>5</v>
      </c>
      <c r="E250" s="79">
        <v>0.3333</v>
      </c>
      <c r="F250" s="61">
        <f>TRUNC(7.1356,2)</f>
        <v>7.13</v>
      </c>
      <c r="G250" s="62">
        <f>TRUNC(E250*F250,2)</f>
        <v>2.37</v>
      </c>
      <c r="H250" s="62"/>
      <c r="I250" s="63"/>
    </row>
    <row r="251" spans="1:9" s="64" customFormat="1" ht="14.25">
      <c r="A251" s="58"/>
      <c r="B251" s="59" t="s">
        <v>435</v>
      </c>
      <c r="C251" s="78" t="s">
        <v>436</v>
      </c>
      <c r="D251" s="60" t="s">
        <v>5</v>
      </c>
      <c r="E251" s="79">
        <v>0.3334</v>
      </c>
      <c r="F251" s="61">
        <f>TRUNC(7.1356,2)</f>
        <v>7.13</v>
      </c>
      <c r="G251" s="62">
        <f>TRUNC(E251*F251,2)</f>
        <v>2.37</v>
      </c>
      <c r="H251" s="62"/>
      <c r="I251" s="63"/>
    </row>
    <row r="252" spans="1:9" s="64" customFormat="1" ht="14.25">
      <c r="A252" s="58"/>
      <c r="B252" s="59" t="s">
        <v>424</v>
      </c>
      <c r="C252" s="78" t="s">
        <v>425</v>
      </c>
      <c r="D252" s="60" t="s">
        <v>5</v>
      </c>
      <c r="E252" s="79">
        <v>0.03</v>
      </c>
      <c r="F252" s="61">
        <f>TRUNC(11.9,2)</f>
        <v>11.9</v>
      </c>
      <c r="G252" s="62">
        <f>TRUNC(E252*F252,2)</f>
        <v>0.35</v>
      </c>
      <c r="H252" s="62"/>
      <c r="I252" s="63"/>
    </row>
    <row r="253" spans="1:9" s="64" customFormat="1" ht="14.25">
      <c r="A253" s="58"/>
      <c r="B253" s="59"/>
      <c r="C253" s="78"/>
      <c r="D253" s="60"/>
      <c r="E253" s="79" t="s">
        <v>7</v>
      </c>
      <c r="F253" s="61"/>
      <c r="G253" s="62">
        <f>TRUNC(SUM(G249:G252),2)</f>
        <v>7.46</v>
      </c>
      <c r="H253" s="62"/>
      <c r="I253" s="63"/>
    </row>
    <row r="254" spans="1:9" s="130" customFormat="1" ht="28.5">
      <c r="A254" s="95" t="s">
        <v>718</v>
      </c>
      <c r="B254" s="96" t="s">
        <v>507</v>
      </c>
      <c r="C254" s="97" t="s">
        <v>437</v>
      </c>
      <c r="D254" s="98" t="s">
        <v>5</v>
      </c>
      <c r="E254" s="99">
        <v>149.25</v>
      </c>
      <c r="F254" s="100">
        <f>TRUNC(G260,2)</f>
        <v>14.29</v>
      </c>
      <c r="G254" s="128">
        <f>TRUNC(F254*1.2338,2)</f>
        <v>17.63</v>
      </c>
      <c r="H254" s="128">
        <f>TRUNC(F254*E254,2)</f>
        <v>2132.78</v>
      </c>
      <c r="I254" s="129">
        <f>TRUNC(E254*G254,2)</f>
        <v>2631.27</v>
      </c>
    </row>
    <row r="255" spans="1:9" s="64" customFormat="1" ht="28.5">
      <c r="A255" s="58"/>
      <c r="B255" s="59" t="s">
        <v>498</v>
      </c>
      <c r="C255" s="78" t="s">
        <v>427</v>
      </c>
      <c r="D255" s="60" t="s">
        <v>5</v>
      </c>
      <c r="E255" s="79">
        <v>0.025</v>
      </c>
      <c r="F255" s="61">
        <f>TRUNC(18.6,2)</f>
        <v>18.6</v>
      </c>
      <c r="G255" s="62">
        <f>TRUNC(E255*F255,2)</f>
        <v>0.46</v>
      </c>
      <c r="H255" s="62"/>
      <c r="I255" s="63"/>
    </row>
    <row r="256" spans="1:9" s="64" customFormat="1" ht="28.5">
      <c r="A256" s="58"/>
      <c r="B256" s="59" t="s">
        <v>499</v>
      </c>
      <c r="C256" s="78" t="s">
        <v>428</v>
      </c>
      <c r="D256" s="60" t="s">
        <v>12</v>
      </c>
      <c r="E256" s="79">
        <v>0.1975</v>
      </c>
      <c r="F256" s="61">
        <f>TRUNC(0.32,2)</f>
        <v>0.32</v>
      </c>
      <c r="G256" s="62">
        <f>TRUNC(E256*F256,2)</f>
        <v>0.06</v>
      </c>
      <c r="H256" s="62"/>
      <c r="I256" s="63"/>
    </row>
    <row r="257" spans="1:9" s="64" customFormat="1" ht="14.25">
      <c r="A257" s="58"/>
      <c r="B257" s="59" t="s">
        <v>273</v>
      </c>
      <c r="C257" s="78" t="s">
        <v>217</v>
      </c>
      <c r="D257" s="60" t="s">
        <v>6</v>
      </c>
      <c r="E257" s="79">
        <v>0.0495</v>
      </c>
      <c r="F257" s="61">
        <f>TRUNC(29.8,2)</f>
        <v>29.8</v>
      </c>
      <c r="G257" s="62">
        <f>TRUNC(E257*F257,2)</f>
        <v>1.47</v>
      </c>
      <c r="H257" s="62"/>
      <c r="I257" s="63"/>
    </row>
    <row r="258" spans="1:9" s="64" customFormat="1" ht="14.25">
      <c r="A258" s="58"/>
      <c r="B258" s="59" t="s">
        <v>274</v>
      </c>
      <c r="C258" s="78" t="s">
        <v>218</v>
      </c>
      <c r="D258" s="60" t="s">
        <v>6</v>
      </c>
      <c r="E258" s="79">
        <v>0.016</v>
      </c>
      <c r="F258" s="61">
        <f>TRUNC(22.91,2)</f>
        <v>22.91</v>
      </c>
      <c r="G258" s="62">
        <f>TRUNC(E258*F258,2)</f>
        <v>0.36</v>
      </c>
      <c r="H258" s="62"/>
      <c r="I258" s="63"/>
    </row>
    <row r="259" spans="1:9" s="64" customFormat="1" ht="28.5">
      <c r="A259" s="58"/>
      <c r="B259" s="59" t="s">
        <v>508</v>
      </c>
      <c r="C259" s="78" t="s">
        <v>509</v>
      </c>
      <c r="D259" s="60" t="s">
        <v>5</v>
      </c>
      <c r="E259" s="79">
        <v>1</v>
      </c>
      <c r="F259" s="61">
        <f>TRUNC(11.94,2)</f>
        <v>11.94</v>
      </c>
      <c r="G259" s="62">
        <f>TRUNC(E259*F259,2)</f>
        <v>11.94</v>
      </c>
      <c r="H259" s="62"/>
      <c r="I259" s="63"/>
    </row>
    <row r="260" spans="1:9" s="64" customFormat="1" ht="14.25">
      <c r="A260" s="58"/>
      <c r="B260" s="59"/>
      <c r="C260" s="78"/>
      <c r="D260" s="60"/>
      <c r="E260" s="79" t="s">
        <v>7</v>
      </c>
      <c r="F260" s="61"/>
      <c r="G260" s="62">
        <f>TRUNC(SUM(G255:G259),2)</f>
        <v>14.29</v>
      </c>
      <c r="H260" s="62"/>
      <c r="I260" s="63"/>
    </row>
    <row r="261" spans="1:9" s="130" customFormat="1" ht="57">
      <c r="A261" s="95" t="s">
        <v>719</v>
      </c>
      <c r="B261" s="96" t="s">
        <v>506</v>
      </c>
      <c r="C261" s="97" t="s">
        <v>430</v>
      </c>
      <c r="D261" s="98" t="s">
        <v>5</v>
      </c>
      <c r="E261" s="99">
        <v>127.6</v>
      </c>
      <c r="F261" s="100">
        <f>TRUNC(G266,2)</f>
        <v>7.46</v>
      </c>
      <c r="G261" s="128">
        <f>TRUNC(F261*1.2338,2)</f>
        <v>9.2</v>
      </c>
      <c r="H261" s="128">
        <f>TRUNC(F261*E261,2)</f>
        <v>951.89</v>
      </c>
      <c r="I261" s="129">
        <f>TRUNC(E261*G261,2)</f>
        <v>1173.92</v>
      </c>
    </row>
    <row r="262" spans="1:9" s="64" customFormat="1" ht="14.25">
      <c r="A262" s="58"/>
      <c r="B262" s="59" t="s">
        <v>431</v>
      </c>
      <c r="C262" s="78" t="s">
        <v>432</v>
      </c>
      <c r="D262" s="60" t="s">
        <v>5</v>
      </c>
      <c r="E262" s="79">
        <v>0.3333</v>
      </c>
      <c r="F262" s="61">
        <f>TRUNC(7.1356,2)</f>
        <v>7.13</v>
      </c>
      <c r="G262" s="62">
        <f>TRUNC(E262*F262,2)</f>
        <v>2.37</v>
      </c>
      <c r="H262" s="62"/>
      <c r="I262" s="63"/>
    </row>
    <row r="263" spans="1:9" s="64" customFormat="1" ht="14.25">
      <c r="A263" s="58"/>
      <c r="B263" s="59" t="s">
        <v>433</v>
      </c>
      <c r="C263" s="78" t="s">
        <v>434</v>
      </c>
      <c r="D263" s="60" t="s">
        <v>5</v>
      </c>
      <c r="E263" s="79">
        <v>0.3333</v>
      </c>
      <c r="F263" s="61">
        <f>TRUNC(7.1356,2)</f>
        <v>7.13</v>
      </c>
      <c r="G263" s="62">
        <f>TRUNC(E263*F263,2)</f>
        <v>2.37</v>
      </c>
      <c r="H263" s="62"/>
      <c r="I263" s="63"/>
    </row>
    <row r="264" spans="1:9" s="64" customFormat="1" ht="14.25">
      <c r="A264" s="58"/>
      <c r="B264" s="59" t="s">
        <v>435</v>
      </c>
      <c r="C264" s="78" t="s">
        <v>436</v>
      </c>
      <c r="D264" s="60" t="s">
        <v>5</v>
      </c>
      <c r="E264" s="79">
        <v>0.3334</v>
      </c>
      <c r="F264" s="61">
        <f>TRUNC(7.1356,2)</f>
        <v>7.13</v>
      </c>
      <c r="G264" s="62">
        <f>TRUNC(E264*F264,2)</f>
        <v>2.37</v>
      </c>
      <c r="H264" s="62"/>
      <c r="I264" s="63"/>
    </row>
    <row r="265" spans="1:9" s="64" customFormat="1" ht="14.25">
      <c r="A265" s="58"/>
      <c r="B265" s="59" t="s">
        <v>424</v>
      </c>
      <c r="C265" s="78" t="s">
        <v>425</v>
      </c>
      <c r="D265" s="60" t="s">
        <v>5</v>
      </c>
      <c r="E265" s="79">
        <v>0.03</v>
      </c>
      <c r="F265" s="61">
        <f>TRUNC(11.9,2)</f>
        <v>11.9</v>
      </c>
      <c r="G265" s="62">
        <f>TRUNC(E265*F265,2)</f>
        <v>0.35</v>
      </c>
      <c r="H265" s="62"/>
      <c r="I265" s="63"/>
    </row>
    <row r="266" spans="1:9" s="64" customFormat="1" ht="14.25">
      <c r="A266" s="58"/>
      <c r="B266" s="59"/>
      <c r="C266" s="78"/>
      <c r="D266" s="60"/>
      <c r="E266" s="79" t="s">
        <v>7</v>
      </c>
      <c r="F266" s="61"/>
      <c r="G266" s="62">
        <f>TRUNC(SUM(G262:G265),2)</f>
        <v>7.46</v>
      </c>
      <c r="H266" s="62"/>
      <c r="I266" s="63"/>
    </row>
    <row r="267" spans="1:9" s="130" customFormat="1" ht="28.5">
      <c r="A267" s="95" t="s">
        <v>720</v>
      </c>
      <c r="B267" s="96" t="s">
        <v>533</v>
      </c>
      <c r="C267" s="97" t="s">
        <v>534</v>
      </c>
      <c r="D267" s="98" t="s">
        <v>5</v>
      </c>
      <c r="E267" s="99">
        <v>127.6</v>
      </c>
      <c r="F267" s="100">
        <f>TRUNC(G273,2)</f>
        <v>15.91</v>
      </c>
      <c r="G267" s="128">
        <f>TRUNC(F267*1.2338,2)</f>
        <v>19.62</v>
      </c>
      <c r="H267" s="128">
        <f>TRUNC(F267*E267,2)</f>
        <v>2030.11</v>
      </c>
      <c r="I267" s="129">
        <f>TRUNC(E267*G267,2)</f>
        <v>2503.51</v>
      </c>
    </row>
    <row r="268" spans="1:9" s="64" customFormat="1" ht="28.5">
      <c r="A268" s="58"/>
      <c r="B268" s="59" t="s">
        <v>498</v>
      </c>
      <c r="C268" s="78" t="s">
        <v>427</v>
      </c>
      <c r="D268" s="60" t="s">
        <v>5</v>
      </c>
      <c r="E268" s="79">
        <v>0.025</v>
      </c>
      <c r="F268" s="61">
        <f>TRUNC(18.6,2)</f>
        <v>18.6</v>
      </c>
      <c r="G268" s="62">
        <f>TRUNC(E268*F268,2)</f>
        <v>0.46</v>
      </c>
      <c r="H268" s="62"/>
      <c r="I268" s="63"/>
    </row>
    <row r="269" spans="1:9" s="64" customFormat="1" ht="28.5">
      <c r="A269" s="58"/>
      <c r="B269" s="59" t="s">
        <v>499</v>
      </c>
      <c r="C269" s="78" t="s">
        <v>428</v>
      </c>
      <c r="D269" s="60" t="s">
        <v>12</v>
      </c>
      <c r="E269" s="79">
        <v>0.136</v>
      </c>
      <c r="F269" s="61">
        <f>TRUNC(0.32,2)</f>
        <v>0.32</v>
      </c>
      <c r="G269" s="62">
        <f>TRUNC(E269*F269,2)</f>
        <v>0.04</v>
      </c>
      <c r="H269" s="62"/>
      <c r="I269" s="63"/>
    </row>
    <row r="270" spans="1:9" s="64" customFormat="1" ht="14.25">
      <c r="A270" s="58"/>
      <c r="B270" s="59" t="s">
        <v>273</v>
      </c>
      <c r="C270" s="78" t="s">
        <v>217</v>
      </c>
      <c r="D270" s="60" t="s">
        <v>6</v>
      </c>
      <c r="E270" s="79">
        <v>0.0365</v>
      </c>
      <c r="F270" s="61">
        <f>TRUNC(29.8,2)</f>
        <v>29.8</v>
      </c>
      <c r="G270" s="62">
        <f>TRUNC(E270*F270,2)</f>
        <v>1.08</v>
      </c>
      <c r="H270" s="62"/>
      <c r="I270" s="63"/>
    </row>
    <row r="271" spans="1:9" s="64" customFormat="1" ht="14.25">
      <c r="A271" s="58"/>
      <c r="B271" s="59" t="s">
        <v>274</v>
      </c>
      <c r="C271" s="78" t="s">
        <v>218</v>
      </c>
      <c r="D271" s="60" t="s">
        <v>6</v>
      </c>
      <c r="E271" s="79">
        <v>0.012</v>
      </c>
      <c r="F271" s="61">
        <f>TRUNC(22.91,2)</f>
        <v>22.91</v>
      </c>
      <c r="G271" s="62">
        <f>TRUNC(E271*F271,2)</f>
        <v>0.27</v>
      </c>
      <c r="H271" s="62"/>
      <c r="I271" s="63"/>
    </row>
    <row r="272" spans="1:9" s="64" customFormat="1" ht="28.5">
      <c r="A272" s="58"/>
      <c r="B272" s="59" t="s">
        <v>535</v>
      </c>
      <c r="C272" s="78" t="s">
        <v>536</v>
      </c>
      <c r="D272" s="60" t="s">
        <v>5</v>
      </c>
      <c r="E272" s="79">
        <v>1</v>
      </c>
      <c r="F272" s="61">
        <f>TRUNC(14.06,2)</f>
        <v>14.06</v>
      </c>
      <c r="G272" s="62">
        <f>TRUNC(E272*F272,2)</f>
        <v>14.06</v>
      </c>
      <c r="H272" s="62"/>
      <c r="I272" s="63"/>
    </row>
    <row r="273" spans="1:9" s="64" customFormat="1" ht="14.25">
      <c r="A273" s="58"/>
      <c r="B273" s="59"/>
      <c r="C273" s="78"/>
      <c r="D273" s="60"/>
      <c r="E273" s="79" t="s">
        <v>7</v>
      </c>
      <c r="F273" s="61"/>
      <c r="G273" s="62">
        <f>TRUNC(SUM(G268:G272),2)</f>
        <v>15.91</v>
      </c>
      <c r="H273" s="62"/>
      <c r="I273" s="63"/>
    </row>
    <row r="274" spans="1:9" s="131" customFormat="1" ht="15.75">
      <c r="A274" s="124" t="s">
        <v>439</v>
      </c>
      <c r="B274" s="126"/>
      <c r="C274" s="127" t="s">
        <v>537</v>
      </c>
      <c r="D274" s="127"/>
      <c r="E274" s="127"/>
      <c r="F274" s="127"/>
      <c r="G274" s="127"/>
      <c r="H274" s="127"/>
      <c r="I274" s="125"/>
    </row>
    <row r="275" spans="1:9" s="130" customFormat="1" ht="28.5">
      <c r="A275" s="95" t="s">
        <v>721</v>
      </c>
      <c r="B275" s="96" t="s">
        <v>510</v>
      </c>
      <c r="C275" s="97" t="s">
        <v>511</v>
      </c>
      <c r="D275" s="98" t="s">
        <v>1</v>
      </c>
      <c r="E275" s="99">
        <v>35.73</v>
      </c>
      <c r="F275" s="100">
        <f>TRUNC(G280,2)</f>
        <v>35.93</v>
      </c>
      <c r="G275" s="128">
        <f>TRUNC(F275*1.2338,2)</f>
        <v>44.33</v>
      </c>
      <c r="H275" s="128">
        <f>TRUNC(F275*E275,2)</f>
        <v>1283.77</v>
      </c>
      <c r="I275" s="129">
        <f>TRUNC(E275*G275,2)</f>
        <v>1583.91</v>
      </c>
    </row>
    <row r="276" spans="1:9" s="64" customFormat="1" ht="14.25">
      <c r="A276" s="58"/>
      <c r="B276" s="59" t="s">
        <v>234</v>
      </c>
      <c r="C276" s="78" t="s">
        <v>99</v>
      </c>
      <c r="D276" s="60" t="s">
        <v>6</v>
      </c>
      <c r="E276" s="79">
        <v>0.074</v>
      </c>
      <c r="F276" s="61">
        <f>TRUNC(23.42,2)</f>
        <v>23.42</v>
      </c>
      <c r="G276" s="62">
        <f>TRUNC(E276*F276,2)</f>
        <v>1.73</v>
      </c>
      <c r="H276" s="62"/>
      <c r="I276" s="63"/>
    </row>
    <row r="277" spans="1:9" s="64" customFormat="1" ht="14.25">
      <c r="A277" s="58"/>
      <c r="B277" s="59" t="s">
        <v>235</v>
      </c>
      <c r="C277" s="78" t="s">
        <v>172</v>
      </c>
      <c r="D277" s="60" t="s">
        <v>6</v>
      </c>
      <c r="E277" s="79">
        <v>0.104</v>
      </c>
      <c r="F277" s="61">
        <f>TRUNC(29.96,2)</f>
        <v>29.96</v>
      </c>
      <c r="G277" s="62">
        <f>TRUNC(E277*F277,2)</f>
        <v>3.11</v>
      </c>
      <c r="H277" s="62"/>
      <c r="I277" s="63"/>
    </row>
    <row r="278" spans="1:9" s="64" customFormat="1" ht="28.5">
      <c r="A278" s="58"/>
      <c r="B278" s="59" t="s">
        <v>512</v>
      </c>
      <c r="C278" s="78" t="s">
        <v>513</v>
      </c>
      <c r="D278" s="60" t="s">
        <v>196</v>
      </c>
      <c r="E278" s="79">
        <v>0.125</v>
      </c>
      <c r="F278" s="61">
        <f>TRUNC(50.73,2)</f>
        <v>50.73</v>
      </c>
      <c r="G278" s="62">
        <f>TRUNC(E278*F278,2)</f>
        <v>6.34</v>
      </c>
      <c r="H278" s="62"/>
      <c r="I278" s="63"/>
    </row>
    <row r="279" spans="1:9" s="64" customFormat="1" ht="28.5">
      <c r="A279" s="58"/>
      <c r="B279" s="59" t="s">
        <v>514</v>
      </c>
      <c r="C279" s="78" t="s">
        <v>515</v>
      </c>
      <c r="D279" s="60" t="s">
        <v>51</v>
      </c>
      <c r="E279" s="79">
        <v>0.304</v>
      </c>
      <c r="F279" s="61">
        <f>TRUNC(81.44,2)</f>
        <v>81.44</v>
      </c>
      <c r="G279" s="62">
        <f>TRUNC(E279*F279,2)</f>
        <v>24.75</v>
      </c>
      <c r="H279" s="62"/>
      <c r="I279" s="63"/>
    </row>
    <row r="280" spans="1:9" s="64" customFormat="1" ht="14.25">
      <c r="A280" s="58"/>
      <c r="B280" s="59"/>
      <c r="C280" s="78"/>
      <c r="D280" s="60"/>
      <c r="E280" s="79" t="s">
        <v>7</v>
      </c>
      <c r="F280" s="61"/>
      <c r="G280" s="62">
        <f>TRUNC(SUM(G276:G279),2)</f>
        <v>35.93</v>
      </c>
      <c r="H280" s="62"/>
      <c r="I280" s="63"/>
    </row>
    <row r="281" spans="1:9" s="130" customFormat="1" ht="42.75">
      <c r="A281" s="95" t="s">
        <v>722</v>
      </c>
      <c r="B281" s="96" t="s">
        <v>520</v>
      </c>
      <c r="C281" s="97" t="s">
        <v>400</v>
      </c>
      <c r="D281" s="98" t="s">
        <v>1</v>
      </c>
      <c r="E281" s="99">
        <v>29.9</v>
      </c>
      <c r="F281" s="100">
        <f>TRUNC(G286,2)</f>
        <v>22.66</v>
      </c>
      <c r="G281" s="128">
        <f>TRUNC(F281*1.2338,2)</f>
        <v>27.95</v>
      </c>
      <c r="H281" s="128">
        <f>TRUNC(F281*E281,2)</f>
        <v>677.53</v>
      </c>
      <c r="I281" s="129">
        <f>TRUNC(E281*G281,2)</f>
        <v>835.7</v>
      </c>
    </row>
    <row r="282" spans="1:9" s="64" customFormat="1" ht="28.5">
      <c r="A282" s="58"/>
      <c r="B282" s="59" t="s">
        <v>132</v>
      </c>
      <c r="C282" s="78" t="s">
        <v>133</v>
      </c>
      <c r="D282" s="60" t="s">
        <v>6</v>
      </c>
      <c r="E282" s="79">
        <v>1.09901</v>
      </c>
      <c r="F282" s="61">
        <f>TRUNC(16.55,2)</f>
        <v>16.55</v>
      </c>
      <c r="G282" s="62">
        <f>TRUNC(E282*F282,2)</f>
        <v>18.18</v>
      </c>
      <c r="H282" s="62"/>
      <c r="I282" s="63"/>
    </row>
    <row r="283" spans="1:9" s="64" customFormat="1" ht="28.5">
      <c r="A283" s="58"/>
      <c r="B283" s="59" t="s">
        <v>521</v>
      </c>
      <c r="C283" s="78" t="s">
        <v>522</v>
      </c>
      <c r="D283" s="60" t="s">
        <v>6</v>
      </c>
      <c r="E283" s="79">
        <v>0.13699</v>
      </c>
      <c r="F283" s="61">
        <f>TRUNC(25.68,2)</f>
        <v>25.68</v>
      </c>
      <c r="G283" s="62">
        <f>TRUNC(E283*F283,2)</f>
        <v>3.51</v>
      </c>
      <c r="H283" s="62"/>
      <c r="I283" s="63"/>
    </row>
    <row r="284" spans="1:9" s="64" customFormat="1" ht="14.25">
      <c r="A284" s="58"/>
      <c r="B284" s="59" t="s">
        <v>147</v>
      </c>
      <c r="C284" s="78" t="s">
        <v>148</v>
      </c>
      <c r="D284" s="60" t="s">
        <v>6</v>
      </c>
      <c r="E284" s="79">
        <v>0.033</v>
      </c>
      <c r="F284" s="61">
        <f>TRUNC(2.083,2)</f>
        <v>2.08</v>
      </c>
      <c r="G284" s="62">
        <f>TRUNC(E284*F284,2)</f>
        <v>0.06</v>
      </c>
      <c r="H284" s="62"/>
      <c r="I284" s="63"/>
    </row>
    <row r="285" spans="1:9" s="64" customFormat="1" ht="14.25">
      <c r="A285" s="58"/>
      <c r="B285" s="59" t="s">
        <v>149</v>
      </c>
      <c r="C285" s="78" t="s">
        <v>150</v>
      </c>
      <c r="D285" s="60" t="s">
        <v>6</v>
      </c>
      <c r="E285" s="79">
        <v>0.1</v>
      </c>
      <c r="F285" s="61">
        <f>TRUNC(9.1513,2)</f>
        <v>9.15</v>
      </c>
      <c r="G285" s="62">
        <f>TRUNC(E285*F285,2)</f>
        <v>0.91</v>
      </c>
      <c r="H285" s="62"/>
      <c r="I285" s="63"/>
    </row>
    <row r="286" spans="1:9" s="64" customFormat="1" ht="14.25">
      <c r="A286" s="58"/>
      <c r="B286" s="59"/>
      <c r="C286" s="78"/>
      <c r="D286" s="60"/>
      <c r="E286" s="79" t="s">
        <v>7</v>
      </c>
      <c r="F286" s="61"/>
      <c r="G286" s="62">
        <f>TRUNC(SUM(G282:G285),2)</f>
        <v>22.66</v>
      </c>
      <c r="H286" s="62"/>
      <c r="I286" s="63"/>
    </row>
    <row r="287" spans="1:9" s="130" customFormat="1" ht="28.5">
      <c r="A287" s="95" t="s">
        <v>723</v>
      </c>
      <c r="B287" s="96" t="s">
        <v>538</v>
      </c>
      <c r="C287" s="97" t="s">
        <v>539</v>
      </c>
      <c r="D287" s="98" t="s">
        <v>0</v>
      </c>
      <c r="E287" s="99">
        <v>54.4</v>
      </c>
      <c r="F287" s="100">
        <f>TRUNC(G295,2)</f>
        <v>214.32</v>
      </c>
      <c r="G287" s="128">
        <f>TRUNC(F287*1.2338,2)</f>
        <v>264.42</v>
      </c>
      <c r="H287" s="128">
        <f>TRUNC(F287*E287,2)</f>
        <v>11659</v>
      </c>
      <c r="I287" s="129">
        <f>TRUNC(E287*G287,2)</f>
        <v>14384.44</v>
      </c>
    </row>
    <row r="288" spans="1:9" s="64" customFormat="1" ht="28.5">
      <c r="A288" s="58"/>
      <c r="B288" s="59" t="s">
        <v>486</v>
      </c>
      <c r="C288" s="78" t="s">
        <v>406</v>
      </c>
      <c r="D288" s="60" t="s">
        <v>3</v>
      </c>
      <c r="E288" s="79">
        <v>6.53</v>
      </c>
      <c r="F288" s="61">
        <f>TRUNC(26.6,2)</f>
        <v>26.6</v>
      </c>
      <c r="G288" s="62">
        <f aca="true" t="shared" si="5" ref="G288:G294">TRUNC(E288*F288,2)</f>
        <v>173.69</v>
      </c>
      <c r="H288" s="62"/>
      <c r="I288" s="63"/>
    </row>
    <row r="289" spans="1:9" s="64" customFormat="1" ht="14.25">
      <c r="A289" s="58"/>
      <c r="B289" s="59" t="s">
        <v>540</v>
      </c>
      <c r="C289" s="78" t="s">
        <v>541</v>
      </c>
      <c r="D289" s="60" t="s">
        <v>5</v>
      </c>
      <c r="E289" s="79">
        <v>0.086</v>
      </c>
      <c r="F289" s="61">
        <f>TRUNC(15.07,2)</f>
        <v>15.07</v>
      </c>
      <c r="G289" s="62">
        <f t="shared" si="5"/>
        <v>1.29</v>
      </c>
      <c r="H289" s="62"/>
      <c r="I289" s="63"/>
    </row>
    <row r="290" spans="1:9" s="64" customFormat="1" ht="14.25">
      <c r="A290" s="58"/>
      <c r="B290" s="59" t="s">
        <v>488</v>
      </c>
      <c r="C290" s="78" t="s">
        <v>408</v>
      </c>
      <c r="D290" s="60" t="s">
        <v>3</v>
      </c>
      <c r="E290" s="79">
        <v>4.432</v>
      </c>
      <c r="F290" s="61">
        <f>TRUNC(2.14,2)</f>
        <v>2.14</v>
      </c>
      <c r="G290" s="62">
        <f t="shared" si="5"/>
        <v>9.48</v>
      </c>
      <c r="H290" s="62"/>
      <c r="I290" s="63"/>
    </row>
    <row r="291" spans="1:9" s="64" customFormat="1" ht="14.25">
      <c r="A291" s="58"/>
      <c r="B291" s="59" t="s">
        <v>236</v>
      </c>
      <c r="C291" s="78" t="s">
        <v>216</v>
      </c>
      <c r="D291" s="60" t="s">
        <v>6</v>
      </c>
      <c r="E291" s="79">
        <v>0.715</v>
      </c>
      <c r="F291" s="61">
        <f>TRUNC(29.7,2)</f>
        <v>29.7</v>
      </c>
      <c r="G291" s="62">
        <f t="shared" si="5"/>
        <v>21.23</v>
      </c>
      <c r="H291" s="62"/>
      <c r="I291" s="63"/>
    </row>
    <row r="292" spans="1:9" s="64" customFormat="1" ht="14.25">
      <c r="A292" s="58"/>
      <c r="B292" s="59" t="s">
        <v>491</v>
      </c>
      <c r="C292" s="78" t="s">
        <v>412</v>
      </c>
      <c r="D292" s="60" t="s">
        <v>6</v>
      </c>
      <c r="E292" s="79">
        <v>0.143</v>
      </c>
      <c r="F292" s="61">
        <f>TRUNC(24.91,2)</f>
        <v>24.91</v>
      </c>
      <c r="G292" s="62">
        <f t="shared" si="5"/>
        <v>3.56</v>
      </c>
      <c r="H292" s="62"/>
      <c r="I292" s="63"/>
    </row>
    <row r="293" spans="1:9" s="64" customFormat="1" ht="28.5">
      <c r="A293" s="58"/>
      <c r="B293" s="59" t="s">
        <v>492</v>
      </c>
      <c r="C293" s="78" t="s">
        <v>493</v>
      </c>
      <c r="D293" s="60" t="s">
        <v>196</v>
      </c>
      <c r="E293" s="79">
        <v>0.093</v>
      </c>
      <c r="F293" s="61">
        <f>TRUNC(34.47,2)</f>
        <v>34.47</v>
      </c>
      <c r="G293" s="62">
        <f t="shared" si="5"/>
        <v>3.2</v>
      </c>
      <c r="H293" s="62"/>
      <c r="I293" s="63"/>
    </row>
    <row r="294" spans="1:9" s="64" customFormat="1" ht="28.5">
      <c r="A294" s="58"/>
      <c r="B294" s="59" t="s">
        <v>494</v>
      </c>
      <c r="C294" s="78" t="s">
        <v>495</v>
      </c>
      <c r="D294" s="60" t="s">
        <v>51</v>
      </c>
      <c r="E294" s="79">
        <v>0.05</v>
      </c>
      <c r="F294" s="61">
        <f>TRUNC(37.4,2)</f>
        <v>37.4</v>
      </c>
      <c r="G294" s="62">
        <f t="shared" si="5"/>
        <v>1.87</v>
      </c>
      <c r="H294" s="62"/>
      <c r="I294" s="63"/>
    </row>
    <row r="295" spans="1:9" s="64" customFormat="1" ht="14.25">
      <c r="A295" s="58"/>
      <c r="B295" s="59"/>
      <c r="C295" s="78"/>
      <c r="D295" s="60"/>
      <c r="E295" s="79" t="s">
        <v>7</v>
      </c>
      <c r="F295" s="61"/>
      <c r="G295" s="62">
        <f>TRUNC(SUM(G288:G294),2)</f>
        <v>214.32</v>
      </c>
      <c r="H295" s="62"/>
      <c r="I295" s="63"/>
    </row>
    <row r="296" spans="1:9" s="130" customFormat="1" ht="42.75">
      <c r="A296" s="95" t="s">
        <v>724</v>
      </c>
      <c r="B296" s="96" t="s">
        <v>542</v>
      </c>
      <c r="C296" s="97" t="s">
        <v>543</v>
      </c>
      <c r="D296" s="98" t="s">
        <v>1</v>
      </c>
      <c r="E296" s="99">
        <v>5.76</v>
      </c>
      <c r="F296" s="100">
        <f>TRUNC(G303,2)</f>
        <v>398.26</v>
      </c>
      <c r="G296" s="128">
        <f>TRUNC(F296*1.2338,2)</f>
        <v>491.37</v>
      </c>
      <c r="H296" s="128">
        <f>TRUNC(F296*E296,2)</f>
        <v>2293.97</v>
      </c>
      <c r="I296" s="129">
        <f>TRUNC(E296*G296,2)</f>
        <v>2830.29</v>
      </c>
    </row>
    <row r="297" spans="1:9" s="64" customFormat="1" ht="28.5">
      <c r="A297" s="58"/>
      <c r="B297" s="59" t="s">
        <v>414</v>
      </c>
      <c r="C297" s="78" t="s">
        <v>415</v>
      </c>
      <c r="D297" s="60" t="s">
        <v>1</v>
      </c>
      <c r="E297" s="79">
        <v>1.103</v>
      </c>
      <c r="F297" s="61">
        <v>329.36</v>
      </c>
      <c r="G297" s="62">
        <f aca="true" t="shared" si="6" ref="G297:G302">TRUNC(E297*F297,2)</f>
        <v>363.28</v>
      </c>
      <c r="H297" s="62"/>
      <c r="I297" s="63"/>
    </row>
    <row r="298" spans="1:9" s="64" customFormat="1" ht="14.25">
      <c r="A298" s="58"/>
      <c r="B298" s="59" t="s">
        <v>234</v>
      </c>
      <c r="C298" s="78" t="s">
        <v>99</v>
      </c>
      <c r="D298" s="60" t="s">
        <v>6</v>
      </c>
      <c r="E298" s="79">
        <v>1.045</v>
      </c>
      <c r="F298" s="61">
        <f>TRUNC(23.42,2)</f>
        <v>23.42</v>
      </c>
      <c r="G298" s="62">
        <f t="shared" si="6"/>
        <v>24.47</v>
      </c>
      <c r="H298" s="62"/>
      <c r="I298" s="63"/>
    </row>
    <row r="299" spans="1:9" s="64" customFormat="1" ht="14.25">
      <c r="A299" s="58"/>
      <c r="B299" s="59" t="s">
        <v>235</v>
      </c>
      <c r="C299" s="78" t="s">
        <v>172</v>
      </c>
      <c r="D299" s="60" t="s">
        <v>6</v>
      </c>
      <c r="E299" s="79">
        <v>0.174</v>
      </c>
      <c r="F299" s="61">
        <f>TRUNC(29.96,2)</f>
        <v>29.96</v>
      </c>
      <c r="G299" s="62">
        <f t="shared" si="6"/>
        <v>5.21</v>
      </c>
      <c r="H299" s="62"/>
      <c r="I299" s="63"/>
    </row>
    <row r="300" spans="1:9" s="64" customFormat="1" ht="14.25">
      <c r="A300" s="58"/>
      <c r="B300" s="59" t="s">
        <v>236</v>
      </c>
      <c r="C300" s="78" t="s">
        <v>216</v>
      </c>
      <c r="D300" s="60" t="s">
        <v>6</v>
      </c>
      <c r="E300" s="79">
        <v>0.174</v>
      </c>
      <c r="F300" s="61">
        <f>TRUNC(29.7,2)</f>
        <v>29.7</v>
      </c>
      <c r="G300" s="62">
        <f t="shared" si="6"/>
        <v>5.16</v>
      </c>
      <c r="H300" s="62"/>
      <c r="I300" s="63"/>
    </row>
    <row r="301" spans="1:9" s="64" customFormat="1" ht="28.5">
      <c r="A301" s="58"/>
      <c r="B301" s="59" t="s">
        <v>237</v>
      </c>
      <c r="C301" s="78" t="s">
        <v>238</v>
      </c>
      <c r="D301" s="60" t="s">
        <v>196</v>
      </c>
      <c r="E301" s="79">
        <v>0.118</v>
      </c>
      <c r="F301" s="61">
        <f>TRUNC(0.42,2)</f>
        <v>0.42</v>
      </c>
      <c r="G301" s="62">
        <f t="shared" si="6"/>
        <v>0.04</v>
      </c>
      <c r="H301" s="62"/>
      <c r="I301" s="63"/>
    </row>
    <row r="302" spans="1:9" s="64" customFormat="1" ht="28.5">
      <c r="A302" s="58"/>
      <c r="B302" s="59" t="s">
        <v>239</v>
      </c>
      <c r="C302" s="78" t="s">
        <v>240</v>
      </c>
      <c r="D302" s="60" t="s">
        <v>51</v>
      </c>
      <c r="E302" s="79">
        <v>0.056</v>
      </c>
      <c r="F302" s="61">
        <f>TRUNC(1.85,2)</f>
        <v>1.85</v>
      </c>
      <c r="G302" s="62">
        <f t="shared" si="6"/>
        <v>0.1</v>
      </c>
      <c r="H302" s="62"/>
      <c r="I302" s="63"/>
    </row>
    <row r="303" spans="1:9" s="64" customFormat="1" ht="14.25">
      <c r="A303" s="58"/>
      <c r="B303" s="59"/>
      <c r="C303" s="78"/>
      <c r="D303" s="60"/>
      <c r="E303" s="79" t="s">
        <v>7</v>
      </c>
      <c r="F303" s="61"/>
      <c r="G303" s="62">
        <f>TRUNC(SUM(G297:G302),2)</f>
        <v>398.26</v>
      </c>
      <c r="H303" s="62"/>
      <c r="I303" s="63"/>
    </row>
    <row r="304" spans="1:9" s="130" customFormat="1" ht="57">
      <c r="A304" s="95" t="s">
        <v>725</v>
      </c>
      <c r="B304" s="96" t="s">
        <v>544</v>
      </c>
      <c r="C304" s="97" t="s">
        <v>545</v>
      </c>
      <c r="D304" s="98" t="s">
        <v>5</v>
      </c>
      <c r="E304" s="99">
        <v>176</v>
      </c>
      <c r="F304" s="100">
        <f>TRUNC(G307,2)</f>
        <v>8.97</v>
      </c>
      <c r="G304" s="128">
        <f>TRUNC(F304*1.2338,2)</f>
        <v>11.06</v>
      </c>
      <c r="H304" s="128">
        <f>TRUNC(F304*E304,2)</f>
        <v>1578.72</v>
      </c>
      <c r="I304" s="129">
        <f>TRUNC(E304*G304,2)</f>
        <v>1946.56</v>
      </c>
    </row>
    <row r="305" spans="1:9" s="64" customFormat="1" ht="14.25">
      <c r="A305" s="58"/>
      <c r="B305" s="59" t="s">
        <v>546</v>
      </c>
      <c r="C305" s="78" t="s">
        <v>547</v>
      </c>
      <c r="D305" s="60" t="s">
        <v>5</v>
      </c>
      <c r="E305" s="79">
        <v>1.1</v>
      </c>
      <c r="F305" s="61">
        <f>TRUNC(7.8492,2)</f>
        <v>7.84</v>
      </c>
      <c r="G305" s="62">
        <f>TRUNC(E305*F305,2)</f>
        <v>8.62</v>
      </c>
      <c r="H305" s="62"/>
      <c r="I305" s="63"/>
    </row>
    <row r="306" spans="1:9" s="64" customFormat="1" ht="14.25">
      <c r="A306" s="58"/>
      <c r="B306" s="59" t="s">
        <v>424</v>
      </c>
      <c r="C306" s="78" t="s">
        <v>425</v>
      </c>
      <c r="D306" s="60" t="s">
        <v>5</v>
      </c>
      <c r="E306" s="79">
        <v>0.03</v>
      </c>
      <c r="F306" s="61">
        <f>TRUNC(11.9,2)</f>
        <v>11.9</v>
      </c>
      <c r="G306" s="62">
        <f>TRUNC(E306*F306,2)</f>
        <v>0.35</v>
      </c>
      <c r="H306" s="62"/>
      <c r="I306" s="63"/>
    </row>
    <row r="307" spans="1:9" s="64" customFormat="1" ht="14.25">
      <c r="A307" s="58"/>
      <c r="B307" s="59"/>
      <c r="C307" s="78"/>
      <c r="D307" s="60"/>
      <c r="E307" s="79" t="s">
        <v>7</v>
      </c>
      <c r="F307" s="61"/>
      <c r="G307" s="62">
        <f>TRUNC(SUM(G305:G306),2)</f>
        <v>8.97</v>
      </c>
      <c r="H307" s="62"/>
      <c r="I307" s="63"/>
    </row>
    <row r="308" spans="1:9" s="130" customFormat="1" ht="42.75">
      <c r="A308" s="95" t="s">
        <v>726</v>
      </c>
      <c r="B308" s="96" t="s">
        <v>548</v>
      </c>
      <c r="C308" s="97" t="s">
        <v>549</v>
      </c>
      <c r="D308" s="98" t="s">
        <v>5</v>
      </c>
      <c r="E308" s="99">
        <v>176</v>
      </c>
      <c r="F308" s="100">
        <f>TRUNC(G314,2)</f>
        <v>21.77</v>
      </c>
      <c r="G308" s="128">
        <f>TRUNC(F308*1.2338,2)</f>
        <v>26.85</v>
      </c>
      <c r="H308" s="128">
        <f>TRUNC(F308*E308,2)</f>
        <v>3831.52</v>
      </c>
      <c r="I308" s="129">
        <f>TRUNC(E308*G308,2)</f>
        <v>4725.6</v>
      </c>
    </row>
    <row r="309" spans="1:9" s="64" customFormat="1" ht="28.5">
      <c r="A309" s="58"/>
      <c r="B309" s="59" t="s">
        <v>498</v>
      </c>
      <c r="C309" s="78" t="s">
        <v>427</v>
      </c>
      <c r="D309" s="60" t="s">
        <v>5</v>
      </c>
      <c r="E309" s="79">
        <v>0.025</v>
      </c>
      <c r="F309" s="61">
        <f>TRUNC(18.6,2)</f>
        <v>18.6</v>
      </c>
      <c r="G309" s="62">
        <f>TRUNC(E309*F309,2)</f>
        <v>0.46</v>
      </c>
      <c r="H309" s="62"/>
      <c r="I309" s="63"/>
    </row>
    <row r="310" spans="1:9" s="64" customFormat="1" ht="28.5">
      <c r="A310" s="58"/>
      <c r="B310" s="59" t="s">
        <v>499</v>
      </c>
      <c r="C310" s="78" t="s">
        <v>428</v>
      </c>
      <c r="D310" s="60" t="s">
        <v>12</v>
      </c>
      <c r="E310" s="79">
        <v>0.97</v>
      </c>
      <c r="F310" s="61">
        <f>TRUNC(0.32,2)</f>
        <v>0.32</v>
      </c>
      <c r="G310" s="62">
        <f>TRUNC(E310*F310,2)</f>
        <v>0.31</v>
      </c>
      <c r="H310" s="62"/>
      <c r="I310" s="63"/>
    </row>
    <row r="311" spans="1:9" s="64" customFormat="1" ht="14.25">
      <c r="A311" s="58"/>
      <c r="B311" s="59" t="s">
        <v>273</v>
      </c>
      <c r="C311" s="78" t="s">
        <v>217</v>
      </c>
      <c r="D311" s="60" t="s">
        <v>6</v>
      </c>
      <c r="E311" s="79">
        <v>0.1713</v>
      </c>
      <c r="F311" s="61">
        <f>TRUNC(29.8,2)</f>
        <v>29.8</v>
      </c>
      <c r="G311" s="62">
        <f>TRUNC(E311*F311,2)</f>
        <v>5.1</v>
      </c>
      <c r="H311" s="62"/>
      <c r="I311" s="63"/>
    </row>
    <row r="312" spans="1:9" s="64" customFormat="1" ht="14.25">
      <c r="A312" s="58"/>
      <c r="B312" s="59" t="s">
        <v>274</v>
      </c>
      <c r="C312" s="78" t="s">
        <v>218</v>
      </c>
      <c r="D312" s="60" t="s">
        <v>6</v>
      </c>
      <c r="E312" s="79">
        <v>0.028</v>
      </c>
      <c r="F312" s="61">
        <f>TRUNC(22.91,2)</f>
        <v>22.91</v>
      </c>
      <c r="G312" s="62">
        <f>TRUNC(E312*F312,2)</f>
        <v>0.64</v>
      </c>
      <c r="H312" s="62"/>
      <c r="I312" s="63"/>
    </row>
    <row r="313" spans="1:9" s="64" customFormat="1" ht="28.5">
      <c r="A313" s="58"/>
      <c r="B313" s="59" t="s">
        <v>272</v>
      </c>
      <c r="C313" s="78" t="s">
        <v>550</v>
      </c>
      <c r="D313" s="60" t="s">
        <v>5</v>
      </c>
      <c r="E313" s="79">
        <v>1</v>
      </c>
      <c r="F313" s="61">
        <f>TRUNC(15.26,2)</f>
        <v>15.26</v>
      </c>
      <c r="G313" s="62">
        <f>TRUNC(E313*F313,2)</f>
        <v>15.26</v>
      </c>
      <c r="H313" s="62"/>
      <c r="I313" s="63"/>
    </row>
    <row r="314" spans="1:9" s="64" customFormat="1" ht="14.25">
      <c r="A314" s="58"/>
      <c r="B314" s="59"/>
      <c r="C314" s="78"/>
      <c r="D314" s="60"/>
      <c r="E314" s="79" t="s">
        <v>7</v>
      </c>
      <c r="F314" s="61"/>
      <c r="G314" s="62">
        <f>TRUNC(SUM(G309:G313),2)</f>
        <v>21.77</v>
      </c>
      <c r="H314" s="62"/>
      <c r="I314" s="63"/>
    </row>
    <row r="315" spans="1:9" s="130" customFormat="1" ht="57">
      <c r="A315" s="95" t="s">
        <v>727</v>
      </c>
      <c r="B315" s="96" t="s">
        <v>506</v>
      </c>
      <c r="C315" s="97" t="s">
        <v>430</v>
      </c>
      <c r="D315" s="98" t="s">
        <v>5</v>
      </c>
      <c r="E315" s="99">
        <v>925.76</v>
      </c>
      <c r="F315" s="100">
        <f>TRUNC(G320,2)</f>
        <v>7.46</v>
      </c>
      <c r="G315" s="128">
        <f>TRUNC(F315*1.2338,2)</f>
        <v>9.2</v>
      </c>
      <c r="H315" s="128">
        <f>TRUNC(F315*E315,2)</f>
        <v>6906.16</v>
      </c>
      <c r="I315" s="129">
        <f>TRUNC(E315*G315,2)</f>
        <v>8516.99</v>
      </c>
    </row>
    <row r="316" spans="1:9" s="64" customFormat="1" ht="17.25" customHeight="1">
      <c r="A316" s="58"/>
      <c r="B316" s="59" t="s">
        <v>431</v>
      </c>
      <c r="C316" s="78" t="s">
        <v>432</v>
      </c>
      <c r="D316" s="60" t="s">
        <v>5</v>
      </c>
      <c r="E316" s="79">
        <v>0.3333</v>
      </c>
      <c r="F316" s="61">
        <f>TRUNC(7.1356,2)</f>
        <v>7.13</v>
      </c>
      <c r="G316" s="62">
        <f>TRUNC(E316*F316,2)</f>
        <v>2.37</v>
      </c>
      <c r="H316" s="62"/>
      <c r="I316" s="63"/>
    </row>
    <row r="317" spans="1:9" s="64" customFormat="1" ht="14.25">
      <c r="A317" s="58"/>
      <c r="B317" s="59" t="s">
        <v>433</v>
      </c>
      <c r="C317" s="78" t="s">
        <v>434</v>
      </c>
      <c r="D317" s="60" t="s">
        <v>5</v>
      </c>
      <c r="E317" s="79">
        <v>0.3333</v>
      </c>
      <c r="F317" s="61">
        <f>TRUNC(7.1356,2)</f>
        <v>7.13</v>
      </c>
      <c r="G317" s="62">
        <f>TRUNC(E317*F317,2)</f>
        <v>2.37</v>
      </c>
      <c r="H317" s="62"/>
      <c r="I317" s="63"/>
    </row>
    <row r="318" spans="1:9" s="64" customFormat="1" ht="14.25">
      <c r="A318" s="58"/>
      <c r="B318" s="59" t="s">
        <v>435</v>
      </c>
      <c r="C318" s="78" t="s">
        <v>436</v>
      </c>
      <c r="D318" s="60" t="s">
        <v>5</v>
      </c>
      <c r="E318" s="79">
        <v>0.3334</v>
      </c>
      <c r="F318" s="61">
        <f>TRUNC(7.1356,2)</f>
        <v>7.13</v>
      </c>
      <c r="G318" s="62">
        <f>TRUNC(E318*F318,2)</f>
        <v>2.37</v>
      </c>
      <c r="H318" s="62"/>
      <c r="I318" s="63"/>
    </row>
    <row r="319" spans="1:9" s="64" customFormat="1" ht="14.25">
      <c r="A319" s="58"/>
      <c r="B319" s="59" t="s">
        <v>424</v>
      </c>
      <c r="C319" s="78" t="s">
        <v>425</v>
      </c>
      <c r="D319" s="60" t="s">
        <v>5</v>
      </c>
      <c r="E319" s="79">
        <v>0.03</v>
      </c>
      <c r="F319" s="61">
        <f>TRUNC(11.9,2)</f>
        <v>11.9</v>
      </c>
      <c r="G319" s="62">
        <f>TRUNC(E319*F319,2)</f>
        <v>0.35</v>
      </c>
      <c r="H319" s="62"/>
      <c r="I319" s="63"/>
    </row>
    <row r="320" spans="1:9" s="64" customFormat="1" ht="14.25">
      <c r="A320" s="58"/>
      <c r="B320" s="59"/>
      <c r="C320" s="78"/>
      <c r="D320" s="60"/>
      <c r="E320" s="79" t="s">
        <v>7</v>
      </c>
      <c r="F320" s="61"/>
      <c r="G320" s="62">
        <f>TRUNC(SUM(G316:G319),2)</f>
        <v>7.46</v>
      </c>
      <c r="H320" s="62"/>
      <c r="I320" s="63"/>
    </row>
    <row r="321" spans="1:9" s="130" customFormat="1" ht="42.75">
      <c r="A321" s="95" t="s">
        <v>728</v>
      </c>
      <c r="B321" s="96" t="s">
        <v>551</v>
      </c>
      <c r="C321" s="97" t="s">
        <v>552</v>
      </c>
      <c r="D321" s="98" t="s">
        <v>5</v>
      </c>
      <c r="E321" s="99">
        <v>925.76</v>
      </c>
      <c r="F321" s="100">
        <f>TRUNC(G327,2)</f>
        <v>14.03</v>
      </c>
      <c r="G321" s="128">
        <f>TRUNC(F321*1.2338,2)</f>
        <v>17.31</v>
      </c>
      <c r="H321" s="128">
        <f>TRUNC(F321*E321,2)</f>
        <v>12988.41</v>
      </c>
      <c r="I321" s="129">
        <f>TRUNC(E321*G321,2)</f>
        <v>16024.9</v>
      </c>
    </row>
    <row r="322" spans="1:9" s="64" customFormat="1" ht="28.5">
      <c r="A322" s="58"/>
      <c r="B322" s="59" t="s">
        <v>498</v>
      </c>
      <c r="C322" s="78" t="s">
        <v>427</v>
      </c>
      <c r="D322" s="60" t="s">
        <v>5</v>
      </c>
      <c r="E322" s="79">
        <v>0.025</v>
      </c>
      <c r="F322" s="61">
        <f>TRUNC(18.6,2)</f>
        <v>18.6</v>
      </c>
      <c r="G322" s="62">
        <f>TRUNC(E322*F322,2)</f>
        <v>0.46</v>
      </c>
      <c r="H322" s="62"/>
      <c r="I322" s="63"/>
    </row>
    <row r="323" spans="1:9" s="64" customFormat="1" ht="28.5">
      <c r="A323" s="58"/>
      <c r="B323" s="59" t="s">
        <v>499</v>
      </c>
      <c r="C323" s="78" t="s">
        <v>428</v>
      </c>
      <c r="D323" s="60" t="s">
        <v>12</v>
      </c>
      <c r="E323" s="79">
        <v>0.212</v>
      </c>
      <c r="F323" s="61">
        <f>TRUNC(0.32,2)</f>
        <v>0.32</v>
      </c>
      <c r="G323" s="62">
        <f>TRUNC(E323*F323,2)</f>
        <v>0.06</v>
      </c>
      <c r="H323" s="62"/>
      <c r="I323" s="63"/>
    </row>
    <row r="324" spans="1:9" s="64" customFormat="1" ht="14.25">
      <c r="A324" s="58"/>
      <c r="B324" s="59" t="s">
        <v>273</v>
      </c>
      <c r="C324" s="78" t="s">
        <v>217</v>
      </c>
      <c r="D324" s="60" t="s">
        <v>6</v>
      </c>
      <c r="E324" s="79">
        <v>0.0473</v>
      </c>
      <c r="F324" s="61">
        <f>TRUNC(29.8,2)</f>
        <v>29.8</v>
      </c>
      <c r="G324" s="62">
        <f>TRUNC(E324*F324,2)</f>
        <v>1.4</v>
      </c>
      <c r="H324" s="62"/>
      <c r="I324" s="63"/>
    </row>
    <row r="325" spans="1:9" s="64" customFormat="1" ht="14.25">
      <c r="A325" s="58"/>
      <c r="B325" s="59" t="s">
        <v>274</v>
      </c>
      <c r="C325" s="78" t="s">
        <v>218</v>
      </c>
      <c r="D325" s="60" t="s">
        <v>6</v>
      </c>
      <c r="E325" s="79">
        <v>0.0077</v>
      </c>
      <c r="F325" s="61">
        <f>TRUNC(22.91,2)</f>
        <v>22.91</v>
      </c>
      <c r="G325" s="62">
        <f>TRUNC(E325*F325,2)</f>
        <v>0.17</v>
      </c>
      <c r="H325" s="62"/>
      <c r="I325" s="63"/>
    </row>
    <row r="326" spans="1:9" s="64" customFormat="1" ht="28.5">
      <c r="A326" s="58"/>
      <c r="B326" s="59" t="s">
        <v>508</v>
      </c>
      <c r="C326" s="78" t="s">
        <v>509</v>
      </c>
      <c r="D326" s="60" t="s">
        <v>5</v>
      </c>
      <c r="E326" s="79">
        <v>1</v>
      </c>
      <c r="F326" s="61">
        <f>TRUNC(11.94,2)</f>
        <v>11.94</v>
      </c>
      <c r="G326" s="62">
        <f>TRUNC(E326*F326,2)</f>
        <v>11.94</v>
      </c>
      <c r="H326" s="62"/>
      <c r="I326" s="63"/>
    </row>
    <row r="327" spans="1:9" s="64" customFormat="1" ht="14.25">
      <c r="A327" s="58"/>
      <c r="B327" s="59"/>
      <c r="C327" s="78"/>
      <c r="D327" s="60"/>
      <c r="E327" s="79" t="s">
        <v>7</v>
      </c>
      <c r="F327" s="61"/>
      <c r="G327" s="62">
        <f>TRUNC(SUM(G322:G326),2)</f>
        <v>14.03</v>
      </c>
      <c r="H327" s="62"/>
      <c r="I327" s="63"/>
    </row>
    <row r="328" spans="1:9" s="131" customFormat="1" ht="15.75">
      <c r="A328" s="124" t="s">
        <v>439</v>
      </c>
      <c r="B328" s="126"/>
      <c r="C328" s="127" t="s">
        <v>553</v>
      </c>
      <c r="D328" s="127"/>
      <c r="E328" s="127"/>
      <c r="F328" s="127"/>
      <c r="G328" s="127"/>
      <c r="H328" s="127"/>
      <c r="I328" s="125"/>
    </row>
    <row r="329" spans="1:9" s="130" customFormat="1" ht="71.25">
      <c r="A329" s="95" t="s">
        <v>729</v>
      </c>
      <c r="B329" s="96" t="s">
        <v>554</v>
      </c>
      <c r="C329" s="97" t="s">
        <v>555</v>
      </c>
      <c r="D329" s="98" t="s">
        <v>5</v>
      </c>
      <c r="E329" s="99">
        <v>11521.92</v>
      </c>
      <c r="F329" s="100">
        <f>TRUNC(26.10963079,2)</f>
        <v>26.1</v>
      </c>
      <c r="G329" s="128">
        <f>TRUNC(F329*1.2338,2)</f>
        <v>32.2</v>
      </c>
      <c r="H329" s="128">
        <f>TRUNC(F329*E329,2)</f>
        <v>300722.11</v>
      </c>
      <c r="I329" s="129">
        <f>TRUNC(E329*G329,2)</f>
        <v>371005.82</v>
      </c>
    </row>
    <row r="330" spans="1:9" s="64" customFormat="1" ht="14.25">
      <c r="A330" s="58"/>
      <c r="B330" s="59" t="s">
        <v>556</v>
      </c>
      <c r="C330" s="78" t="s">
        <v>557</v>
      </c>
      <c r="D330" s="60" t="s">
        <v>5</v>
      </c>
      <c r="E330" s="79">
        <v>1.0846</v>
      </c>
      <c r="F330" s="61">
        <f>TRUNC(11.6271,2)</f>
        <v>11.62</v>
      </c>
      <c r="G330" s="62">
        <f aca="true" t="shared" si="7" ref="G330:G341">TRUNC(E330*F330,2)</f>
        <v>12.6</v>
      </c>
      <c r="H330" s="62"/>
      <c r="I330" s="63"/>
    </row>
    <row r="331" spans="1:9" s="64" customFormat="1" ht="14.25">
      <c r="A331" s="58"/>
      <c r="B331" s="59" t="s">
        <v>558</v>
      </c>
      <c r="C331" s="78" t="s">
        <v>559</v>
      </c>
      <c r="D331" s="60" t="s">
        <v>12</v>
      </c>
      <c r="E331" s="79">
        <v>0.003</v>
      </c>
      <c r="F331" s="61">
        <f>TRUNC(3.2,2)</f>
        <v>3.2</v>
      </c>
      <c r="G331" s="62">
        <f t="shared" si="7"/>
        <v>0</v>
      </c>
      <c r="H331" s="62"/>
      <c r="I331" s="63"/>
    </row>
    <row r="332" spans="1:9" s="64" customFormat="1" ht="14.25">
      <c r="A332" s="58"/>
      <c r="B332" s="59" t="s">
        <v>560</v>
      </c>
      <c r="C332" s="78" t="s">
        <v>561</v>
      </c>
      <c r="D332" s="60" t="s">
        <v>49</v>
      </c>
      <c r="E332" s="79">
        <v>0.003</v>
      </c>
      <c r="F332" s="61">
        <f>TRUNC(63.73,2)</f>
        <v>63.73</v>
      </c>
      <c r="G332" s="62">
        <f t="shared" si="7"/>
        <v>0.19</v>
      </c>
      <c r="H332" s="62"/>
      <c r="I332" s="63"/>
    </row>
    <row r="333" spans="1:9" s="64" customFormat="1" ht="28.5">
      <c r="A333" s="58"/>
      <c r="B333" s="59" t="s">
        <v>562</v>
      </c>
      <c r="C333" s="78" t="s">
        <v>563</v>
      </c>
      <c r="D333" s="60" t="s">
        <v>5</v>
      </c>
      <c r="E333" s="79">
        <v>0.015400000000000002</v>
      </c>
      <c r="F333" s="61">
        <f>TRUNC(11.2938,2)</f>
        <v>11.29</v>
      </c>
      <c r="G333" s="62">
        <f t="shared" si="7"/>
        <v>0.17</v>
      </c>
      <c r="H333" s="62"/>
      <c r="I333" s="63"/>
    </row>
    <row r="334" spans="1:9" s="64" customFormat="1" ht="28.5">
      <c r="A334" s="58"/>
      <c r="B334" s="59" t="s">
        <v>564</v>
      </c>
      <c r="C334" s="78" t="s">
        <v>565</v>
      </c>
      <c r="D334" s="60" t="s">
        <v>5</v>
      </c>
      <c r="E334" s="79">
        <v>0.049</v>
      </c>
      <c r="F334" s="61">
        <f>TRUNC(20.96,2)</f>
        <v>20.96</v>
      </c>
      <c r="G334" s="62">
        <f t="shared" si="7"/>
        <v>1.02</v>
      </c>
      <c r="H334" s="62"/>
      <c r="I334" s="63"/>
    </row>
    <row r="335" spans="1:9" s="64" customFormat="1" ht="14.25">
      <c r="A335" s="58"/>
      <c r="B335" s="59" t="s">
        <v>566</v>
      </c>
      <c r="C335" s="78" t="s">
        <v>567</v>
      </c>
      <c r="D335" s="60" t="s">
        <v>6</v>
      </c>
      <c r="E335" s="79">
        <v>0.0206</v>
      </c>
      <c r="F335" s="61">
        <f>TRUNC(31.63,2)</f>
        <v>31.63</v>
      </c>
      <c r="G335" s="62">
        <f t="shared" si="7"/>
        <v>0.65</v>
      </c>
      <c r="H335" s="62"/>
      <c r="I335" s="63"/>
    </row>
    <row r="336" spans="1:9" s="64" customFormat="1" ht="28.5">
      <c r="A336" s="58"/>
      <c r="B336" s="59" t="s">
        <v>568</v>
      </c>
      <c r="C336" s="78" t="s">
        <v>569</v>
      </c>
      <c r="D336" s="60" t="s">
        <v>6</v>
      </c>
      <c r="E336" s="79">
        <v>0.309</v>
      </c>
      <c r="F336" s="61">
        <f>TRUNC(24.61,2)</f>
        <v>24.61</v>
      </c>
      <c r="G336" s="62">
        <f t="shared" si="7"/>
        <v>7.6</v>
      </c>
      <c r="H336" s="62"/>
      <c r="I336" s="63"/>
    </row>
    <row r="337" spans="1:9" s="64" customFormat="1" ht="14.25">
      <c r="A337" s="58"/>
      <c r="B337" s="59" t="s">
        <v>570</v>
      </c>
      <c r="C337" s="78" t="s">
        <v>571</v>
      </c>
      <c r="D337" s="60" t="s">
        <v>6</v>
      </c>
      <c r="E337" s="79">
        <v>0.10300000000000001</v>
      </c>
      <c r="F337" s="61">
        <f>TRUNC(17.43,2)</f>
        <v>17.43</v>
      </c>
      <c r="G337" s="62">
        <f t="shared" si="7"/>
        <v>1.79</v>
      </c>
      <c r="H337" s="62"/>
      <c r="I337" s="63"/>
    </row>
    <row r="338" spans="1:9" s="64" customFormat="1" ht="14.25">
      <c r="A338" s="58"/>
      <c r="B338" s="59" t="s">
        <v>572</v>
      </c>
      <c r="C338" s="78" t="s">
        <v>573</v>
      </c>
      <c r="D338" s="60" t="s">
        <v>6</v>
      </c>
      <c r="E338" s="79">
        <v>0.0206</v>
      </c>
      <c r="F338" s="61">
        <f>TRUNC(24.61,2)</f>
        <v>24.61</v>
      </c>
      <c r="G338" s="62">
        <f t="shared" si="7"/>
        <v>0.5</v>
      </c>
      <c r="H338" s="62"/>
      <c r="I338" s="63"/>
    </row>
    <row r="339" spans="1:9" s="64" customFormat="1" ht="28.5">
      <c r="A339" s="58"/>
      <c r="B339" s="59" t="s">
        <v>574</v>
      </c>
      <c r="C339" s="78" t="s">
        <v>575</v>
      </c>
      <c r="D339" s="60" t="s">
        <v>12</v>
      </c>
      <c r="E339" s="79">
        <v>3E-05</v>
      </c>
      <c r="F339" s="61">
        <f>TRUNC(4295,2)</f>
        <v>4295</v>
      </c>
      <c r="G339" s="62">
        <f t="shared" si="7"/>
        <v>0.12</v>
      </c>
      <c r="H339" s="62"/>
      <c r="I339" s="63"/>
    </row>
    <row r="340" spans="1:9" s="64" customFormat="1" ht="28.5">
      <c r="A340" s="58"/>
      <c r="B340" s="59" t="s">
        <v>576</v>
      </c>
      <c r="C340" s="78" t="s">
        <v>577</v>
      </c>
      <c r="D340" s="60" t="s">
        <v>6</v>
      </c>
      <c r="E340" s="79">
        <v>0.0109</v>
      </c>
      <c r="F340" s="61">
        <f>TRUNC(82.8265,2)</f>
        <v>82.82</v>
      </c>
      <c r="G340" s="62">
        <f t="shared" si="7"/>
        <v>0.9</v>
      </c>
      <c r="H340" s="62"/>
      <c r="I340" s="63"/>
    </row>
    <row r="341" spans="1:9" s="64" customFormat="1" ht="28.5">
      <c r="A341" s="58"/>
      <c r="B341" s="59" t="s">
        <v>578</v>
      </c>
      <c r="C341" s="78" t="s">
        <v>579</v>
      </c>
      <c r="D341" s="60" t="s">
        <v>6</v>
      </c>
      <c r="E341" s="79">
        <v>0.0021</v>
      </c>
      <c r="F341" s="61">
        <f>TRUNC(241.4956,2)</f>
        <v>241.49</v>
      </c>
      <c r="G341" s="62">
        <f t="shared" si="7"/>
        <v>0.5</v>
      </c>
      <c r="H341" s="62"/>
      <c r="I341" s="63"/>
    </row>
    <row r="342" spans="1:9" s="64" customFormat="1" ht="14.25">
      <c r="A342" s="58"/>
      <c r="B342" s="59"/>
      <c r="C342" s="78"/>
      <c r="D342" s="60"/>
      <c r="E342" s="79" t="s">
        <v>7</v>
      </c>
      <c r="F342" s="61"/>
      <c r="G342" s="62">
        <f>TRUNC(SUM(G330:G341),2)</f>
        <v>26.04</v>
      </c>
      <c r="H342" s="62"/>
      <c r="I342" s="63"/>
    </row>
    <row r="343" spans="1:9" s="131" customFormat="1" ht="15.75">
      <c r="A343" s="124" t="s">
        <v>439</v>
      </c>
      <c r="B343" s="126"/>
      <c r="C343" s="127" t="s">
        <v>580</v>
      </c>
      <c r="D343" s="127"/>
      <c r="E343" s="127"/>
      <c r="F343" s="127"/>
      <c r="G343" s="127"/>
      <c r="H343" s="127"/>
      <c r="I343" s="125"/>
    </row>
    <row r="344" spans="1:10" s="103" customFormat="1" ht="85.5">
      <c r="A344" s="95" t="s">
        <v>730</v>
      </c>
      <c r="B344" s="96" t="s">
        <v>387</v>
      </c>
      <c r="C344" s="97" t="s">
        <v>581</v>
      </c>
      <c r="D344" s="98" t="s">
        <v>0</v>
      </c>
      <c r="E344" s="99">
        <v>649.06</v>
      </c>
      <c r="F344" s="100">
        <f>TRUNC(G359,2)</f>
        <v>98.97</v>
      </c>
      <c r="G344" s="101">
        <f>TRUNC(F344*1.2338,2)</f>
        <v>122.1</v>
      </c>
      <c r="H344" s="101">
        <f>TRUNC(F344*E344,2)</f>
        <v>64237.46</v>
      </c>
      <c r="I344" s="102">
        <f>TRUNC(E344*G344,2)</f>
        <v>79250.22</v>
      </c>
      <c r="J344" s="103">
        <v>103.99</v>
      </c>
    </row>
    <row r="345" spans="1:9" s="64" customFormat="1" ht="14.25">
      <c r="A345" s="58"/>
      <c r="B345" s="59" t="s">
        <v>116</v>
      </c>
      <c r="C345" s="78" t="s">
        <v>93</v>
      </c>
      <c r="D345" s="60" t="s">
        <v>48</v>
      </c>
      <c r="E345" s="79">
        <v>0.0725</v>
      </c>
      <c r="F345" s="61">
        <f>TRUNC(62,2)</f>
        <v>62</v>
      </c>
      <c r="G345" s="62">
        <f aca="true" t="shared" si="8" ref="G345:G358">TRUNC(E345*F345,2)</f>
        <v>4.49</v>
      </c>
      <c r="H345" s="62"/>
      <c r="I345" s="63"/>
    </row>
    <row r="346" spans="1:9" s="93" customFormat="1" ht="45">
      <c r="A346" s="87"/>
      <c r="B346" s="88" t="s">
        <v>259</v>
      </c>
      <c r="C346" s="89" t="s">
        <v>260</v>
      </c>
      <c r="D346" s="90" t="s">
        <v>5</v>
      </c>
      <c r="E346" s="91">
        <v>1.62</v>
      </c>
      <c r="F346" s="92">
        <v>5.96</v>
      </c>
      <c r="G346" s="75">
        <f t="shared" si="8"/>
        <v>9.65</v>
      </c>
      <c r="H346" s="75"/>
      <c r="I346" s="76"/>
    </row>
    <row r="347" spans="1:9" s="64" customFormat="1" ht="14.25">
      <c r="A347" s="58"/>
      <c r="B347" s="59" t="s">
        <v>117</v>
      </c>
      <c r="C347" s="78" t="s">
        <v>118</v>
      </c>
      <c r="D347" s="60" t="s">
        <v>0</v>
      </c>
      <c r="E347" s="79">
        <v>1.2</v>
      </c>
      <c r="F347" s="61">
        <f>TRUNC(0.75,2)</f>
        <v>0.75</v>
      </c>
      <c r="G347" s="62">
        <f t="shared" si="8"/>
        <v>0.9</v>
      </c>
      <c r="H347" s="62"/>
      <c r="I347" s="63"/>
    </row>
    <row r="348" spans="1:9" s="93" customFormat="1" ht="15">
      <c r="A348" s="87"/>
      <c r="B348" s="88" t="s">
        <v>166</v>
      </c>
      <c r="C348" s="89" t="s">
        <v>167</v>
      </c>
      <c r="D348" s="90" t="s">
        <v>1</v>
      </c>
      <c r="E348" s="91">
        <v>0.125</v>
      </c>
      <c r="F348" s="92">
        <v>345</v>
      </c>
      <c r="G348" s="75">
        <f t="shared" si="8"/>
        <v>43.12</v>
      </c>
      <c r="H348" s="75"/>
      <c r="I348" s="76"/>
    </row>
    <row r="349" spans="1:9" s="64" customFormat="1" ht="28.5">
      <c r="A349" s="58"/>
      <c r="B349" s="59" t="s">
        <v>132</v>
      </c>
      <c r="C349" s="78" t="s">
        <v>133</v>
      </c>
      <c r="D349" s="60" t="s">
        <v>6</v>
      </c>
      <c r="E349" s="79">
        <v>1.15875</v>
      </c>
      <c r="F349" s="61">
        <f>TRUNC(16.55,2)</f>
        <v>16.55</v>
      </c>
      <c r="G349" s="62">
        <f t="shared" si="8"/>
        <v>19.17</v>
      </c>
      <c r="H349" s="62"/>
      <c r="I349" s="63"/>
    </row>
    <row r="350" spans="1:9" s="64" customFormat="1" ht="28.5">
      <c r="A350" s="58"/>
      <c r="B350" s="59" t="s">
        <v>141</v>
      </c>
      <c r="C350" s="78" t="s">
        <v>142</v>
      </c>
      <c r="D350" s="60" t="s">
        <v>6</v>
      </c>
      <c r="E350" s="79">
        <v>0.1648</v>
      </c>
      <c r="F350" s="61">
        <f>TRUNC(22.86,2)</f>
        <v>22.86</v>
      </c>
      <c r="G350" s="62">
        <f t="shared" si="8"/>
        <v>3.76</v>
      </c>
      <c r="H350" s="62"/>
      <c r="I350" s="63"/>
    </row>
    <row r="351" spans="1:9" s="64" customFormat="1" ht="28.5">
      <c r="A351" s="58"/>
      <c r="B351" s="59" t="s">
        <v>143</v>
      </c>
      <c r="C351" s="78" t="s">
        <v>144</v>
      </c>
      <c r="D351" s="60" t="s">
        <v>6</v>
      </c>
      <c r="E351" s="79">
        <v>0.0927</v>
      </c>
      <c r="F351" s="61">
        <f>TRUNC(22.86,2)</f>
        <v>22.86</v>
      </c>
      <c r="G351" s="62">
        <f t="shared" si="8"/>
        <v>2.11</v>
      </c>
      <c r="H351" s="62"/>
      <c r="I351" s="63"/>
    </row>
    <row r="352" spans="1:9" s="64" customFormat="1" ht="14.25">
      <c r="A352" s="58"/>
      <c r="B352" s="59" t="s">
        <v>145</v>
      </c>
      <c r="C352" s="78" t="s">
        <v>146</v>
      </c>
      <c r="D352" s="60" t="s">
        <v>6</v>
      </c>
      <c r="E352" s="79">
        <v>0.6695000000000001</v>
      </c>
      <c r="F352" s="61">
        <f>TRUNC(22.86,2)</f>
        <v>22.86</v>
      </c>
      <c r="G352" s="62">
        <f t="shared" si="8"/>
        <v>15.3</v>
      </c>
      <c r="H352" s="62"/>
      <c r="I352" s="63"/>
    </row>
    <row r="353" spans="1:9" s="64" customFormat="1" ht="14.25">
      <c r="A353" s="58"/>
      <c r="B353" s="59" t="s">
        <v>147</v>
      </c>
      <c r="C353" s="78" t="s">
        <v>148</v>
      </c>
      <c r="D353" s="60" t="s">
        <v>6</v>
      </c>
      <c r="E353" s="79">
        <v>0.0292</v>
      </c>
      <c r="F353" s="61">
        <f>TRUNC(2.083,2)</f>
        <v>2.08</v>
      </c>
      <c r="G353" s="62">
        <f t="shared" si="8"/>
        <v>0.06</v>
      </c>
      <c r="H353" s="62"/>
      <c r="I353" s="63"/>
    </row>
    <row r="354" spans="1:9" s="64" customFormat="1" ht="14.25">
      <c r="A354" s="58"/>
      <c r="B354" s="59" t="s">
        <v>149</v>
      </c>
      <c r="C354" s="78" t="s">
        <v>150</v>
      </c>
      <c r="D354" s="60" t="s">
        <v>6</v>
      </c>
      <c r="E354" s="79">
        <v>0.0125</v>
      </c>
      <c r="F354" s="61">
        <f>TRUNC(9.1513,2)</f>
        <v>9.15</v>
      </c>
      <c r="G354" s="62">
        <f t="shared" si="8"/>
        <v>0.11</v>
      </c>
      <c r="H354" s="62"/>
      <c r="I354" s="63"/>
    </row>
    <row r="355" spans="1:9" s="64" customFormat="1" ht="14.25">
      <c r="A355" s="58"/>
      <c r="B355" s="59" t="s">
        <v>151</v>
      </c>
      <c r="C355" s="78" t="s">
        <v>152</v>
      </c>
      <c r="D355" s="60" t="s">
        <v>6</v>
      </c>
      <c r="E355" s="79">
        <v>0.0438</v>
      </c>
      <c r="F355" s="61">
        <f>TRUNC(0.9788,2)</f>
        <v>0.97</v>
      </c>
      <c r="G355" s="62">
        <f t="shared" si="8"/>
        <v>0.04</v>
      </c>
      <c r="H355" s="62"/>
      <c r="I355" s="63"/>
    </row>
    <row r="356" spans="1:9" s="64" customFormat="1" ht="14.25">
      <c r="A356" s="58"/>
      <c r="B356" s="59" t="s">
        <v>153</v>
      </c>
      <c r="C356" s="78" t="s">
        <v>154</v>
      </c>
      <c r="D356" s="60" t="s">
        <v>6</v>
      </c>
      <c r="E356" s="79">
        <v>0.0188</v>
      </c>
      <c r="F356" s="61">
        <f>TRUNC(10.9185,2)</f>
        <v>10.91</v>
      </c>
      <c r="G356" s="62">
        <f t="shared" si="8"/>
        <v>0.2</v>
      </c>
      <c r="H356" s="62"/>
      <c r="I356" s="63"/>
    </row>
    <row r="357" spans="1:9" s="64" customFormat="1" ht="14.25">
      <c r="A357" s="58"/>
      <c r="B357" s="59" t="s">
        <v>155</v>
      </c>
      <c r="C357" s="78" t="s">
        <v>156</v>
      </c>
      <c r="D357" s="60" t="s">
        <v>6</v>
      </c>
      <c r="E357" s="79">
        <v>0.036</v>
      </c>
      <c r="F357" s="61">
        <f>TRUNC(0.3532,2)</f>
        <v>0.35</v>
      </c>
      <c r="G357" s="62">
        <f t="shared" si="8"/>
        <v>0.01</v>
      </c>
      <c r="H357" s="62"/>
      <c r="I357" s="63"/>
    </row>
    <row r="358" spans="1:9" s="64" customFormat="1" ht="14.25">
      <c r="A358" s="58"/>
      <c r="B358" s="59" t="s">
        <v>157</v>
      </c>
      <c r="C358" s="78" t="s">
        <v>158</v>
      </c>
      <c r="D358" s="60" t="s">
        <v>6</v>
      </c>
      <c r="E358" s="79">
        <v>0.036</v>
      </c>
      <c r="F358" s="61">
        <f>TRUNC(1.403,2)</f>
        <v>1.4</v>
      </c>
      <c r="G358" s="62">
        <f t="shared" si="8"/>
        <v>0.05</v>
      </c>
      <c r="H358" s="62"/>
      <c r="I358" s="63"/>
    </row>
    <row r="359" spans="1:9" s="64" customFormat="1" ht="14.25">
      <c r="A359" s="58"/>
      <c r="B359" s="59"/>
      <c r="C359" s="78"/>
      <c r="D359" s="60"/>
      <c r="E359" s="79" t="s">
        <v>7</v>
      </c>
      <c r="F359" s="61"/>
      <c r="G359" s="62">
        <f>TRUNC(SUM(G345:G358),2)</f>
        <v>98.97</v>
      </c>
      <c r="H359" s="62"/>
      <c r="I359" s="63"/>
    </row>
    <row r="360" spans="1:9" s="130" customFormat="1" ht="99.75">
      <c r="A360" s="95" t="s">
        <v>731</v>
      </c>
      <c r="B360" s="96" t="s">
        <v>582</v>
      </c>
      <c r="C360" s="97" t="s">
        <v>374</v>
      </c>
      <c r="D360" s="98" t="s">
        <v>0</v>
      </c>
      <c r="E360" s="99">
        <v>163.41</v>
      </c>
      <c r="F360" s="100">
        <f>TRUNC(G375,2)</f>
        <v>99.2</v>
      </c>
      <c r="G360" s="128">
        <f>TRUNC(F360*1.2338,2)</f>
        <v>122.39</v>
      </c>
      <c r="H360" s="128">
        <f>TRUNC(F360*E360,2)</f>
        <v>16210.27</v>
      </c>
      <c r="I360" s="129">
        <f>TRUNC(E360*G360,2)</f>
        <v>19999.74</v>
      </c>
    </row>
    <row r="361" spans="1:9" s="64" customFormat="1" ht="14.25">
      <c r="A361" s="58"/>
      <c r="B361" s="59" t="s">
        <v>116</v>
      </c>
      <c r="C361" s="78" t="s">
        <v>93</v>
      </c>
      <c r="D361" s="60" t="s">
        <v>48</v>
      </c>
      <c r="E361" s="79">
        <v>0.0725</v>
      </c>
      <c r="F361" s="61">
        <f>TRUNC(62,2)</f>
        <v>62</v>
      </c>
      <c r="G361" s="62">
        <f aca="true" t="shared" si="9" ref="G361:G374">TRUNC(E361*F361,2)</f>
        <v>4.49</v>
      </c>
      <c r="H361" s="62"/>
      <c r="I361" s="63"/>
    </row>
    <row r="362" spans="1:9" s="93" customFormat="1" ht="30">
      <c r="A362" s="87"/>
      <c r="B362" s="88" t="s">
        <v>583</v>
      </c>
      <c r="C362" s="89" t="s">
        <v>584</v>
      </c>
      <c r="D362" s="90" t="s">
        <v>5</v>
      </c>
      <c r="E362" s="91">
        <v>1.62</v>
      </c>
      <c r="F362" s="92">
        <f>TRUNC(10.36,2)</f>
        <v>10.36</v>
      </c>
      <c r="G362" s="75">
        <f t="shared" si="9"/>
        <v>16.78</v>
      </c>
      <c r="H362" s="75"/>
      <c r="I362" s="76"/>
    </row>
    <row r="363" spans="1:9" s="64" customFormat="1" ht="14.25">
      <c r="A363" s="58"/>
      <c r="B363" s="59" t="s">
        <v>117</v>
      </c>
      <c r="C363" s="78" t="s">
        <v>118</v>
      </c>
      <c r="D363" s="60" t="s">
        <v>0</v>
      </c>
      <c r="E363" s="79">
        <v>1.2</v>
      </c>
      <c r="F363" s="61">
        <f>TRUNC(0.75,2)</f>
        <v>0.75</v>
      </c>
      <c r="G363" s="62">
        <f t="shared" si="9"/>
        <v>0.9</v>
      </c>
      <c r="H363" s="62"/>
      <c r="I363" s="63"/>
    </row>
    <row r="364" spans="1:9" s="93" customFormat="1" ht="15">
      <c r="A364" s="87"/>
      <c r="B364" s="88" t="s">
        <v>166</v>
      </c>
      <c r="C364" s="89" t="s">
        <v>167</v>
      </c>
      <c r="D364" s="90" t="s">
        <v>1</v>
      </c>
      <c r="E364" s="91">
        <v>0.105</v>
      </c>
      <c r="F364" s="92">
        <v>345</v>
      </c>
      <c r="G364" s="75">
        <f t="shared" si="9"/>
        <v>36.22</v>
      </c>
      <c r="H364" s="75"/>
      <c r="I364" s="76"/>
    </row>
    <row r="365" spans="1:9" s="64" customFormat="1" ht="28.5">
      <c r="A365" s="58"/>
      <c r="B365" s="59" t="s">
        <v>132</v>
      </c>
      <c r="C365" s="78" t="s">
        <v>133</v>
      </c>
      <c r="D365" s="60" t="s">
        <v>6</v>
      </c>
      <c r="E365" s="79">
        <v>1.15875</v>
      </c>
      <c r="F365" s="61">
        <f>TRUNC(16.55,2)</f>
        <v>16.55</v>
      </c>
      <c r="G365" s="62">
        <f t="shared" si="9"/>
        <v>19.17</v>
      </c>
      <c r="H365" s="62"/>
      <c r="I365" s="63"/>
    </row>
    <row r="366" spans="1:9" s="64" customFormat="1" ht="28.5">
      <c r="A366" s="58"/>
      <c r="B366" s="59" t="s">
        <v>141</v>
      </c>
      <c r="C366" s="78" t="s">
        <v>142</v>
      </c>
      <c r="D366" s="60" t="s">
        <v>6</v>
      </c>
      <c r="E366" s="79">
        <v>0.1648</v>
      </c>
      <c r="F366" s="61">
        <f>TRUNC(22.86,2)</f>
        <v>22.86</v>
      </c>
      <c r="G366" s="62">
        <f t="shared" si="9"/>
        <v>3.76</v>
      </c>
      <c r="H366" s="62"/>
      <c r="I366" s="63"/>
    </row>
    <row r="367" spans="1:9" s="64" customFormat="1" ht="28.5">
      <c r="A367" s="58"/>
      <c r="B367" s="59" t="s">
        <v>143</v>
      </c>
      <c r="C367" s="78" t="s">
        <v>144</v>
      </c>
      <c r="D367" s="60" t="s">
        <v>6</v>
      </c>
      <c r="E367" s="79">
        <v>0.0927</v>
      </c>
      <c r="F367" s="61">
        <f>TRUNC(22.86,2)</f>
        <v>22.86</v>
      </c>
      <c r="G367" s="62">
        <f t="shared" si="9"/>
        <v>2.11</v>
      </c>
      <c r="H367" s="62"/>
      <c r="I367" s="63"/>
    </row>
    <row r="368" spans="1:9" s="64" customFormat="1" ht="14.25">
      <c r="A368" s="58"/>
      <c r="B368" s="59" t="s">
        <v>145</v>
      </c>
      <c r="C368" s="78" t="s">
        <v>146</v>
      </c>
      <c r="D368" s="60" t="s">
        <v>6</v>
      </c>
      <c r="E368" s="79">
        <v>0.6695000000000001</v>
      </c>
      <c r="F368" s="61">
        <f>TRUNC(22.86,2)</f>
        <v>22.86</v>
      </c>
      <c r="G368" s="62">
        <f t="shared" si="9"/>
        <v>15.3</v>
      </c>
      <c r="H368" s="62"/>
      <c r="I368" s="63"/>
    </row>
    <row r="369" spans="1:9" s="64" customFormat="1" ht="14.25">
      <c r="A369" s="58"/>
      <c r="B369" s="59" t="s">
        <v>147</v>
      </c>
      <c r="C369" s="78" t="s">
        <v>148</v>
      </c>
      <c r="D369" s="60" t="s">
        <v>6</v>
      </c>
      <c r="E369" s="79">
        <v>0.0292</v>
      </c>
      <c r="F369" s="61">
        <f>TRUNC(2.083,2)</f>
        <v>2.08</v>
      </c>
      <c r="G369" s="62">
        <f t="shared" si="9"/>
        <v>0.06</v>
      </c>
      <c r="H369" s="62"/>
      <c r="I369" s="63"/>
    </row>
    <row r="370" spans="1:9" s="64" customFormat="1" ht="14.25">
      <c r="A370" s="58"/>
      <c r="B370" s="59" t="s">
        <v>149</v>
      </c>
      <c r="C370" s="78" t="s">
        <v>150</v>
      </c>
      <c r="D370" s="60" t="s">
        <v>6</v>
      </c>
      <c r="E370" s="79">
        <v>0.0125</v>
      </c>
      <c r="F370" s="61">
        <f>TRUNC(9.1513,2)</f>
        <v>9.15</v>
      </c>
      <c r="G370" s="62">
        <f t="shared" si="9"/>
        <v>0.11</v>
      </c>
      <c r="H370" s="62"/>
      <c r="I370" s="63"/>
    </row>
    <row r="371" spans="1:9" s="64" customFormat="1" ht="14.25">
      <c r="A371" s="58"/>
      <c r="B371" s="59" t="s">
        <v>151</v>
      </c>
      <c r="C371" s="78" t="s">
        <v>152</v>
      </c>
      <c r="D371" s="60" t="s">
        <v>6</v>
      </c>
      <c r="E371" s="79">
        <v>0.0438</v>
      </c>
      <c r="F371" s="61">
        <f>TRUNC(0.9788,2)</f>
        <v>0.97</v>
      </c>
      <c r="G371" s="62">
        <f t="shared" si="9"/>
        <v>0.04</v>
      </c>
      <c r="H371" s="62"/>
      <c r="I371" s="63"/>
    </row>
    <row r="372" spans="1:9" s="64" customFormat="1" ht="14.25">
      <c r="A372" s="58"/>
      <c r="B372" s="59" t="s">
        <v>153</v>
      </c>
      <c r="C372" s="78" t="s">
        <v>154</v>
      </c>
      <c r="D372" s="60" t="s">
        <v>6</v>
      </c>
      <c r="E372" s="79">
        <v>0.0188</v>
      </c>
      <c r="F372" s="61">
        <f>TRUNC(10.9185,2)</f>
        <v>10.91</v>
      </c>
      <c r="G372" s="62">
        <f t="shared" si="9"/>
        <v>0.2</v>
      </c>
      <c r="H372" s="62"/>
      <c r="I372" s="63"/>
    </row>
    <row r="373" spans="1:9" s="64" customFormat="1" ht="14.25">
      <c r="A373" s="58"/>
      <c r="B373" s="59" t="s">
        <v>155</v>
      </c>
      <c r="C373" s="78" t="s">
        <v>156</v>
      </c>
      <c r="D373" s="60" t="s">
        <v>6</v>
      </c>
      <c r="E373" s="79">
        <v>0.036</v>
      </c>
      <c r="F373" s="61">
        <f>TRUNC(0.3532,2)</f>
        <v>0.35</v>
      </c>
      <c r="G373" s="62">
        <f t="shared" si="9"/>
        <v>0.01</v>
      </c>
      <c r="H373" s="62"/>
      <c r="I373" s="63"/>
    </row>
    <row r="374" spans="1:9" s="64" customFormat="1" ht="14.25">
      <c r="A374" s="58"/>
      <c r="B374" s="59" t="s">
        <v>157</v>
      </c>
      <c r="C374" s="78" t="s">
        <v>158</v>
      </c>
      <c r="D374" s="60" t="s">
        <v>6</v>
      </c>
      <c r="E374" s="79">
        <v>0.036</v>
      </c>
      <c r="F374" s="61">
        <f>TRUNC(1.403,2)</f>
        <v>1.4</v>
      </c>
      <c r="G374" s="62">
        <f t="shared" si="9"/>
        <v>0.05</v>
      </c>
      <c r="H374" s="62"/>
      <c r="I374" s="63"/>
    </row>
    <row r="375" spans="1:9" s="64" customFormat="1" ht="14.25">
      <c r="A375" s="58"/>
      <c r="B375" s="59"/>
      <c r="C375" s="78"/>
      <c r="D375" s="60"/>
      <c r="E375" s="79" t="s">
        <v>7</v>
      </c>
      <c r="F375" s="61"/>
      <c r="G375" s="62">
        <f>TRUNC(SUM(G361:G374),2)</f>
        <v>99.2</v>
      </c>
      <c r="H375" s="62"/>
      <c r="I375" s="63"/>
    </row>
    <row r="376" spans="1:10" s="103" customFormat="1" ht="28.5">
      <c r="A376" s="95" t="s">
        <v>732</v>
      </c>
      <c r="B376" s="96" t="s">
        <v>269</v>
      </c>
      <c r="C376" s="97" t="s">
        <v>270</v>
      </c>
      <c r="D376" s="98" t="s">
        <v>1</v>
      </c>
      <c r="E376" s="99">
        <v>81.25</v>
      </c>
      <c r="F376" s="100">
        <f>TRUNC(G382,2)</f>
        <v>39.95</v>
      </c>
      <c r="G376" s="101">
        <f>TRUNC(F376*1.2338,2)</f>
        <v>49.29</v>
      </c>
      <c r="H376" s="101">
        <f>TRUNC(F376*E376,2)</f>
        <v>3245.93</v>
      </c>
      <c r="I376" s="102">
        <f>TRUNC(E376*G376,2)</f>
        <v>4004.81</v>
      </c>
      <c r="J376" s="103">
        <v>3648.12</v>
      </c>
    </row>
    <row r="377" spans="1:9" s="64" customFormat="1" ht="14.25">
      <c r="A377" s="58"/>
      <c r="B377" s="59" t="s">
        <v>234</v>
      </c>
      <c r="C377" s="78" t="s">
        <v>99</v>
      </c>
      <c r="D377" s="60" t="s">
        <v>6</v>
      </c>
      <c r="E377" s="79">
        <v>1.192</v>
      </c>
      <c r="F377" s="61">
        <f>TRUNC(23.42,2)</f>
        <v>23.42</v>
      </c>
      <c r="G377" s="62">
        <f>TRUNC(E377*F377,2)</f>
        <v>27.91</v>
      </c>
      <c r="H377" s="62"/>
      <c r="I377" s="63"/>
    </row>
    <row r="378" spans="1:9" s="64" customFormat="1" ht="14.25">
      <c r="A378" s="58"/>
      <c r="B378" s="59" t="s">
        <v>235</v>
      </c>
      <c r="C378" s="78" t="s">
        <v>172</v>
      </c>
      <c r="D378" s="60" t="s">
        <v>6</v>
      </c>
      <c r="E378" s="79">
        <v>0.199</v>
      </c>
      <c r="F378" s="61">
        <f>TRUNC(29.96,2)</f>
        <v>29.96</v>
      </c>
      <c r="G378" s="62">
        <f>TRUNC(E378*F378,2)</f>
        <v>5.96</v>
      </c>
      <c r="H378" s="62"/>
      <c r="I378" s="63"/>
    </row>
    <row r="379" spans="1:9" s="64" customFormat="1" ht="14.25">
      <c r="A379" s="58"/>
      <c r="B379" s="59" t="s">
        <v>236</v>
      </c>
      <c r="C379" s="78" t="s">
        <v>216</v>
      </c>
      <c r="D379" s="60" t="s">
        <v>6</v>
      </c>
      <c r="E379" s="79">
        <v>0.199</v>
      </c>
      <c r="F379" s="61">
        <f>TRUNC(29.7,2)</f>
        <v>29.7</v>
      </c>
      <c r="G379" s="62">
        <f>TRUNC(E379*F379,2)</f>
        <v>5.91</v>
      </c>
      <c r="H379" s="62"/>
      <c r="I379" s="63"/>
    </row>
    <row r="380" spans="1:9" s="64" customFormat="1" ht="28.5">
      <c r="A380" s="58"/>
      <c r="B380" s="59" t="s">
        <v>237</v>
      </c>
      <c r="C380" s="78" t="s">
        <v>238</v>
      </c>
      <c r="D380" s="60" t="s">
        <v>196</v>
      </c>
      <c r="E380" s="79">
        <v>0.131</v>
      </c>
      <c r="F380" s="61">
        <f>TRUNC(0.42,2)</f>
        <v>0.42</v>
      </c>
      <c r="G380" s="62">
        <f>TRUNC(E380*F380,2)</f>
        <v>0.05</v>
      </c>
      <c r="H380" s="62"/>
      <c r="I380" s="63"/>
    </row>
    <row r="381" spans="1:9" s="64" customFormat="1" ht="28.5">
      <c r="A381" s="58"/>
      <c r="B381" s="59" t="s">
        <v>239</v>
      </c>
      <c r="C381" s="78" t="s">
        <v>240</v>
      </c>
      <c r="D381" s="60" t="s">
        <v>51</v>
      </c>
      <c r="E381" s="79">
        <v>0.068</v>
      </c>
      <c r="F381" s="61">
        <f>TRUNC(1.85,2)</f>
        <v>1.85</v>
      </c>
      <c r="G381" s="62">
        <f>TRUNC(E381*F381,2)</f>
        <v>0.12</v>
      </c>
      <c r="H381" s="62"/>
      <c r="I381" s="63"/>
    </row>
    <row r="382" spans="1:9" s="64" customFormat="1" ht="14.25">
      <c r="A382" s="58"/>
      <c r="B382" s="59"/>
      <c r="C382" s="78"/>
      <c r="D382" s="60"/>
      <c r="E382" s="79" t="s">
        <v>7</v>
      </c>
      <c r="F382" s="61"/>
      <c r="G382" s="62">
        <f>TRUNC(SUM(G377:G381),2)</f>
        <v>39.95</v>
      </c>
      <c r="H382" s="62"/>
      <c r="I382" s="63"/>
    </row>
    <row r="383" spans="1:11" s="103" customFormat="1" ht="42.75">
      <c r="A383" s="95" t="s">
        <v>733</v>
      </c>
      <c r="B383" s="96" t="s">
        <v>585</v>
      </c>
      <c r="C383" s="97" t="s">
        <v>182</v>
      </c>
      <c r="D383" s="98" t="s">
        <v>0</v>
      </c>
      <c r="E383" s="99">
        <v>152.67</v>
      </c>
      <c r="F383" s="100">
        <f>TRUNC(G388+G393,2)</f>
        <v>46.17</v>
      </c>
      <c r="G383" s="101">
        <f>TRUNC(F383*1.2338,2)</f>
        <v>56.96</v>
      </c>
      <c r="H383" s="101">
        <f>TRUNC(F383*E383,2)</f>
        <v>7048.77</v>
      </c>
      <c r="I383" s="102">
        <f>TRUNC(E383*G383,2)</f>
        <v>8696.08</v>
      </c>
      <c r="J383" s="103">
        <v>5373.98</v>
      </c>
      <c r="K383" s="99"/>
    </row>
    <row r="384" spans="1:11" s="64" customFormat="1" ht="28.5">
      <c r="A384" s="58"/>
      <c r="B384" s="59" t="s">
        <v>132</v>
      </c>
      <c r="C384" s="78" t="s">
        <v>133</v>
      </c>
      <c r="D384" s="60" t="s">
        <v>6</v>
      </c>
      <c r="E384" s="79">
        <v>0.41200000000000003</v>
      </c>
      <c r="F384" s="61">
        <f>TRUNC(16.55,2)</f>
        <v>16.55</v>
      </c>
      <c r="G384" s="62">
        <f>TRUNC(E384*F384,2)</f>
        <v>6.81</v>
      </c>
      <c r="H384" s="62"/>
      <c r="I384" s="63"/>
      <c r="K384" s="79"/>
    </row>
    <row r="385" spans="1:11" s="64" customFormat="1" ht="14.25">
      <c r="A385" s="58"/>
      <c r="B385" s="59" t="s">
        <v>145</v>
      </c>
      <c r="C385" s="78" t="s">
        <v>146</v>
      </c>
      <c r="D385" s="60" t="s">
        <v>6</v>
      </c>
      <c r="E385" s="79">
        <v>0.41200000000000003</v>
      </c>
      <c r="F385" s="61">
        <f>TRUNC(22.86,2)</f>
        <v>22.86</v>
      </c>
      <c r="G385" s="62">
        <f>TRUNC(E385*F385,2)</f>
        <v>9.41</v>
      </c>
      <c r="H385" s="62"/>
      <c r="I385" s="63"/>
      <c r="K385" s="79"/>
    </row>
    <row r="386" spans="1:11" s="64" customFormat="1" ht="28.5">
      <c r="A386" s="58"/>
      <c r="B386" s="59" t="s">
        <v>202</v>
      </c>
      <c r="C386" s="78" t="s">
        <v>203</v>
      </c>
      <c r="D386" s="60" t="s">
        <v>0</v>
      </c>
      <c r="E386" s="79">
        <v>1</v>
      </c>
      <c r="F386" s="61">
        <f>TRUNC(5.894,2)</f>
        <v>5.89</v>
      </c>
      <c r="G386" s="62">
        <f>TRUNC(E386*F386,2)</f>
        <v>5.89</v>
      </c>
      <c r="H386" s="62"/>
      <c r="I386" s="63"/>
      <c r="K386" s="79"/>
    </row>
    <row r="387" spans="1:11" s="64" customFormat="1" ht="14.25">
      <c r="A387" s="58"/>
      <c r="B387" s="59" t="s">
        <v>204</v>
      </c>
      <c r="C387" s="78" t="s">
        <v>205</v>
      </c>
      <c r="D387" s="60" t="s">
        <v>1</v>
      </c>
      <c r="E387" s="79">
        <v>0.024</v>
      </c>
      <c r="F387" s="61">
        <f>TRUNC(366.9965,2)</f>
        <v>366.99</v>
      </c>
      <c r="G387" s="62">
        <f>TRUNC(E387*F387,2)</f>
        <v>8.8</v>
      </c>
      <c r="H387" s="62"/>
      <c r="I387" s="63"/>
      <c r="K387" s="79"/>
    </row>
    <row r="388" spans="1:11" s="64" customFormat="1" ht="14.25">
      <c r="A388" s="58"/>
      <c r="B388" s="59"/>
      <c r="C388" s="78"/>
      <c r="D388" s="60"/>
      <c r="E388" s="79" t="s">
        <v>7</v>
      </c>
      <c r="F388" s="61"/>
      <c r="G388" s="62">
        <f>TRUNC(SUM(G384:G387),2)</f>
        <v>30.91</v>
      </c>
      <c r="H388" s="62"/>
      <c r="I388" s="63"/>
      <c r="K388" s="79"/>
    </row>
    <row r="389" spans="1:11" s="64" customFormat="1" ht="28.5">
      <c r="A389" s="58"/>
      <c r="B389" s="59" t="s">
        <v>272</v>
      </c>
      <c r="C389" s="78" t="s">
        <v>271</v>
      </c>
      <c r="D389" s="60" t="s">
        <v>5</v>
      </c>
      <c r="E389" s="79">
        <v>1</v>
      </c>
      <c r="F389" s="61">
        <f>TRUNC(15.275369,2)</f>
        <v>15.27</v>
      </c>
      <c r="G389" s="62">
        <f>TRUNC(E389*F389,2)</f>
        <v>15.27</v>
      </c>
      <c r="H389" s="62"/>
      <c r="I389" s="63"/>
      <c r="K389" s="79"/>
    </row>
    <row r="390" spans="1:11" s="64" customFormat="1" ht="14.25">
      <c r="A390" s="58"/>
      <c r="B390" s="59" t="s">
        <v>348</v>
      </c>
      <c r="C390" s="78" t="s">
        <v>349</v>
      </c>
      <c r="D390" s="60" t="s">
        <v>5</v>
      </c>
      <c r="E390" s="79">
        <v>1.07</v>
      </c>
      <c r="F390" s="61">
        <f>TRUNC(12.98,2)</f>
        <v>12.98</v>
      </c>
      <c r="G390" s="62">
        <f>TRUNC(E390*F390,2)</f>
        <v>13.88</v>
      </c>
      <c r="H390" s="62"/>
      <c r="I390" s="63"/>
      <c r="K390" s="79"/>
    </row>
    <row r="391" spans="1:11" s="64" customFormat="1" ht="14.25">
      <c r="A391" s="58"/>
      <c r="B391" s="59" t="s">
        <v>273</v>
      </c>
      <c r="C391" s="78" t="s">
        <v>217</v>
      </c>
      <c r="D391" s="60" t="s">
        <v>6</v>
      </c>
      <c r="E391" s="79">
        <v>0.042</v>
      </c>
      <c r="F391" s="61">
        <f>TRUNC(29.8,2)</f>
        <v>29.8</v>
      </c>
      <c r="G391" s="62">
        <f>TRUNC(E391*F391,2)</f>
        <v>1.25</v>
      </c>
      <c r="H391" s="62"/>
      <c r="I391" s="63"/>
      <c r="K391" s="79"/>
    </row>
    <row r="392" spans="1:11" s="64" customFormat="1" ht="14.25">
      <c r="A392" s="58"/>
      <c r="B392" s="59" t="s">
        <v>274</v>
      </c>
      <c r="C392" s="78" t="s">
        <v>218</v>
      </c>
      <c r="D392" s="60" t="s">
        <v>6</v>
      </c>
      <c r="E392" s="79">
        <v>0.0059</v>
      </c>
      <c r="F392" s="61">
        <f>TRUNC(22.91,2)</f>
        <v>22.91</v>
      </c>
      <c r="G392" s="62">
        <f>TRUNC(E392*F392,2)</f>
        <v>0.13</v>
      </c>
      <c r="H392" s="62"/>
      <c r="I392" s="63"/>
      <c r="K392" s="79"/>
    </row>
    <row r="393" spans="1:11" s="64" customFormat="1" ht="14.25">
      <c r="A393" s="58"/>
      <c r="B393" s="59"/>
      <c r="C393" s="78"/>
      <c r="D393" s="60"/>
      <c r="E393" s="79" t="s">
        <v>7</v>
      </c>
      <c r="F393" s="61"/>
      <c r="G393" s="62">
        <f>TRUNC(SUM(G390:G392),2)</f>
        <v>15.26</v>
      </c>
      <c r="H393" s="62"/>
      <c r="I393" s="63"/>
      <c r="K393" s="79"/>
    </row>
    <row r="394" spans="1:10" s="44" customFormat="1" ht="15.75">
      <c r="A394" s="53" t="s">
        <v>52</v>
      </c>
      <c r="B394" s="55"/>
      <c r="C394" s="54"/>
      <c r="D394" s="55"/>
      <c r="E394" s="55"/>
      <c r="F394" s="55"/>
      <c r="G394" s="53" t="s">
        <v>125</v>
      </c>
      <c r="H394" s="57">
        <f>H344+H383+H376+H360+H329+H321+H315+H308+H304+H296+H287+H281+H275+H267+H261+H254+H248+H241+H235+H228+H222+H215+H210+H203+H198+H186+H180+H174+H166+H160+H153+H147+H140+H134+H127+H115+H110+H104+H98+H88+H74</f>
        <v>639482.51</v>
      </c>
      <c r="I394" s="57">
        <f>I344+I383+I376+I360+I329+I321+I315+I308+I304+I296+I287+I281+I275+I267+I261+I254+I248+I241+I235+I228+I222+I215+I210+I203+I198+I186+I180+I174+I166+I160+I153+I147+I140+I134+I127+I115+I110+I104+I98+I88+I74</f>
        <v>788930.17</v>
      </c>
      <c r="J394" s="44">
        <v>9126.09</v>
      </c>
    </row>
    <row r="395" spans="1:9" s="43" customFormat="1" ht="15.75">
      <c r="A395" s="43" t="s">
        <v>21</v>
      </c>
      <c r="B395" s="51"/>
      <c r="C395" s="52" t="s">
        <v>65</v>
      </c>
      <c r="D395" s="52"/>
      <c r="E395" s="52"/>
      <c r="F395" s="52"/>
      <c r="G395" s="52"/>
      <c r="H395" s="52"/>
      <c r="I395" s="50"/>
    </row>
    <row r="396" spans="1:10" s="105" customFormat="1" ht="57">
      <c r="A396" s="105" t="s">
        <v>54</v>
      </c>
      <c r="B396" s="106" t="s">
        <v>386</v>
      </c>
      <c r="C396" s="105" t="s">
        <v>375</v>
      </c>
      <c r="D396" s="105" t="s">
        <v>0</v>
      </c>
      <c r="E396" s="105">
        <v>210.17</v>
      </c>
      <c r="F396" s="107">
        <f>TRUNC(G405,2)</f>
        <v>240.28</v>
      </c>
      <c r="G396" s="101">
        <f>TRUNC(F396*1.2338,2)</f>
        <v>296.45</v>
      </c>
      <c r="H396" s="101">
        <f>TRUNC(F396*E396,2)</f>
        <v>50499.64</v>
      </c>
      <c r="I396" s="102">
        <f>TRUNC(E396*G396,2)</f>
        <v>62304.89</v>
      </c>
      <c r="J396" s="105">
        <v>30780.28</v>
      </c>
    </row>
    <row r="397" spans="2:9" s="65" customFormat="1" ht="28.5">
      <c r="B397" s="94" t="s">
        <v>262</v>
      </c>
      <c r="C397" s="65" t="s">
        <v>257</v>
      </c>
      <c r="D397" s="65" t="s">
        <v>5</v>
      </c>
      <c r="E397" s="65">
        <v>0.0797</v>
      </c>
      <c r="F397" s="66">
        <f>TRUNC(18.6,2)</f>
        <v>18.6</v>
      </c>
      <c r="G397" s="62">
        <f aca="true" t="shared" si="10" ref="G397:G404">TRUNC(E397*F397,2)</f>
        <v>1.48</v>
      </c>
      <c r="H397" s="62"/>
      <c r="I397" s="63"/>
    </row>
    <row r="398" spans="2:9" s="65" customFormat="1" ht="14.25">
      <c r="B398" s="94" t="s">
        <v>380</v>
      </c>
      <c r="C398" s="65" t="s">
        <v>376</v>
      </c>
      <c r="D398" s="65" t="s">
        <v>5</v>
      </c>
      <c r="E398" s="65">
        <v>0.0025</v>
      </c>
      <c r="F398" s="66">
        <f>TRUNC(28.71,2)</f>
        <v>28.71</v>
      </c>
      <c r="G398" s="62">
        <f t="shared" si="10"/>
        <v>0.07</v>
      </c>
      <c r="H398" s="62"/>
      <c r="I398" s="63"/>
    </row>
    <row r="399" spans="2:9" s="65" customFormat="1" ht="28.5">
      <c r="B399" s="94" t="s">
        <v>381</v>
      </c>
      <c r="C399" s="65" t="s">
        <v>377</v>
      </c>
      <c r="D399" s="65" t="s">
        <v>3</v>
      </c>
      <c r="E399" s="65">
        <v>0.8701</v>
      </c>
      <c r="F399" s="66">
        <f>TRUNC(65.02,2)</f>
        <v>65.02</v>
      </c>
      <c r="G399" s="62">
        <f t="shared" si="10"/>
        <v>56.57</v>
      </c>
      <c r="H399" s="62"/>
      <c r="I399" s="63"/>
    </row>
    <row r="400" spans="2:9" s="65" customFormat="1" ht="28.5">
      <c r="B400" s="94" t="s">
        <v>241</v>
      </c>
      <c r="C400" s="65" t="s">
        <v>98</v>
      </c>
      <c r="D400" s="65" t="s">
        <v>3</v>
      </c>
      <c r="E400" s="65">
        <v>0.6105</v>
      </c>
      <c r="F400" s="66">
        <f>TRUNC(108.92,2)</f>
        <v>108.92</v>
      </c>
      <c r="G400" s="62">
        <f t="shared" si="10"/>
        <v>66.49</v>
      </c>
      <c r="H400" s="62"/>
      <c r="I400" s="63"/>
    </row>
    <row r="401" spans="2:9" s="74" customFormat="1" ht="30">
      <c r="B401" s="104" t="s">
        <v>384</v>
      </c>
      <c r="C401" s="74" t="s">
        <v>385</v>
      </c>
      <c r="D401" s="74" t="s">
        <v>0</v>
      </c>
      <c r="E401" s="74">
        <v>1.0203</v>
      </c>
      <c r="F401" s="77">
        <v>60.56</v>
      </c>
      <c r="G401" s="75">
        <f t="shared" si="10"/>
        <v>61.78</v>
      </c>
      <c r="H401" s="75"/>
      <c r="I401" s="76"/>
    </row>
    <row r="402" spans="2:9" s="65" customFormat="1" ht="14.25">
      <c r="B402" s="94" t="s">
        <v>234</v>
      </c>
      <c r="C402" s="65" t="s">
        <v>99</v>
      </c>
      <c r="D402" s="65" t="s">
        <v>6</v>
      </c>
      <c r="E402" s="65">
        <v>0.9974</v>
      </c>
      <c r="F402" s="66">
        <f>TRUNC(23.42,2)</f>
        <v>23.42</v>
      </c>
      <c r="G402" s="62">
        <f t="shared" si="10"/>
        <v>23.35</v>
      </c>
      <c r="H402" s="62"/>
      <c r="I402" s="63"/>
    </row>
    <row r="403" spans="2:9" s="65" customFormat="1" ht="14.25">
      <c r="B403" s="94" t="s">
        <v>242</v>
      </c>
      <c r="C403" s="65" t="s">
        <v>100</v>
      </c>
      <c r="D403" s="65" t="s">
        <v>6</v>
      </c>
      <c r="E403" s="65">
        <v>0.9774</v>
      </c>
      <c r="F403" s="66">
        <f>TRUNC(29.8,2)</f>
        <v>29.8</v>
      </c>
      <c r="G403" s="62">
        <f t="shared" si="10"/>
        <v>29.12</v>
      </c>
      <c r="H403" s="62"/>
      <c r="I403" s="63"/>
    </row>
    <row r="404" spans="2:9" s="65" customFormat="1" ht="42.75">
      <c r="B404" s="94" t="s">
        <v>382</v>
      </c>
      <c r="C404" s="65" t="s">
        <v>383</v>
      </c>
      <c r="D404" s="65" t="s">
        <v>1</v>
      </c>
      <c r="E404" s="65">
        <v>0.0045</v>
      </c>
      <c r="F404" s="66">
        <f>TRUNC(316.39,2)</f>
        <v>316.39</v>
      </c>
      <c r="G404" s="62">
        <f t="shared" si="10"/>
        <v>1.42</v>
      </c>
      <c r="H404" s="62"/>
      <c r="I404" s="63"/>
    </row>
    <row r="405" spans="2:9" s="65" customFormat="1" ht="14.25">
      <c r="B405" s="94"/>
      <c r="E405" s="65" t="s">
        <v>7</v>
      </c>
      <c r="F405" s="66"/>
      <c r="G405" s="62">
        <f>TRUNC(SUM(G397:G404),2)</f>
        <v>240.28</v>
      </c>
      <c r="H405" s="62"/>
      <c r="I405" s="63"/>
    </row>
    <row r="406" spans="1:9" s="105" customFormat="1" ht="57">
      <c r="A406" s="105" t="s">
        <v>314</v>
      </c>
      <c r="B406" s="106" t="s">
        <v>586</v>
      </c>
      <c r="C406" s="105" t="s">
        <v>587</v>
      </c>
      <c r="D406" s="105" t="s">
        <v>0</v>
      </c>
      <c r="E406" s="105">
        <v>19.36</v>
      </c>
      <c r="F406" s="107">
        <f>TRUNC(G411,2)</f>
        <v>58.98</v>
      </c>
      <c r="G406" s="128">
        <f>TRUNC(F406*1.2338,2)</f>
        <v>72.76</v>
      </c>
      <c r="H406" s="128">
        <f>TRUNC(F406*E406,2)</f>
        <v>1141.85</v>
      </c>
      <c r="I406" s="129">
        <f>TRUNC(E406*G406,2)</f>
        <v>1408.63</v>
      </c>
    </row>
    <row r="407" spans="2:9" s="65" customFormat="1" ht="14.25">
      <c r="B407" s="94" t="s">
        <v>588</v>
      </c>
      <c r="C407" s="65" t="s">
        <v>589</v>
      </c>
      <c r="D407" s="65" t="s">
        <v>12</v>
      </c>
      <c r="E407" s="65">
        <v>27</v>
      </c>
      <c r="F407" s="66">
        <f>TRUNC(0.7,2)</f>
        <v>0.7</v>
      </c>
      <c r="G407" s="62">
        <f>TRUNC(E407*F407,2)</f>
        <v>18.9</v>
      </c>
      <c r="H407" s="62"/>
      <c r="I407" s="63"/>
    </row>
    <row r="408" spans="2:9" s="65" customFormat="1" ht="28.5">
      <c r="B408" s="94" t="s">
        <v>132</v>
      </c>
      <c r="C408" s="65" t="s">
        <v>133</v>
      </c>
      <c r="D408" s="65" t="s">
        <v>6</v>
      </c>
      <c r="E408" s="65">
        <v>0.5871</v>
      </c>
      <c r="F408" s="66">
        <f>TRUNC(16.55,2)</f>
        <v>16.55</v>
      </c>
      <c r="G408" s="62">
        <f>TRUNC(E408*F408,2)</f>
        <v>9.71</v>
      </c>
      <c r="H408" s="62"/>
      <c r="I408" s="63"/>
    </row>
    <row r="409" spans="2:9" s="65" customFormat="1" ht="14.25">
      <c r="B409" s="94" t="s">
        <v>145</v>
      </c>
      <c r="C409" s="65" t="s">
        <v>146</v>
      </c>
      <c r="D409" s="65" t="s">
        <v>6</v>
      </c>
      <c r="E409" s="65">
        <v>1.1536000000000002</v>
      </c>
      <c r="F409" s="66">
        <f>TRUNC(22.86,2)</f>
        <v>22.86</v>
      </c>
      <c r="G409" s="62">
        <f>TRUNC(E409*F409,2)</f>
        <v>26.37</v>
      </c>
      <c r="H409" s="62"/>
      <c r="I409" s="63"/>
    </row>
    <row r="410" spans="2:9" s="65" customFormat="1" ht="14.25">
      <c r="B410" s="94" t="s">
        <v>590</v>
      </c>
      <c r="C410" s="65" t="s">
        <v>591</v>
      </c>
      <c r="D410" s="65" t="s">
        <v>1</v>
      </c>
      <c r="E410" s="65">
        <v>0.015</v>
      </c>
      <c r="F410" s="66">
        <f>TRUNC(266.702,2)</f>
        <v>266.7</v>
      </c>
      <c r="G410" s="62">
        <f>TRUNC(E410*F410,2)</f>
        <v>4</v>
      </c>
      <c r="H410" s="62"/>
      <c r="I410" s="63"/>
    </row>
    <row r="411" spans="2:9" s="65" customFormat="1" ht="14.25">
      <c r="B411" s="94"/>
      <c r="E411" s="65" t="s">
        <v>7</v>
      </c>
      <c r="F411" s="66"/>
      <c r="G411" s="62">
        <f>TRUNC(SUM(G407:G410),2)</f>
        <v>58.98</v>
      </c>
      <c r="H411" s="62"/>
      <c r="I411" s="63"/>
    </row>
    <row r="412" spans="1:9" s="105" customFormat="1" ht="42.75">
      <c r="A412" s="105" t="s">
        <v>315</v>
      </c>
      <c r="B412" s="106" t="s">
        <v>592</v>
      </c>
      <c r="C412" s="105" t="s">
        <v>593</v>
      </c>
      <c r="D412" s="105" t="s">
        <v>0</v>
      </c>
      <c r="E412" s="105">
        <v>38.72</v>
      </c>
      <c r="F412" s="107">
        <f>TRUNC(G417,2)</f>
        <v>29.62</v>
      </c>
      <c r="G412" s="128">
        <f>TRUNC(F412*1.2338,2)</f>
        <v>36.54</v>
      </c>
      <c r="H412" s="128">
        <f>TRUNC(F412*E412,2)</f>
        <v>1146.88</v>
      </c>
      <c r="I412" s="129">
        <f>TRUNC(E412*G412,2)</f>
        <v>1414.82</v>
      </c>
    </row>
    <row r="413" spans="2:9" s="65" customFormat="1" ht="28.5">
      <c r="B413" s="94" t="s">
        <v>132</v>
      </c>
      <c r="C413" s="65" t="s">
        <v>133</v>
      </c>
      <c r="D413" s="65" t="s">
        <v>6</v>
      </c>
      <c r="E413" s="65">
        <v>0.41200000000000003</v>
      </c>
      <c r="F413" s="66">
        <f>TRUNC(16.55,2)</f>
        <v>16.55</v>
      </c>
      <c r="G413" s="62">
        <f>TRUNC(E413*F413,2)</f>
        <v>6.81</v>
      </c>
      <c r="H413" s="62"/>
      <c r="I413" s="63"/>
    </row>
    <row r="414" spans="2:9" s="65" customFormat="1" ht="14.25">
      <c r="B414" s="94" t="s">
        <v>145</v>
      </c>
      <c r="C414" s="65" t="s">
        <v>146</v>
      </c>
      <c r="D414" s="65" t="s">
        <v>6</v>
      </c>
      <c r="E414" s="65">
        <v>0.41200000000000003</v>
      </c>
      <c r="F414" s="66">
        <f>TRUNC(22.86,2)</f>
        <v>22.86</v>
      </c>
      <c r="G414" s="62">
        <f>TRUNC(E414*F414,2)</f>
        <v>9.41</v>
      </c>
      <c r="H414" s="62"/>
      <c r="I414" s="63"/>
    </row>
    <row r="415" spans="2:9" s="65" customFormat="1" ht="28.5">
      <c r="B415" s="94" t="s">
        <v>202</v>
      </c>
      <c r="C415" s="65" t="s">
        <v>203</v>
      </c>
      <c r="D415" s="65" t="s">
        <v>0</v>
      </c>
      <c r="E415" s="65">
        <v>1</v>
      </c>
      <c r="F415" s="66">
        <f>TRUNC(5.894,2)</f>
        <v>5.89</v>
      </c>
      <c r="G415" s="62">
        <f>TRUNC(E415*F415,2)</f>
        <v>5.89</v>
      </c>
      <c r="H415" s="62"/>
      <c r="I415" s="63"/>
    </row>
    <row r="416" spans="2:9" s="65" customFormat="1" ht="14.25">
      <c r="B416" s="94" t="s">
        <v>594</v>
      </c>
      <c r="C416" s="65" t="s">
        <v>595</v>
      </c>
      <c r="D416" s="65" t="s">
        <v>1</v>
      </c>
      <c r="E416" s="65">
        <v>0.017</v>
      </c>
      <c r="F416" s="66">
        <f>TRUNC(442.0083,2)</f>
        <v>442</v>
      </c>
      <c r="G416" s="62">
        <f>TRUNC(E416*F416,2)</f>
        <v>7.51</v>
      </c>
      <c r="H416" s="62"/>
      <c r="I416" s="63"/>
    </row>
    <row r="417" spans="2:9" s="65" customFormat="1" ht="14.25">
      <c r="B417" s="94"/>
      <c r="E417" s="65" t="s">
        <v>7</v>
      </c>
      <c r="F417" s="66"/>
      <c r="G417" s="62">
        <f>TRUNC(SUM(G413:G416),2)</f>
        <v>29.62</v>
      </c>
      <c r="H417" s="62"/>
      <c r="I417" s="63"/>
    </row>
    <row r="418" spans="1:10" s="105" customFormat="1" ht="57">
      <c r="A418" s="105" t="s">
        <v>316</v>
      </c>
      <c r="B418" s="106" t="s">
        <v>282</v>
      </c>
      <c r="C418" s="105" t="s">
        <v>283</v>
      </c>
      <c r="D418" s="105" t="s">
        <v>12</v>
      </c>
      <c r="E418" s="105">
        <v>2</v>
      </c>
      <c r="F418" s="107">
        <f>TRUNC(G426,2)</f>
        <v>567.43</v>
      </c>
      <c r="G418" s="101">
        <f>TRUNC(F418*1.2338,2)</f>
        <v>700.09</v>
      </c>
      <c r="H418" s="101">
        <f>TRUNC(F418*E418,2)</f>
        <v>1134.86</v>
      </c>
      <c r="I418" s="102">
        <f>TRUNC(E418*G418,2)</f>
        <v>1400.18</v>
      </c>
      <c r="J418" s="105">
        <v>1217.1</v>
      </c>
    </row>
    <row r="419" spans="2:9" s="65" customFormat="1" ht="14.25">
      <c r="B419" s="94" t="s">
        <v>284</v>
      </c>
      <c r="C419" s="65" t="s">
        <v>285</v>
      </c>
      <c r="D419" s="65" t="s">
        <v>3</v>
      </c>
      <c r="E419" s="65">
        <v>10.6</v>
      </c>
      <c r="F419" s="66">
        <f>TRUNC(6.08,2)</f>
        <v>6.08</v>
      </c>
      <c r="G419" s="62">
        <f aca="true" t="shared" si="11" ref="G419:G425">TRUNC(E419*F419,2)</f>
        <v>64.44</v>
      </c>
      <c r="H419" s="62"/>
      <c r="I419" s="63"/>
    </row>
    <row r="420" spans="2:9" s="65" customFormat="1" ht="14.25">
      <c r="B420" s="94" t="s">
        <v>286</v>
      </c>
      <c r="C420" s="65" t="s">
        <v>287</v>
      </c>
      <c r="D420" s="65" t="s">
        <v>3</v>
      </c>
      <c r="E420" s="65">
        <v>5.3</v>
      </c>
      <c r="F420" s="66">
        <f>TRUNC(25.22,2)</f>
        <v>25.22</v>
      </c>
      <c r="G420" s="62">
        <f t="shared" si="11"/>
        <v>133.66</v>
      </c>
      <c r="H420" s="62"/>
      <c r="I420" s="63"/>
    </row>
    <row r="421" spans="2:9" s="65" customFormat="1" ht="14.25">
      <c r="B421" s="94" t="s">
        <v>288</v>
      </c>
      <c r="C421" s="65" t="s">
        <v>289</v>
      </c>
      <c r="D421" s="65" t="s">
        <v>12</v>
      </c>
      <c r="E421" s="65">
        <v>1</v>
      </c>
      <c r="F421" s="66">
        <f>TRUNC(97.85,2)</f>
        <v>97.85</v>
      </c>
      <c r="G421" s="62">
        <f t="shared" si="11"/>
        <v>97.85</v>
      </c>
      <c r="H421" s="62"/>
      <c r="I421" s="63"/>
    </row>
    <row r="422" spans="2:9" s="65" customFormat="1" ht="28.5">
      <c r="B422" s="94" t="s">
        <v>4</v>
      </c>
      <c r="C422" s="65" t="s">
        <v>69</v>
      </c>
      <c r="D422" s="65" t="s">
        <v>5</v>
      </c>
      <c r="E422" s="65">
        <v>0.16</v>
      </c>
      <c r="F422" s="66">
        <f>TRUNC(15.94,2)</f>
        <v>15.94</v>
      </c>
      <c r="G422" s="62">
        <f t="shared" si="11"/>
        <v>2.55</v>
      </c>
      <c r="H422" s="62"/>
      <c r="I422" s="63"/>
    </row>
    <row r="423" spans="2:9" s="65" customFormat="1" ht="28.5">
      <c r="B423" s="94" t="s">
        <v>132</v>
      </c>
      <c r="C423" s="65" t="s">
        <v>133</v>
      </c>
      <c r="D423" s="65" t="s">
        <v>6</v>
      </c>
      <c r="E423" s="65">
        <v>6.18</v>
      </c>
      <c r="F423" s="66">
        <f>TRUNC(16.55,2)</f>
        <v>16.55</v>
      </c>
      <c r="G423" s="62">
        <f t="shared" si="11"/>
        <v>102.27</v>
      </c>
      <c r="H423" s="62"/>
      <c r="I423" s="63"/>
    </row>
    <row r="424" spans="2:9" s="65" customFormat="1" ht="28.5">
      <c r="B424" s="94" t="s">
        <v>134</v>
      </c>
      <c r="C424" s="65" t="s">
        <v>135</v>
      </c>
      <c r="D424" s="65" t="s">
        <v>6</v>
      </c>
      <c r="E424" s="65">
        <v>6.18</v>
      </c>
      <c r="F424" s="66">
        <f>TRUNC(24.61,2)</f>
        <v>24.61</v>
      </c>
      <c r="G424" s="62">
        <f t="shared" si="11"/>
        <v>152.08</v>
      </c>
      <c r="H424" s="62"/>
      <c r="I424" s="63"/>
    </row>
    <row r="425" spans="2:9" s="65" customFormat="1" ht="14.25">
      <c r="B425" s="94" t="s">
        <v>290</v>
      </c>
      <c r="C425" s="65" t="s">
        <v>291</v>
      </c>
      <c r="D425" s="65" t="s">
        <v>12</v>
      </c>
      <c r="E425" s="65">
        <v>6</v>
      </c>
      <c r="F425" s="66">
        <f>TRUNC(2.438,2)</f>
        <v>2.43</v>
      </c>
      <c r="G425" s="62">
        <f t="shared" si="11"/>
        <v>14.58</v>
      </c>
      <c r="H425" s="62"/>
      <c r="I425" s="63"/>
    </row>
    <row r="426" spans="2:9" s="65" customFormat="1" ht="14.25">
      <c r="B426" s="94"/>
      <c r="E426" s="65" t="s">
        <v>7</v>
      </c>
      <c r="F426" s="66"/>
      <c r="G426" s="62">
        <f>TRUNC(SUM(G419:G425),2)</f>
        <v>567.43</v>
      </c>
      <c r="H426" s="62"/>
      <c r="I426" s="63"/>
    </row>
    <row r="427" spans="1:10" s="105" customFormat="1" ht="71.25">
      <c r="A427" s="105" t="s">
        <v>317</v>
      </c>
      <c r="B427" s="106" t="s">
        <v>292</v>
      </c>
      <c r="C427" s="105" t="s">
        <v>293</v>
      </c>
      <c r="D427" s="105" t="s">
        <v>12</v>
      </c>
      <c r="E427" s="105">
        <v>2</v>
      </c>
      <c r="F427" s="107">
        <f>TRUNC(G430,2)</f>
        <v>186.39</v>
      </c>
      <c r="G427" s="101">
        <f>TRUNC(F427*1.2338,2)</f>
        <v>229.96</v>
      </c>
      <c r="H427" s="101">
        <f>TRUNC(F427*E427,2)</f>
        <v>372.78</v>
      </c>
      <c r="I427" s="102">
        <f>TRUNC(E427*G427,2)</f>
        <v>459.92</v>
      </c>
      <c r="J427" s="105">
        <v>455.8</v>
      </c>
    </row>
    <row r="428" spans="2:9" s="65" customFormat="1" ht="28.5">
      <c r="B428" s="94" t="s">
        <v>294</v>
      </c>
      <c r="C428" s="65" t="s">
        <v>295</v>
      </c>
      <c r="D428" s="65" t="s">
        <v>12</v>
      </c>
      <c r="E428" s="65">
        <v>1</v>
      </c>
      <c r="F428" s="66">
        <f>TRUNC(162.12,2)</f>
        <v>162.12</v>
      </c>
      <c r="G428" s="62">
        <f>TRUNC(E428*F428,2)</f>
        <v>162.12</v>
      </c>
      <c r="H428" s="62"/>
      <c r="I428" s="63"/>
    </row>
    <row r="429" spans="2:9" s="65" customFormat="1" ht="14.25">
      <c r="B429" s="94" t="s">
        <v>296</v>
      </c>
      <c r="C429" s="65" t="s">
        <v>297</v>
      </c>
      <c r="D429" s="65" t="s">
        <v>12</v>
      </c>
      <c r="E429" s="65">
        <v>3</v>
      </c>
      <c r="F429" s="66">
        <f>TRUNC(8.09,2)</f>
        <v>8.09</v>
      </c>
      <c r="G429" s="62">
        <f>TRUNC(E429*F429,2)</f>
        <v>24.27</v>
      </c>
      <c r="H429" s="62"/>
      <c r="I429" s="63"/>
    </row>
    <row r="430" spans="2:9" s="65" customFormat="1" ht="14.25">
      <c r="B430" s="94"/>
      <c r="E430" s="65" t="s">
        <v>7</v>
      </c>
      <c r="F430" s="66"/>
      <c r="G430" s="62">
        <f>TRUNC(SUM(G428:G429),2)</f>
        <v>186.39</v>
      </c>
      <c r="H430" s="62"/>
      <c r="I430" s="63"/>
    </row>
    <row r="431" spans="1:10" s="105" customFormat="1" ht="57">
      <c r="A431" s="105" t="s">
        <v>318</v>
      </c>
      <c r="B431" s="106" t="s">
        <v>298</v>
      </c>
      <c r="C431" s="105" t="s">
        <v>299</v>
      </c>
      <c r="D431" s="105" t="s">
        <v>0</v>
      </c>
      <c r="E431" s="105">
        <v>3</v>
      </c>
      <c r="F431" s="107">
        <f>TRUNC(G435,2)</f>
        <v>515.17</v>
      </c>
      <c r="G431" s="101">
        <f>TRUNC(F431*1.2338,2)</f>
        <v>635.61</v>
      </c>
      <c r="H431" s="101">
        <f>TRUNC(F431*E431,2)</f>
        <v>1545.51</v>
      </c>
      <c r="I431" s="102">
        <f>TRUNC(E431*G431,2)</f>
        <v>1906.83</v>
      </c>
      <c r="J431" s="105">
        <v>1740.54</v>
      </c>
    </row>
    <row r="432" spans="2:9" s="65" customFormat="1" ht="14.25">
      <c r="B432" s="94" t="s">
        <v>300</v>
      </c>
      <c r="C432" s="65" t="s">
        <v>301</v>
      </c>
      <c r="D432" s="65" t="s">
        <v>5</v>
      </c>
      <c r="E432" s="65">
        <v>10.8</v>
      </c>
      <c r="F432" s="66">
        <f>TRUNC(32,2)</f>
        <v>32</v>
      </c>
      <c r="G432" s="62">
        <f>TRUNC(E432*F432,2)</f>
        <v>345.6</v>
      </c>
      <c r="H432" s="62"/>
      <c r="I432" s="63"/>
    </row>
    <row r="433" spans="2:9" s="65" customFormat="1" ht="28.5">
      <c r="B433" s="94" t="s">
        <v>302</v>
      </c>
      <c r="C433" s="65" t="s">
        <v>303</v>
      </c>
      <c r="D433" s="65" t="s">
        <v>6</v>
      </c>
      <c r="E433" s="65">
        <v>4.12</v>
      </c>
      <c r="F433" s="66">
        <f>TRUNC(24.61,2)</f>
        <v>24.61</v>
      </c>
      <c r="G433" s="62">
        <f>TRUNC(E433*F433,2)</f>
        <v>101.39</v>
      </c>
      <c r="H433" s="62"/>
      <c r="I433" s="63"/>
    </row>
    <row r="434" spans="2:9" s="65" customFormat="1" ht="28.5">
      <c r="B434" s="94" t="s">
        <v>132</v>
      </c>
      <c r="C434" s="65" t="s">
        <v>133</v>
      </c>
      <c r="D434" s="65" t="s">
        <v>6</v>
      </c>
      <c r="E434" s="65">
        <v>4.12</v>
      </c>
      <c r="F434" s="66">
        <f>TRUNC(16.55,2)</f>
        <v>16.55</v>
      </c>
      <c r="G434" s="62">
        <f>TRUNC(E434*F434,2)</f>
        <v>68.18</v>
      </c>
      <c r="H434" s="62"/>
      <c r="I434" s="63"/>
    </row>
    <row r="435" spans="2:9" s="65" customFormat="1" ht="14.25">
      <c r="B435" s="94"/>
      <c r="E435" s="65" t="s">
        <v>7</v>
      </c>
      <c r="F435" s="66"/>
      <c r="G435" s="62">
        <f>TRUNC(SUM(G432:G434),2)</f>
        <v>515.17</v>
      </c>
      <c r="H435" s="62"/>
      <c r="I435" s="63"/>
    </row>
    <row r="436" spans="1:10" s="105" customFormat="1" ht="99.75">
      <c r="A436" s="105" t="s">
        <v>734</v>
      </c>
      <c r="B436" s="106" t="s">
        <v>304</v>
      </c>
      <c r="C436" s="105" t="s">
        <v>305</v>
      </c>
      <c r="D436" s="105" t="s">
        <v>0</v>
      </c>
      <c r="E436" s="105">
        <v>4.17</v>
      </c>
      <c r="F436" s="107">
        <f>TRUNC(G441,2)</f>
        <v>1284.33</v>
      </c>
      <c r="G436" s="101">
        <f>TRUNC(F436*1.2338,2)</f>
        <v>1584.6</v>
      </c>
      <c r="H436" s="101">
        <f>TRUNC(F436*E436,2)</f>
        <v>5355.65</v>
      </c>
      <c r="I436" s="102">
        <f>TRUNC(E436*G436,2)</f>
        <v>6607.78</v>
      </c>
      <c r="J436" s="105">
        <v>5613.02</v>
      </c>
    </row>
    <row r="437" spans="2:9" s="65" customFormat="1" ht="14.25">
      <c r="B437" s="94" t="s">
        <v>306</v>
      </c>
      <c r="C437" s="65" t="s">
        <v>307</v>
      </c>
      <c r="D437" s="65" t="s">
        <v>5</v>
      </c>
      <c r="E437" s="65">
        <v>7.359999999999999</v>
      </c>
      <c r="F437" s="66">
        <f>TRUNC(13.2473,2)</f>
        <v>13.24</v>
      </c>
      <c r="G437" s="62">
        <f>TRUNC(E437*F437,2)</f>
        <v>97.44</v>
      </c>
      <c r="H437" s="62"/>
      <c r="I437" s="63"/>
    </row>
    <row r="438" spans="2:9" s="65" customFormat="1" ht="14.25">
      <c r="B438" s="94" t="s">
        <v>308</v>
      </c>
      <c r="C438" s="65" t="s">
        <v>309</v>
      </c>
      <c r="D438" s="65" t="s">
        <v>5</v>
      </c>
      <c r="E438" s="65">
        <v>30.359999999999996</v>
      </c>
      <c r="F438" s="66">
        <f>TRUNC(9.7774,2)</f>
        <v>9.77</v>
      </c>
      <c r="G438" s="62">
        <f>TRUNC(E438*F438,2)</f>
        <v>296.61</v>
      </c>
      <c r="H438" s="62"/>
      <c r="I438" s="63"/>
    </row>
    <row r="439" spans="2:9" s="65" customFormat="1" ht="28.5">
      <c r="B439" s="94" t="s">
        <v>302</v>
      </c>
      <c r="C439" s="65" t="s">
        <v>303</v>
      </c>
      <c r="D439" s="65" t="s">
        <v>6</v>
      </c>
      <c r="E439" s="65">
        <v>21.63</v>
      </c>
      <c r="F439" s="66">
        <f>TRUNC(24.61,2)</f>
        <v>24.61</v>
      </c>
      <c r="G439" s="62">
        <f>TRUNC(E439*F439,2)</f>
        <v>532.31</v>
      </c>
      <c r="H439" s="62"/>
      <c r="I439" s="63"/>
    </row>
    <row r="440" spans="2:9" s="65" customFormat="1" ht="28.5">
      <c r="B440" s="94" t="s">
        <v>132</v>
      </c>
      <c r="C440" s="65" t="s">
        <v>133</v>
      </c>
      <c r="D440" s="65" t="s">
        <v>6</v>
      </c>
      <c r="E440" s="65">
        <v>21.63</v>
      </c>
      <c r="F440" s="66">
        <f>TRUNC(16.55,2)</f>
        <v>16.55</v>
      </c>
      <c r="G440" s="62">
        <f>TRUNC(E440*F440,2)</f>
        <v>357.97</v>
      </c>
      <c r="H440" s="62"/>
      <c r="I440" s="63"/>
    </row>
    <row r="441" spans="2:9" s="65" customFormat="1" ht="14.25">
      <c r="B441" s="94"/>
      <c r="E441" s="65" t="s">
        <v>7</v>
      </c>
      <c r="F441" s="66"/>
      <c r="G441" s="62">
        <f>TRUNC(SUM(G437:G440),2)</f>
        <v>1284.33</v>
      </c>
      <c r="H441" s="62"/>
      <c r="I441" s="63"/>
    </row>
    <row r="442" spans="1:10" s="105" customFormat="1" ht="85.5">
      <c r="A442" s="105" t="s">
        <v>735</v>
      </c>
      <c r="B442" s="106" t="s">
        <v>313</v>
      </c>
      <c r="C442" s="105" t="s">
        <v>310</v>
      </c>
      <c r="D442" s="105" t="s">
        <v>0</v>
      </c>
      <c r="E442" s="105">
        <v>2.1</v>
      </c>
      <c r="F442" s="107">
        <f>TRUNC(G447,2)</f>
        <v>1537.58</v>
      </c>
      <c r="G442" s="101">
        <f>TRUNC(F442*1.2338,2)</f>
        <v>1897.06</v>
      </c>
      <c r="H442" s="101">
        <f>TRUNC(F442*E442,2)</f>
        <v>3228.91</v>
      </c>
      <c r="I442" s="102">
        <f>TRUNC(E442*G442,2)</f>
        <v>3983.82</v>
      </c>
      <c r="J442" s="102">
        <v>3111.48</v>
      </c>
    </row>
    <row r="443" spans="2:10" s="65" customFormat="1" ht="14.25">
      <c r="B443" s="94" t="s">
        <v>306</v>
      </c>
      <c r="C443" s="65" t="s">
        <v>307</v>
      </c>
      <c r="D443" s="65" t="s">
        <v>5</v>
      </c>
      <c r="E443" s="65">
        <v>14.95</v>
      </c>
      <c r="F443" s="66">
        <f>TRUNC(13.2473,2)</f>
        <v>13.24</v>
      </c>
      <c r="G443" s="62">
        <f>TRUNC(E443*F443,2)</f>
        <v>197.93</v>
      </c>
      <c r="H443" s="62"/>
      <c r="I443" s="63"/>
      <c r="J443" s="63"/>
    </row>
    <row r="444" spans="2:10" s="65" customFormat="1" ht="28.5">
      <c r="B444" s="94" t="s">
        <v>311</v>
      </c>
      <c r="C444" s="65" t="s">
        <v>312</v>
      </c>
      <c r="D444" s="65" t="s">
        <v>5</v>
      </c>
      <c r="E444" s="65">
        <v>34.5</v>
      </c>
      <c r="F444" s="66">
        <f>TRUNC(8.11,2)</f>
        <v>8.11</v>
      </c>
      <c r="G444" s="62">
        <f>TRUNC(E444*F444,2)</f>
        <v>279.79</v>
      </c>
      <c r="H444" s="62"/>
      <c r="I444" s="63"/>
      <c r="J444" s="63"/>
    </row>
    <row r="445" spans="2:10" s="65" customFormat="1" ht="28.5">
      <c r="B445" s="94" t="s">
        <v>302</v>
      </c>
      <c r="C445" s="65" t="s">
        <v>303</v>
      </c>
      <c r="D445" s="65" t="s">
        <v>6</v>
      </c>
      <c r="E445" s="65">
        <v>25.75</v>
      </c>
      <c r="F445" s="66">
        <f>TRUNC(24.61,2)</f>
        <v>24.61</v>
      </c>
      <c r="G445" s="62">
        <f>TRUNC(E445*F445,2)</f>
        <v>633.7</v>
      </c>
      <c r="H445" s="62"/>
      <c r="I445" s="63"/>
      <c r="J445" s="63"/>
    </row>
    <row r="446" spans="2:10" s="65" customFormat="1" ht="28.5">
      <c r="B446" s="94" t="s">
        <v>132</v>
      </c>
      <c r="C446" s="65" t="s">
        <v>133</v>
      </c>
      <c r="D446" s="65" t="s">
        <v>6</v>
      </c>
      <c r="E446" s="65">
        <v>25.75</v>
      </c>
      <c r="F446" s="66">
        <f>TRUNC(16.55,2)</f>
        <v>16.55</v>
      </c>
      <c r="G446" s="62">
        <f>TRUNC(E446*F446,2)</f>
        <v>426.16</v>
      </c>
      <c r="H446" s="62"/>
      <c r="I446" s="63"/>
      <c r="J446" s="63"/>
    </row>
    <row r="447" spans="2:10" s="65" customFormat="1" ht="14.25">
      <c r="B447" s="94"/>
      <c r="E447" s="65" t="s">
        <v>7</v>
      </c>
      <c r="F447" s="66"/>
      <c r="G447" s="62">
        <f>TRUNC(SUM(G443:G446),2)</f>
        <v>1537.58</v>
      </c>
      <c r="H447" s="62"/>
      <c r="I447" s="63"/>
      <c r="J447" s="63"/>
    </row>
    <row r="448" spans="1:10" s="105" customFormat="1" ht="99.75">
      <c r="A448" s="105" t="s">
        <v>766</v>
      </c>
      <c r="B448" s="106" t="s">
        <v>764</v>
      </c>
      <c r="C448" s="105" t="s">
        <v>765</v>
      </c>
      <c r="D448" s="105" t="s">
        <v>3</v>
      </c>
      <c r="E448" s="105">
        <v>28.7</v>
      </c>
      <c r="F448" s="107">
        <f>TRUNC(G452,2)</f>
        <v>852.11</v>
      </c>
      <c r="G448" s="128">
        <f>TRUNC(F448*1.2338,2)</f>
        <v>1051.33</v>
      </c>
      <c r="H448" s="128">
        <f>TRUNC(F448*E448,2)</f>
        <v>24455.55</v>
      </c>
      <c r="I448" s="129">
        <f>TRUNC(E448*G448,2)</f>
        <v>30173.17</v>
      </c>
      <c r="J448" s="129"/>
    </row>
    <row r="449" spans="2:10" s="65" customFormat="1" ht="28.5">
      <c r="B449" s="94" t="s">
        <v>311</v>
      </c>
      <c r="C449" s="65" t="s">
        <v>312</v>
      </c>
      <c r="D449" s="65" t="s">
        <v>5</v>
      </c>
      <c r="E449" s="65">
        <v>46</v>
      </c>
      <c r="F449" s="66">
        <f>TRUNC(8.11,2)</f>
        <v>8.11</v>
      </c>
      <c r="G449" s="62">
        <f>TRUNC(E449*F449,2)</f>
        <v>373.06</v>
      </c>
      <c r="H449" s="62"/>
      <c r="I449" s="63"/>
      <c r="J449" s="63"/>
    </row>
    <row r="450" spans="2:10" s="65" customFormat="1" ht="28.5">
      <c r="B450" s="94" t="s">
        <v>302</v>
      </c>
      <c r="C450" s="65" t="s">
        <v>303</v>
      </c>
      <c r="D450" s="65" t="s">
        <v>6</v>
      </c>
      <c r="E450" s="65">
        <v>11.639000000000001</v>
      </c>
      <c r="F450" s="66">
        <f>TRUNC(24.61,2)</f>
        <v>24.61</v>
      </c>
      <c r="G450" s="62">
        <f>TRUNC(E450*F450,2)</f>
        <v>286.43</v>
      </c>
      <c r="H450" s="62"/>
      <c r="I450" s="63"/>
      <c r="J450" s="63"/>
    </row>
    <row r="451" spans="2:10" s="65" customFormat="1" ht="28.5">
      <c r="B451" s="94" t="s">
        <v>132</v>
      </c>
      <c r="C451" s="65" t="s">
        <v>133</v>
      </c>
      <c r="D451" s="65" t="s">
        <v>6</v>
      </c>
      <c r="E451" s="65">
        <v>11.639000000000001</v>
      </c>
      <c r="F451" s="66">
        <f>TRUNC(16.55,2)</f>
        <v>16.55</v>
      </c>
      <c r="G451" s="62">
        <f>TRUNC(E451*F451,2)</f>
        <v>192.62</v>
      </c>
      <c r="H451" s="62"/>
      <c r="I451" s="63"/>
      <c r="J451" s="63"/>
    </row>
    <row r="452" spans="2:10" s="65" customFormat="1" ht="14.25">
      <c r="B452" s="94"/>
      <c r="E452" s="65" t="s">
        <v>7</v>
      </c>
      <c r="F452" s="66"/>
      <c r="G452" s="62">
        <f>TRUNC(SUM(G449:G451),2)</f>
        <v>852.11</v>
      </c>
      <c r="H452" s="62"/>
      <c r="I452" s="63"/>
      <c r="J452" s="63"/>
    </row>
    <row r="453" spans="1:10" s="44" customFormat="1" ht="15.75">
      <c r="A453" s="53" t="s">
        <v>52</v>
      </c>
      <c r="B453" s="55"/>
      <c r="C453" s="54"/>
      <c r="D453" s="55"/>
      <c r="E453" s="55"/>
      <c r="F453" s="55"/>
      <c r="G453" s="53" t="s">
        <v>55</v>
      </c>
      <c r="H453" s="121">
        <f>H442+H436+H431+H427+H418+H412+H406+H396+H448</f>
        <v>88881.63</v>
      </c>
      <c r="I453" s="121">
        <f>I442+I436+I431+I427+I418+I412+I406+I396+I448</f>
        <v>109660.04</v>
      </c>
      <c r="J453" s="44">
        <v>42918.22</v>
      </c>
    </row>
    <row r="454" spans="1:9" s="43" customFormat="1" ht="15.75">
      <c r="A454" s="43" t="s">
        <v>22</v>
      </c>
      <c r="B454" s="51"/>
      <c r="C454" s="52" t="s">
        <v>66</v>
      </c>
      <c r="D454" s="52"/>
      <c r="E454" s="52"/>
      <c r="F454" s="52"/>
      <c r="G454" s="52"/>
      <c r="H454" s="52"/>
      <c r="I454" s="50"/>
    </row>
    <row r="455" spans="1:10" s="103" customFormat="1" ht="42.75">
      <c r="A455" s="95" t="s">
        <v>13</v>
      </c>
      <c r="B455" s="96" t="s">
        <v>335</v>
      </c>
      <c r="C455" s="97" t="s">
        <v>279</v>
      </c>
      <c r="D455" s="98" t="s">
        <v>0</v>
      </c>
      <c r="E455" s="99">
        <v>649.06</v>
      </c>
      <c r="F455" s="100">
        <f>TRUNC(G460,2)</f>
        <v>90.03</v>
      </c>
      <c r="G455" s="101">
        <f>TRUNC(F455*1.2338,2)</f>
        <v>111.07</v>
      </c>
      <c r="H455" s="101">
        <f>TRUNC(F455*E455,2)</f>
        <v>58434.87</v>
      </c>
      <c r="I455" s="102">
        <f>TRUNC(E455*G455,2)</f>
        <v>72091.09</v>
      </c>
      <c r="J455" s="99">
        <v>31480.17</v>
      </c>
    </row>
    <row r="456" spans="1:10" s="64" customFormat="1" ht="14.25">
      <c r="A456" s="58"/>
      <c r="B456" s="59" t="s">
        <v>280</v>
      </c>
      <c r="C456" s="78" t="s">
        <v>281</v>
      </c>
      <c r="D456" s="60" t="s">
        <v>5</v>
      </c>
      <c r="E456" s="79">
        <v>0.27</v>
      </c>
      <c r="F456" s="61">
        <f>TRUNC(291.65,2)</f>
        <v>291.65</v>
      </c>
      <c r="G456" s="62">
        <f>TRUNC(E456*F456,2)</f>
        <v>78.74</v>
      </c>
      <c r="H456" s="62"/>
      <c r="I456" s="63"/>
      <c r="J456" s="79"/>
    </row>
    <row r="457" spans="1:10" s="64" customFormat="1" ht="14.25">
      <c r="A457" s="58"/>
      <c r="B457" s="59" t="s">
        <v>254</v>
      </c>
      <c r="C457" s="78" t="s">
        <v>255</v>
      </c>
      <c r="D457" s="60" t="s">
        <v>12</v>
      </c>
      <c r="E457" s="79">
        <v>0.5</v>
      </c>
      <c r="F457" s="61">
        <f>TRUNC(0.81,2)</f>
        <v>0.81</v>
      </c>
      <c r="G457" s="62">
        <f>TRUNC(E457*F457,2)</f>
        <v>0.4</v>
      </c>
      <c r="H457" s="62"/>
      <c r="I457" s="63"/>
      <c r="J457" s="79"/>
    </row>
    <row r="458" spans="1:10" s="64" customFormat="1" ht="28.5">
      <c r="A458" s="58"/>
      <c r="B458" s="59" t="s">
        <v>132</v>
      </c>
      <c r="C458" s="78" t="s">
        <v>133</v>
      </c>
      <c r="D458" s="60" t="s">
        <v>6</v>
      </c>
      <c r="E458" s="79">
        <v>0.1751</v>
      </c>
      <c r="F458" s="61">
        <f>TRUNC(16.55,2)</f>
        <v>16.55</v>
      </c>
      <c r="G458" s="62">
        <f>TRUNC(E458*F458,2)</f>
        <v>2.89</v>
      </c>
      <c r="H458" s="62"/>
      <c r="I458" s="63"/>
      <c r="J458" s="79"/>
    </row>
    <row r="459" spans="1:10" s="64" customFormat="1" ht="14.25">
      <c r="A459" s="58"/>
      <c r="B459" s="59" t="s">
        <v>160</v>
      </c>
      <c r="C459" s="78" t="s">
        <v>161</v>
      </c>
      <c r="D459" s="60" t="s">
        <v>6</v>
      </c>
      <c r="E459" s="79">
        <v>0.3502</v>
      </c>
      <c r="F459" s="61">
        <f>TRUNC(22.86,2)</f>
        <v>22.86</v>
      </c>
      <c r="G459" s="62">
        <f>TRUNC(E459*F459,2)</f>
        <v>8</v>
      </c>
      <c r="H459" s="62"/>
      <c r="I459" s="63"/>
      <c r="J459" s="79"/>
    </row>
    <row r="460" spans="1:10" s="64" customFormat="1" ht="14.25">
      <c r="A460" s="58"/>
      <c r="B460" s="59"/>
      <c r="C460" s="78"/>
      <c r="D460" s="60"/>
      <c r="E460" s="79" t="s">
        <v>7</v>
      </c>
      <c r="F460" s="61"/>
      <c r="G460" s="62">
        <f>TRUNC(SUM(G456:G459),2)</f>
        <v>90.03</v>
      </c>
      <c r="H460" s="62"/>
      <c r="I460" s="63"/>
      <c r="J460" s="79"/>
    </row>
    <row r="461" spans="1:10" s="103" customFormat="1" ht="57">
      <c r="A461" s="95" t="s">
        <v>14</v>
      </c>
      <c r="B461" s="96" t="s">
        <v>328</v>
      </c>
      <c r="C461" s="97" t="s">
        <v>123</v>
      </c>
      <c r="D461" s="98" t="s">
        <v>0</v>
      </c>
      <c r="E461" s="99">
        <v>15.93</v>
      </c>
      <c r="F461" s="100">
        <f>TRUNC(G469,2)</f>
        <v>61.08</v>
      </c>
      <c r="G461" s="101">
        <f>TRUNC(F461*1.2338,2)</f>
        <v>75.36</v>
      </c>
      <c r="H461" s="101">
        <f>TRUNC(F461*E461,2)</f>
        <v>973</v>
      </c>
      <c r="I461" s="102">
        <f>TRUNC(E461*G461,2)</f>
        <v>1200.48</v>
      </c>
      <c r="J461" s="99">
        <v>1059.66</v>
      </c>
    </row>
    <row r="462" spans="1:10" s="64" customFormat="1" ht="16.5" customHeight="1">
      <c r="A462" s="58"/>
      <c r="B462" s="59" t="s">
        <v>124</v>
      </c>
      <c r="C462" s="78" t="s">
        <v>97</v>
      </c>
      <c r="D462" s="60" t="s">
        <v>12</v>
      </c>
      <c r="E462" s="79">
        <v>0.24</v>
      </c>
      <c r="F462" s="61">
        <f>TRUNC(5.92,2)</f>
        <v>5.92</v>
      </c>
      <c r="G462" s="62">
        <f aca="true" t="shared" si="12" ref="G462:G468">TRUNC(E462*F462,2)</f>
        <v>1.42</v>
      </c>
      <c r="H462" s="62"/>
      <c r="I462" s="63"/>
      <c r="J462" s="79"/>
    </row>
    <row r="463" spans="1:10" s="64" customFormat="1" ht="14.25">
      <c r="A463" s="58"/>
      <c r="B463" s="59" t="s">
        <v>122</v>
      </c>
      <c r="C463" s="78" t="s">
        <v>96</v>
      </c>
      <c r="D463" s="60" t="s">
        <v>49</v>
      </c>
      <c r="E463" s="79">
        <v>0.0775</v>
      </c>
      <c r="F463" s="61">
        <f>TRUNC(30.99,2)</f>
        <v>30.99</v>
      </c>
      <c r="G463" s="62">
        <f t="shared" si="12"/>
        <v>2.4</v>
      </c>
      <c r="H463" s="62"/>
      <c r="I463" s="63"/>
      <c r="J463" s="79"/>
    </row>
    <row r="464" spans="1:10" s="64" customFormat="1" ht="14.25">
      <c r="A464" s="58"/>
      <c r="B464" s="59" t="s">
        <v>329</v>
      </c>
      <c r="C464" s="78" t="s">
        <v>330</v>
      </c>
      <c r="D464" s="60" t="s">
        <v>6</v>
      </c>
      <c r="E464" s="79">
        <v>0.20600000000000002</v>
      </c>
      <c r="F464" s="61">
        <f>TRUNC(17.43,2)</f>
        <v>17.43</v>
      </c>
      <c r="G464" s="62">
        <f t="shared" si="12"/>
        <v>3.59</v>
      </c>
      <c r="H464" s="62"/>
      <c r="I464" s="63"/>
      <c r="J464" s="79"/>
    </row>
    <row r="465" spans="1:10" s="64" customFormat="1" ht="14.25">
      <c r="A465" s="58"/>
      <c r="B465" s="59" t="s">
        <v>160</v>
      </c>
      <c r="C465" s="78" t="s">
        <v>161</v>
      </c>
      <c r="D465" s="60" t="s">
        <v>6</v>
      </c>
      <c r="E465" s="79">
        <v>2.06</v>
      </c>
      <c r="F465" s="61">
        <f>TRUNC(22.86,2)</f>
        <v>22.86</v>
      </c>
      <c r="G465" s="62">
        <f t="shared" si="12"/>
        <v>47.09</v>
      </c>
      <c r="H465" s="62"/>
      <c r="I465" s="63"/>
      <c r="J465" s="79"/>
    </row>
    <row r="466" spans="1:10" s="64" customFormat="1" ht="28.5">
      <c r="A466" s="58"/>
      <c r="B466" s="59" t="s">
        <v>331</v>
      </c>
      <c r="C466" s="78" t="s">
        <v>332</v>
      </c>
      <c r="D466" s="60" t="s">
        <v>6</v>
      </c>
      <c r="E466" s="79">
        <v>0.20600000000000002</v>
      </c>
      <c r="F466" s="61">
        <f>TRUNC(31.63,2)</f>
        <v>31.63</v>
      </c>
      <c r="G466" s="62">
        <f t="shared" si="12"/>
        <v>6.51</v>
      </c>
      <c r="H466" s="62"/>
      <c r="I466" s="63"/>
      <c r="J466" s="79"/>
    </row>
    <row r="467" spans="1:10" s="64" customFormat="1" ht="28.5">
      <c r="A467" s="58"/>
      <c r="B467" s="59" t="s">
        <v>333</v>
      </c>
      <c r="C467" s="78" t="s">
        <v>350</v>
      </c>
      <c r="D467" s="60" t="s">
        <v>6</v>
      </c>
      <c r="E467" s="79">
        <v>0.03</v>
      </c>
      <c r="F467" s="61">
        <f>TRUNC(0.6618,2)</f>
        <v>0.66</v>
      </c>
      <c r="G467" s="62">
        <f t="shared" si="12"/>
        <v>0.01</v>
      </c>
      <c r="H467" s="62"/>
      <c r="I467" s="63"/>
      <c r="J467" s="79"/>
    </row>
    <row r="468" spans="1:10" s="64" customFormat="1" ht="28.5">
      <c r="A468" s="58"/>
      <c r="B468" s="59" t="s">
        <v>334</v>
      </c>
      <c r="C468" s="78" t="s">
        <v>351</v>
      </c>
      <c r="D468" s="60" t="s">
        <v>6</v>
      </c>
      <c r="E468" s="79">
        <v>0.07</v>
      </c>
      <c r="F468" s="61">
        <f>TRUNC(0.9732,2)</f>
        <v>0.97</v>
      </c>
      <c r="G468" s="62">
        <f t="shared" si="12"/>
        <v>0.06</v>
      </c>
      <c r="H468" s="62"/>
      <c r="I468" s="63"/>
      <c r="J468" s="79"/>
    </row>
    <row r="469" spans="1:10" s="64" customFormat="1" ht="14.25">
      <c r="A469" s="58"/>
      <c r="B469" s="59"/>
      <c r="C469" s="78"/>
      <c r="D469" s="60"/>
      <c r="E469" s="79" t="s">
        <v>7</v>
      </c>
      <c r="F469" s="61"/>
      <c r="G469" s="62">
        <f>TRUNC(SUM(G462:G468),2)</f>
        <v>61.08</v>
      </c>
      <c r="H469" s="62"/>
      <c r="I469" s="63"/>
      <c r="J469" s="79"/>
    </row>
    <row r="470" spans="1:10" s="105" customFormat="1" ht="71.25">
      <c r="A470" s="105" t="s">
        <v>15</v>
      </c>
      <c r="B470" s="108" t="s">
        <v>159</v>
      </c>
      <c r="C470" s="105" t="s">
        <v>121</v>
      </c>
      <c r="D470" s="105" t="s">
        <v>0</v>
      </c>
      <c r="E470" s="105">
        <v>212.48</v>
      </c>
      <c r="F470" s="107">
        <f>TRUNC(G476,2)</f>
        <v>18.06</v>
      </c>
      <c r="G470" s="101">
        <f>TRUNC(F470*1.2338,2)</f>
        <v>22.28</v>
      </c>
      <c r="H470" s="101">
        <f>TRUNC(F470*E470,2)</f>
        <v>3837.38</v>
      </c>
      <c r="I470" s="102">
        <f>TRUNC(E470*G470,2)</f>
        <v>4734.05</v>
      </c>
      <c r="J470" s="99">
        <v>2791.37</v>
      </c>
    </row>
    <row r="471" spans="2:10" s="65" customFormat="1" ht="14.25">
      <c r="B471" s="118" t="s">
        <v>58</v>
      </c>
      <c r="C471" s="65" t="s">
        <v>76</v>
      </c>
      <c r="D471" s="65" t="s">
        <v>49</v>
      </c>
      <c r="E471" s="65">
        <v>0.035</v>
      </c>
      <c r="F471" s="66">
        <f>TRUNC(158.16,2)</f>
        <v>158.16</v>
      </c>
      <c r="G471" s="62">
        <f>TRUNC(E471*F471,2)</f>
        <v>5.53</v>
      </c>
      <c r="H471" s="62"/>
      <c r="I471" s="63"/>
      <c r="J471" s="79"/>
    </row>
    <row r="472" spans="2:10" s="65" customFormat="1" ht="14.25">
      <c r="B472" s="118" t="s">
        <v>59</v>
      </c>
      <c r="C472" s="65" t="s">
        <v>77</v>
      </c>
      <c r="D472" s="65" t="s">
        <v>5</v>
      </c>
      <c r="E472" s="65">
        <v>0.025</v>
      </c>
      <c r="F472" s="66">
        <f>TRUNC(17.81,2)</f>
        <v>17.81</v>
      </c>
      <c r="G472" s="62">
        <f>TRUNC(E472*F472,2)</f>
        <v>0.44</v>
      </c>
      <c r="H472" s="62"/>
      <c r="I472" s="63"/>
      <c r="J472" s="79"/>
    </row>
    <row r="473" spans="2:10" s="65" customFormat="1" ht="14.25">
      <c r="B473" s="118" t="s">
        <v>50</v>
      </c>
      <c r="C473" s="65" t="s">
        <v>78</v>
      </c>
      <c r="D473" s="65" t="s">
        <v>49</v>
      </c>
      <c r="E473" s="65">
        <v>0.05</v>
      </c>
      <c r="F473" s="66">
        <f>TRUNC(81.69,2)</f>
        <v>81.69</v>
      </c>
      <c r="G473" s="62">
        <f>TRUNC(E473*F473,2)</f>
        <v>4.08</v>
      </c>
      <c r="H473" s="62"/>
      <c r="I473" s="63"/>
      <c r="J473" s="79"/>
    </row>
    <row r="474" spans="2:10" s="65" customFormat="1" ht="28.5">
      <c r="B474" s="118" t="s">
        <v>132</v>
      </c>
      <c r="C474" s="65" t="s">
        <v>133</v>
      </c>
      <c r="D474" s="65" t="s">
        <v>6</v>
      </c>
      <c r="E474" s="65">
        <v>0.12875</v>
      </c>
      <c r="F474" s="66">
        <f>TRUNC(16.55,2)</f>
        <v>16.55</v>
      </c>
      <c r="G474" s="62">
        <f>TRUNC(E474*F474,2)</f>
        <v>2.13</v>
      </c>
      <c r="H474" s="62"/>
      <c r="I474" s="63"/>
      <c r="J474" s="79"/>
    </row>
    <row r="475" spans="2:10" s="65" customFormat="1" ht="14.25">
      <c r="B475" s="118" t="s">
        <v>160</v>
      </c>
      <c r="C475" s="65" t="s">
        <v>161</v>
      </c>
      <c r="D475" s="65" t="s">
        <v>6</v>
      </c>
      <c r="E475" s="65">
        <v>0.2575</v>
      </c>
      <c r="F475" s="66">
        <f>TRUNC(22.86,2)</f>
        <v>22.86</v>
      </c>
      <c r="G475" s="62">
        <f>TRUNC(E475*F475,2)</f>
        <v>5.88</v>
      </c>
      <c r="H475" s="62"/>
      <c r="I475" s="63"/>
      <c r="J475" s="79"/>
    </row>
    <row r="476" spans="2:10" s="65" customFormat="1" ht="14.25">
      <c r="B476" s="118"/>
      <c r="E476" s="65" t="s">
        <v>7</v>
      </c>
      <c r="F476" s="66"/>
      <c r="G476" s="62">
        <f>TRUNC(SUM(G471:G475),2)</f>
        <v>18.06</v>
      </c>
      <c r="H476" s="62"/>
      <c r="I476" s="63"/>
      <c r="J476" s="79"/>
    </row>
    <row r="477" spans="1:10" s="105" customFormat="1" ht="42.75">
      <c r="A477" s="105" t="s">
        <v>193</v>
      </c>
      <c r="B477" s="105" t="s">
        <v>206</v>
      </c>
      <c r="C477" s="105" t="s">
        <v>177</v>
      </c>
      <c r="D477" s="105" t="s">
        <v>12</v>
      </c>
      <c r="E477" s="105">
        <v>2</v>
      </c>
      <c r="F477" s="107">
        <f>TRUNC(G481,2)</f>
        <v>34.42</v>
      </c>
      <c r="G477" s="101">
        <f>TRUNC(F477*1.2338,2)</f>
        <v>42.46</v>
      </c>
      <c r="H477" s="101">
        <f>TRUNC(F477*E477,2)</f>
        <v>68.84</v>
      </c>
      <c r="I477" s="102">
        <f>TRUNC(E477*G477,2)</f>
        <v>84.92</v>
      </c>
      <c r="J477" s="99">
        <v>252</v>
      </c>
    </row>
    <row r="478" spans="2:10" s="65" customFormat="1" ht="14.25">
      <c r="B478" s="65" t="s">
        <v>178</v>
      </c>
      <c r="C478" s="65" t="s">
        <v>179</v>
      </c>
      <c r="D478" s="65" t="s">
        <v>49</v>
      </c>
      <c r="E478" s="65">
        <v>0.1</v>
      </c>
      <c r="F478" s="66">
        <f>TRUNC(85,2)</f>
        <v>85</v>
      </c>
      <c r="G478" s="62">
        <f>TRUNC(E478*F478,2)</f>
        <v>8.5</v>
      </c>
      <c r="H478" s="62"/>
      <c r="I478" s="63"/>
      <c r="J478" s="79"/>
    </row>
    <row r="479" spans="2:10" s="65" customFormat="1" ht="14.25">
      <c r="B479" s="65" t="s">
        <v>180</v>
      </c>
      <c r="C479" s="65" t="s">
        <v>181</v>
      </c>
      <c r="D479" s="65" t="s">
        <v>12</v>
      </c>
      <c r="E479" s="65">
        <v>0.1</v>
      </c>
      <c r="F479" s="66">
        <f>TRUNC(61.05,2)</f>
        <v>61.05</v>
      </c>
      <c r="G479" s="62">
        <f>TRUNC(E479*F479,2)</f>
        <v>6.1</v>
      </c>
      <c r="H479" s="62"/>
      <c r="I479" s="63"/>
      <c r="J479" s="79"/>
    </row>
    <row r="480" spans="2:10" s="65" customFormat="1" ht="28.5">
      <c r="B480" s="65" t="s">
        <v>207</v>
      </c>
      <c r="C480" s="65" t="s">
        <v>208</v>
      </c>
      <c r="D480" s="65" t="s">
        <v>6</v>
      </c>
      <c r="E480" s="65">
        <v>1.545</v>
      </c>
      <c r="F480" s="66">
        <f>TRUNC(12.83,2)</f>
        <v>12.83</v>
      </c>
      <c r="G480" s="62">
        <f>TRUNC(E480*F480,2)</f>
        <v>19.82</v>
      </c>
      <c r="H480" s="62"/>
      <c r="I480" s="63"/>
      <c r="J480" s="79"/>
    </row>
    <row r="481" spans="5:10" s="65" customFormat="1" ht="14.25">
      <c r="E481" s="65" t="s">
        <v>7</v>
      </c>
      <c r="F481" s="66"/>
      <c r="G481" s="62">
        <f>TRUNC(SUM(G478:G480),2)</f>
        <v>34.42</v>
      </c>
      <c r="H481" s="62"/>
      <c r="I481" s="63"/>
      <c r="J481" s="79"/>
    </row>
    <row r="482" spans="1:9" s="105" customFormat="1" ht="85.5">
      <c r="A482" s="105" t="s">
        <v>194</v>
      </c>
      <c r="B482" s="105" t="s">
        <v>209</v>
      </c>
      <c r="C482" s="105" t="s">
        <v>378</v>
      </c>
      <c r="D482" s="105" t="s">
        <v>0</v>
      </c>
      <c r="E482" s="105">
        <v>172.03</v>
      </c>
      <c r="F482" s="107">
        <f>TRUNC(G488,2)</f>
        <v>17.19</v>
      </c>
      <c r="G482" s="101">
        <f>TRUNC(F482*1.2338,2)</f>
        <v>21.2</v>
      </c>
      <c r="H482" s="101">
        <f>TRUNC(F482*E482,2)</f>
        <v>2957.19</v>
      </c>
      <c r="I482" s="102">
        <f>TRUNC(E482*G482,2)</f>
        <v>3647.03</v>
      </c>
    </row>
    <row r="483" spans="2:9" s="65" customFormat="1" ht="14.25">
      <c r="B483" s="65" t="s">
        <v>183</v>
      </c>
      <c r="C483" s="65" t="s">
        <v>184</v>
      </c>
      <c r="D483" s="65" t="s">
        <v>12</v>
      </c>
      <c r="E483" s="65">
        <v>0.5</v>
      </c>
      <c r="F483" s="66">
        <f>TRUNC(1.02,2)</f>
        <v>1.02</v>
      </c>
      <c r="G483" s="62">
        <f>TRUNC(E483*F483,2)</f>
        <v>0.51</v>
      </c>
      <c r="H483" s="62"/>
      <c r="I483" s="63"/>
    </row>
    <row r="484" spans="2:9" s="65" customFormat="1" ht="14.25">
      <c r="B484" s="65" t="s">
        <v>185</v>
      </c>
      <c r="C484" s="65" t="s">
        <v>186</v>
      </c>
      <c r="D484" s="65" t="s">
        <v>49</v>
      </c>
      <c r="E484" s="65">
        <v>0.04</v>
      </c>
      <c r="F484" s="66">
        <f>TRUNC(16.45,2)</f>
        <v>16.45</v>
      </c>
      <c r="G484" s="62">
        <f>TRUNC(E484*F484,2)</f>
        <v>0.65</v>
      </c>
      <c r="H484" s="62"/>
      <c r="I484" s="63"/>
    </row>
    <row r="485" spans="2:9" s="65" customFormat="1" ht="28.5">
      <c r="B485" s="65" t="s">
        <v>187</v>
      </c>
      <c r="C485" s="65" t="s">
        <v>188</v>
      </c>
      <c r="D485" s="65" t="s">
        <v>12</v>
      </c>
      <c r="E485" s="65">
        <v>0.012</v>
      </c>
      <c r="F485" s="66">
        <f>TRUNC(401.6,2)</f>
        <v>401.6</v>
      </c>
      <c r="G485" s="62">
        <f>TRUNC(E485*F485,2)</f>
        <v>4.81</v>
      </c>
      <c r="H485" s="62"/>
      <c r="I485" s="63"/>
    </row>
    <row r="486" spans="2:9" s="65" customFormat="1" ht="28.5">
      <c r="B486" s="65" t="s">
        <v>132</v>
      </c>
      <c r="C486" s="65" t="s">
        <v>133</v>
      </c>
      <c r="D486" s="65" t="s">
        <v>6</v>
      </c>
      <c r="E486" s="65">
        <v>0.18025</v>
      </c>
      <c r="F486" s="66">
        <f>TRUNC(16.55,2)</f>
        <v>16.55</v>
      </c>
      <c r="G486" s="62">
        <f>TRUNC(E486*F486,2)</f>
        <v>2.98</v>
      </c>
      <c r="H486" s="62"/>
      <c r="I486" s="63"/>
    </row>
    <row r="487" spans="2:9" s="65" customFormat="1" ht="14.25">
      <c r="B487" s="65" t="s">
        <v>160</v>
      </c>
      <c r="C487" s="65" t="s">
        <v>161</v>
      </c>
      <c r="D487" s="65" t="s">
        <v>6</v>
      </c>
      <c r="E487" s="65">
        <v>0.3605</v>
      </c>
      <c r="F487" s="66">
        <f>TRUNC(22.86,2)</f>
        <v>22.86</v>
      </c>
      <c r="G487" s="62">
        <f>TRUNC(E487*F487,2)</f>
        <v>8.24</v>
      </c>
      <c r="H487" s="62"/>
      <c r="I487" s="63"/>
    </row>
    <row r="488" spans="5:9" s="65" customFormat="1" ht="14.25">
      <c r="E488" s="65" t="s">
        <v>7</v>
      </c>
      <c r="F488" s="66"/>
      <c r="G488" s="62">
        <f>TRUNC(SUM(G483:G487),2)</f>
        <v>17.19</v>
      </c>
      <c r="H488" s="62"/>
      <c r="I488" s="63"/>
    </row>
    <row r="489" spans="1:9" s="105" customFormat="1" ht="42.75">
      <c r="A489" s="105" t="s">
        <v>224</v>
      </c>
      <c r="B489" s="105" t="s">
        <v>322</v>
      </c>
      <c r="C489" s="105" t="s">
        <v>319</v>
      </c>
      <c r="D489" s="105" t="s">
        <v>0</v>
      </c>
      <c r="E489" s="105">
        <v>195.51</v>
      </c>
      <c r="F489" s="107">
        <f>TRUNC(G494,2)</f>
        <v>11.08</v>
      </c>
      <c r="G489" s="101">
        <f>TRUNC(F489*1.2338,2)</f>
        <v>13.67</v>
      </c>
      <c r="H489" s="101">
        <f>TRUNC(F489*E489,2)</f>
        <v>2166.25</v>
      </c>
      <c r="I489" s="102">
        <f>TRUNC(E489*G489,2)</f>
        <v>2672.62</v>
      </c>
    </row>
    <row r="490" spans="2:9" s="65" customFormat="1" ht="14.25">
      <c r="B490" s="65" t="s">
        <v>254</v>
      </c>
      <c r="C490" s="65" t="s">
        <v>255</v>
      </c>
      <c r="D490" s="65" t="s">
        <v>12</v>
      </c>
      <c r="E490" s="65">
        <v>0.5</v>
      </c>
      <c r="F490" s="66">
        <f>TRUNC(0.81,2)</f>
        <v>0.81</v>
      </c>
      <c r="G490" s="62">
        <f>TRUNC(E490*F490,2)</f>
        <v>0.4</v>
      </c>
      <c r="H490" s="62"/>
      <c r="I490" s="63"/>
    </row>
    <row r="491" spans="2:9" s="65" customFormat="1" ht="14.25">
      <c r="B491" s="65" t="s">
        <v>320</v>
      </c>
      <c r="C491" s="65" t="s">
        <v>321</v>
      </c>
      <c r="D491" s="65" t="s">
        <v>49</v>
      </c>
      <c r="E491" s="65">
        <v>0.05</v>
      </c>
      <c r="F491" s="66">
        <f>TRUNC(53.56,2)</f>
        <v>53.56</v>
      </c>
      <c r="G491" s="62">
        <f>TRUNC(E491*F491,2)</f>
        <v>2.67</v>
      </c>
      <c r="H491" s="62"/>
      <c r="I491" s="63"/>
    </row>
    <row r="492" spans="2:9" s="65" customFormat="1" ht="28.5">
      <c r="B492" s="65" t="s">
        <v>132</v>
      </c>
      <c r="C492" s="65" t="s">
        <v>133</v>
      </c>
      <c r="D492" s="65" t="s">
        <v>6</v>
      </c>
      <c r="E492" s="65">
        <v>0.12875</v>
      </c>
      <c r="F492" s="66">
        <f>TRUNC(16.55,2)</f>
        <v>16.55</v>
      </c>
      <c r="G492" s="62">
        <f>TRUNC(E492*F492,2)</f>
        <v>2.13</v>
      </c>
      <c r="H492" s="62"/>
      <c r="I492" s="63"/>
    </row>
    <row r="493" spans="2:9" s="65" customFormat="1" ht="14.25">
      <c r="B493" s="65" t="s">
        <v>160</v>
      </c>
      <c r="C493" s="65" t="s">
        <v>161</v>
      </c>
      <c r="D493" s="65" t="s">
        <v>6</v>
      </c>
      <c r="E493" s="65">
        <v>0.2575</v>
      </c>
      <c r="F493" s="66">
        <f>TRUNC(22.86,2)</f>
        <v>22.86</v>
      </c>
      <c r="G493" s="62">
        <f>TRUNC(E493*F493,2)</f>
        <v>5.88</v>
      </c>
      <c r="H493" s="62"/>
      <c r="I493" s="63"/>
    </row>
    <row r="494" spans="5:9" s="65" customFormat="1" ht="14.25">
      <c r="E494" s="65" t="s">
        <v>7</v>
      </c>
      <c r="F494" s="66"/>
      <c r="G494" s="62">
        <f>TRUNC(SUM(G490:G493),2)</f>
        <v>11.08</v>
      </c>
      <c r="H494" s="62"/>
      <c r="I494" s="63"/>
    </row>
    <row r="495" spans="1:9" s="105" customFormat="1" ht="71.25">
      <c r="A495" s="105" t="s">
        <v>767</v>
      </c>
      <c r="B495" s="105" t="s">
        <v>159</v>
      </c>
      <c r="C495" s="105" t="s">
        <v>768</v>
      </c>
      <c r="D495" s="105" t="s">
        <v>0</v>
      </c>
      <c r="E495" s="105">
        <v>1290.81</v>
      </c>
      <c r="F495" s="107">
        <f>TRUNC(G501,2)</f>
        <v>18.06</v>
      </c>
      <c r="G495" s="128">
        <f>TRUNC(F495*1.2338,2)</f>
        <v>22.28</v>
      </c>
      <c r="H495" s="128">
        <f>TRUNC(F495*E495,2)</f>
        <v>23312.02</v>
      </c>
      <c r="I495" s="129">
        <f>TRUNC(E495*G495,2)</f>
        <v>28759.24</v>
      </c>
    </row>
    <row r="496" spans="2:9" s="65" customFormat="1" ht="14.25">
      <c r="B496" s="65" t="s">
        <v>58</v>
      </c>
      <c r="C496" s="65" t="s">
        <v>76</v>
      </c>
      <c r="D496" s="65" t="s">
        <v>49</v>
      </c>
      <c r="E496" s="65">
        <v>0.035</v>
      </c>
      <c r="F496" s="66">
        <f>TRUNC(158.16,2)</f>
        <v>158.16</v>
      </c>
      <c r="G496" s="62">
        <f>TRUNC(E496*F496,2)</f>
        <v>5.53</v>
      </c>
      <c r="H496" s="62"/>
      <c r="I496" s="63"/>
    </row>
    <row r="497" spans="2:9" s="65" customFormat="1" ht="14.25">
      <c r="B497" s="65" t="s">
        <v>59</v>
      </c>
      <c r="C497" s="65" t="s">
        <v>77</v>
      </c>
      <c r="D497" s="65" t="s">
        <v>5</v>
      </c>
      <c r="E497" s="65">
        <v>0.025</v>
      </c>
      <c r="F497" s="66">
        <f>TRUNC(17.81,2)</f>
        <v>17.81</v>
      </c>
      <c r="G497" s="62">
        <f>TRUNC(E497*F497,2)</f>
        <v>0.44</v>
      </c>
      <c r="H497" s="62"/>
      <c r="I497" s="63"/>
    </row>
    <row r="498" spans="2:9" s="65" customFormat="1" ht="14.25">
      <c r="B498" s="65" t="s">
        <v>50</v>
      </c>
      <c r="C498" s="65" t="s">
        <v>78</v>
      </c>
      <c r="D498" s="65" t="s">
        <v>49</v>
      </c>
      <c r="E498" s="65">
        <v>0.05</v>
      </c>
      <c r="F498" s="66">
        <f>TRUNC(81.69,2)</f>
        <v>81.69</v>
      </c>
      <c r="G498" s="62">
        <f>TRUNC(E498*F498,2)</f>
        <v>4.08</v>
      </c>
      <c r="H498" s="62"/>
      <c r="I498" s="63"/>
    </row>
    <row r="499" spans="2:9" s="65" customFormat="1" ht="28.5">
      <c r="B499" s="65" t="s">
        <v>132</v>
      </c>
      <c r="C499" s="65" t="s">
        <v>133</v>
      </c>
      <c r="D499" s="65" t="s">
        <v>6</v>
      </c>
      <c r="E499" s="65">
        <v>0.12875</v>
      </c>
      <c r="F499" s="66">
        <f>TRUNC(16.55,2)</f>
        <v>16.55</v>
      </c>
      <c r="G499" s="62">
        <f>TRUNC(E499*F499,2)</f>
        <v>2.13</v>
      </c>
      <c r="H499" s="62"/>
      <c r="I499" s="63"/>
    </row>
    <row r="500" spans="2:9" s="65" customFormat="1" ht="14.25">
      <c r="B500" s="65" t="s">
        <v>160</v>
      </c>
      <c r="C500" s="65" t="s">
        <v>161</v>
      </c>
      <c r="D500" s="65" t="s">
        <v>6</v>
      </c>
      <c r="E500" s="65">
        <v>0.2575</v>
      </c>
      <c r="F500" s="66">
        <f>TRUNC(22.86,2)</f>
        <v>22.86</v>
      </c>
      <c r="G500" s="62">
        <f>TRUNC(E500*F500,2)</f>
        <v>5.88</v>
      </c>
      <c r="H500" s="62"/>
      <c r="I500" s="63"/>
    </row>
    <row r="501" spans="5:9" s="65" customFormat="1" ht="14.25">
      <c r="E501" s="65" t="s">
        <v>7</v>
      </c>
      <c r="F501" s="66"/>
      <c r="G501" s="62">
        <f>TRUNC(SUM(G496:G500),2)</f>
        <v>18.06</v>
      </c>
      <c r="H501" s="62"/>
      <c r="I501" s="63"/>
    </row>
    <row r="502" spans="1:9" s="44" customFormat="1" ht="15.75">
      <c r="A502" s="80" t="s">
        <v>52</v>
      </c>
      <c r="B502" s="81"/>
      <c r="C502" s="82"/>
      <c r="D502" s="81"/>
      <c r="E502" s="81"/>
      <c r="F502" s="81"/>
      <c r="G502" s="80" t="s">
        <v>57</v>
      </c>
      <c r="H502" s="83">
        <f>H470+H477+H482+H455+H461+H489+H495</f>
        <v>91749.55</v>
      </c>
      <c r="I502" s="83">
        <f>I470+I477+I482+I455+I461+I489+I495</f>
        <v>113189.43</v>
      </c>
    </row>
    <row r="503" spans="1:9" s="43" customFormat="1" ht="15.75">
      <c r="A503" s="43" t="s">
        <v>23</v>
      </c>
      <c r="B503" s="51"/>
      <c r="C503" s="52" t="s">
        <v>173</v>
      </c>
      <c r="D503" s="52"/>
      <c r="E503" s="52"/>
      <c r="F503" s="52"/>
      <c r="G503" s="52"/>
      <c r="H503" s="52"/>
      <c r="I503" s="50"/>
    </row>
    <row r="504" spans="1:9" s="105" customFormat="1" ht="71.25">
      <c r="A504" s="105" t="s">
        <v>736</v>
      </c>
      <c r="B504" s="105" t="s">
        <v>596</v>
      </c>
      <c r="C504" s="105" t="s">
        <v>597</v>
      </c>
      <c r="D504" s="105" t="s">
        <v>12</v>
      </c>
      <c r="E504" s="105">
        <v>1</v>
      </c>
      <c r="F504" s="107">
        <f>TRUNC(G508,2)</f>
        <v>364.83</v>
      </c>
      <c r="G504" s="128">
        <f>TRUNC(F504*1.2338,2)</f>
        <v>450.12</v>
      </c>
      <c r="H504" s="128">
        <f>TRUNC(F504*E504,2)</f>
        <v>364.83</v>
      </c>
      <c r="I504" s="129">
        <f>TRUNC(E504*G504,2)</f>
        <v>450.12</v>
      </c>
    </row>
    <row r="505" spans="2:9" s="65" customFormat="1" ht="28.5">
      <c r="B505" s="65" t="s">
        <v>598</v>
      </c>
      <c r="C505" s="65" t="s">
        <v>599</v>
      </c>
      <c r="D505" s="65" t="s">
        <v>12</v>
      </c>
      <c r="E505" s="65">
        <v>1</v>
      </c>
      <c r="F505" s="66">
        <f>TRUNC(255.24,2)</f>
        <v>255.24</v>
      </c>
      <c r="G505" s="62">
        <f>TRUNC(E505*F505,2)</f>
        <v>255.24</v>
      </c>
      <c r="H505" s="62"/>
      <c r="I505" s="63"/>
    </row>
    <row r="506" spans="2:9" s="65" customFormat="1" ht="28.5">
      <c r="B506" s="65" t="s">
        <v>132</v>
      </c>
      <c r="C506" s="65" t="s">
        <v>133</v>
      </c>
      <c r="D506" s="65" t="s">
        <v>6</v>
      </c>
      <c r="E506" s="65">
        <v>2.781</v>
      </c>
      <c r="F506" s="66">
        <f>TRUNC(16.55,2)</f>
        <v>16.55</v>
      </c>
      <c r="G506" s="62">
        <f>TRUNC(E506*F506,2)</f>
        <v>46.02</v>
      </c>
      <c r="H506" s="62"/>
      <c r="I506" s="63"/>
    </row>
    <row r="507" spans="2:9" s="65" customFormat="1" ht="28.5">
      <c r="B507" s="65" t="s">
        <v>138</v>
      </c>
      <c r="C507" s="65" t="s">
        <v>139</v>
      </c>
      <c r="D507" s="65" t="s">
        <v>6</v>
      </c>
      <c r="E507" s="65">
        <v>2.781</v>
      </c>
      <c r="F507" s="66">
        <f>TRUNC(22.86,2)</f>
        <v>22.86</v>
      </c>
      <c r="G507" s="62">
        <f>TRUNC(E507*F507,2)</f>
        <v>63.57</v>
      </c>
      <c r="H507" s="62"/>
      <c r="I507" s="63"/>
    </row>
    <row r="508" spans="5:9" s="65" customFormat="1" ht="14.25">
      <c r="E508" s="65" t="s">
        <v>7</v>
      </c>
      <c r="F508" s="66"/>
      <c r="G508" s="62">
        <f>TRUNC(SUM(G505:G507),2)</f>
        <v>364.83</v>
      </c>
      <c r="H508" s="62"/>
      <c r="I508" s="63"/>
    </row>
    <row r="509" spans="1:9" s="105" customFormat="1" ht="28.5">
      <c r="A509" s="105" t="s">
        <v>737</v>
      </c>
      <c r="B509" s="105" t="s">
        <v>600</v>
      </c>
      <c r="C509" s="105" t="s">
        <v>601</v>
      </c>
      <c r="D509" s="105" t="s">
        <v>12</v>
      </c>
      <c r="E509" s="105">
        <v>5</v>
      </c>
      <c r="F509" s="107">
        <f>TRUNC(G513,2)</f>
        <v>40.12</v>
      </c>
      <c r="G509" s="128">
        <f>TRUNC(F509*1.2338,2)</f>
        <v>49.5</v>
      </c>
      <c r="H509" s="128">
        <f>TRUNC(F509*E509,2)</f>
        <v>200.6</v>
      </c>
      <c r="I509" s="129">
        <f>TRUNC(E509*G509,2)</f>
        <v>247.5</v>
      </c>
    </row>
    <row r="510" spans="2:9" s="65" customFormat="1" ht="14.25">
      <c r="B510" s="65" t="s">
        <v>602</v>
      </c>
      <c r="C510" s="65" t="s">
        <v>603</v>
      </c>
      <c r="D510" s="65" t="s">
        <v>12</v>
      </c>
      <c r="E510" s="65">
        <v>1</v>
      </c>
      <c r="F510" s="66">
        <f>TRUNC(34.55,2)</f>
        <v>34.55</v>
      </c>
      <c r="G510" s="62">
        <f>TRUNC(E510*F510,2)</f>
        <v>34.55</v>
      </c>
      <c r="H510" s="62"/>
      <c r="I510" s="63"/>
    </row>
    <row r="511" spans="2:9" s="65" customFormat="1" ht="28.5">
      <c r="B511" s="65" t="s">
        <v>132</v>
      </c>
      <c r="C511" s="65" t="s">
        <v>133</v>
      </c>
      <c r="D511" s="65" t="s">
        <v>6</v>
      </c>
      <c r="E511" s="65">
        <v>0.14162500000000003</v>
      </c>
      <c r="F511" s="66">
        <f>TRUNC(16.55,2)</f>
        <v>16.55</v>
      </c>
      <c r="G511" s="62">
        <f>TRUNC(E511*F511,2)</f>
        <v>2.34</v>
      </c>
      <c r="H511" s="62"/>
      <c r="I511" s="63"/>
    </row>
    <row r="512" spans="2:9" s="65" customFormat="1" ht="28.5">
      <c r="B512" s="65" t="s">
        <v>138</v>
      </c>
      <c r="C512" s="65" t="s">
        <v>139</v>
      </c>
      <c r="D512" s="65" t="s">
        <v>6</v>
      </c>
      <c r="E512" s="65">
        <v>0.14162500000000003</v>
      </c>
      <c r="F512" s="66">
        <f>TRUNC(22.86,2)</f>
        <v>22.86</v>
      </c>
      <c r="G512" s="62">
        <f>TRUNC(E512*F512,2)</f>
        <v>3.23</v>
      </c>
      <c r="H512" s="62"/>
      <c r="I512" s="63"/>
    </row>
    <row r="513" spans="5:9" s="65" customFormat="1" ht="14.25">
      <c r="E513" s="65" t="s">
        <v>7</v>
      </c>
      <c r="F513" s="66"/>
      <c r="G513" s="62">
        <f>TRUNC(SUM(G510:G512),2)</f>
        <v>40.12</v>
      </c>
      <c r="H513" s="62"/>
      <c r="I513" s="63"/>
    </row>
    <row r="514" spans="1:9" s="105" customFormat="1" ht="57">
      <c r="A514" s="105" t="s">
        <v>212</v>
      </c>
      <c r="B514" s="105" t="s">
        <v>604</v>
      </c>
      <c r="C514" s="105" t="s">
        <v>605</v>
      </c>
      <c r="D514" s="105" t="s">
        <v>12</v>
      </c>
      <c r="E514" s="105">
        <v>5</v>
      </c>
      <c r="F514" s="107">
        <f>TRUNC(G518,2)</f>
        <v>84.46</v>
      </c>
      <c r="G514" s="128">
        <f>TRUNC(F514*1.2338,2)</f>
        <v>104.2</v>
      </c>
      <c r="H514" s="128">
        <f>TRUNC(F514*E514,2)</f>
        <v>422.3</v>
      </c>
      <c r="I514" s="129">
        <f>TRUNC(E514*G514,2)</f>
        <v>521</v>
      </c>
    </row>
    <row r="515" spans="2:9" s="65" customFormat="1" ht="28.5">
      <c r="B515" s="65" t="s">
        <v>606</v>
      </c>
      <c r="C515" s="65" t="s">
        <v>607</v>
      </c>
      <c r="D515" s="65" t="s">
        <v>12</v>
      </c>
      <c r="E515" s="65">
        <v>1</v>
      </c>
      <c r="F515" s="66">
        <f>TRUNC(78.89,2)</f>
        <v>78.89</v>
      </c>
      <c r="G515" s="62">
        <f>TRUNC(E515*F515,2)</f>
        <v>78.89</v>
      </c>
      <c r="H515" s="62"/>
      <c r="I515" s="63"/>
    </row>
    <row r="516" spans="2:9" s="65" customFormat="1" ht="28.5">
      <c r="B516" s="65" t="s">
        <v>132</v>
      </c>
      <c r="C516" s="65" t="s">
        <v>133</v>
      </c>
      <c r="D516" s="65" t="s">
        <v>6</v>
      </c>
      <c r="E516" s="65">
        <v>0.14162500000000003</v>
      </c>
      <c r="F516" s="66">
        <f>TRUNC(16.55,2)</f>
        <v>16.55</v>
      </c>
      <c r="G516" s="62">
        <f>TRUNC(E516*F516,2)</f>
        <v>2.34</v>
      </c>
      <c r="H516" s="62"/>
      <c r="I516" s="63"/>
    </row>
    <row r="517" spans="2:9" s="65" customFormat="1" ht="28.5">
      <c r="B517" s="65" t="s">
        <v>138</v>
      </c>
      <c r="C517" s="65" t="s">
        <v>139</v>
      </c>
      <c r="D517" s="65" t="s">
        <v>6</v>
      </c>
      <c r="E517" s="65">
        <v>0.14162500000000003</v>
      </c>
      <c r="F517" s="66">
        <f>TRUNC(22.86,2)</f>
        <v>22.86</v>
      </c>
      <c r="G517" s="62">
        <f>TRUNC(E517*F517,2)</f>
        <v>3.23</v>
      </c>
      <c r="H517" s="62"/>
      <c r="I517" s="63"/>
    </row>
    <row r="518" spans="5:9" s="65" customFormat="1" ht="14.25">
      <c r="E518" s="65" t="s">
        <v>7</v>
      </c>
      <c r="F518" s="66"/>
      <c r="G518" s="62">
        <f>TRUNC(SUM(G515:G517),2)</f>
        <v>84.46</v>
      </c>
      <c r="H518" s="62"/>
      <c r="I518" s="63"/>
    </row>
    <row r="519" spans="1:9" s="105" customFormat="1" ht="42.75">
      <c r="A519" s="105" t="s">
        <v>738</v>
      </c>
      <c r="B519" s="105" t="s">
        <v>608</v>
      </c>
      <c r="C519" s="105" t="s">
        <v>609</v>
      </c>
      <c r="D519" s="105" t="s">
        <v>12</v>
      </c>
      <c r="E519" s="105">
        <v>1</v>
      </c>
      <c r="F519" s="107">
        <f>TRUNC(G523,2)</f>
        <v>121.56</v>
      </c>
      <c r="G519" s="128">
        <f>TRUNC(F519*1.2338,2)</f>
        <v>149.98</v>
      </c>
      <c r="H519" s="128">
        <f>TRUNC(F519*E519,2)</f>
        <v>121.56</v>
      </c>
      <c r="I519" s="129">
        <f>TRUNC(E519*G519,2)</f>
        <v>149.98</v>
      </c>
    </row>
    <row r="520" spans="2:9" s="65" customFormat="1" ht="28.5">
      <c r="B520" s="65" t="s">
        <v>610</v>
      </c>
      <c r="C520" s="65" t="s">
        <v>611</v>
      </c>
      <c r="D520" s="65" t="s">
        <v>12</v>
      </c>
      <c r="E520" s="65">
        <v>1</v>
      </c>
      <c r="F520" s="66">
        <f>TRUNC(110.2,2)</f>
        <v>110.2</v>
      </c>
      <c r="G520" s="62">
        <f>TRUNC(E520*F520,2)</f>
        <v>110.2</v>
      </c>
      <c r="H520" s="62"/>
      <c r="I520" s="63"/>
    </row>
    <row r="521" spans="2:9" s="65" customFormat="1" ht="28.5">
      <c r="B521" s="65" t="s">
        <v>132</v>
      </c>
      <c r="C521" s="65" t="s">
        <v>133</v>
      </c>
      <c r="D521" s="65" t="s">
        <v>6</v>
      </c>
      <c r="E521" s="65">
        <v>0.28840000000000005</v>
      </c>
      <c r="F521" s="66">
        <f>TRUNC(16.55,2)</f>
        <v>16.55</v>
      </c>
      <c r="G521" s="62">
        <f>TRUNC(E521*F521,2)</f>
        <v>4.77</v>
      </c>
      <c r="H521" s="62"/>
      <c r="I521" s="63"/>
    </row>
    <row r="522" spans="2:9" s="65" customFormat="1" ht="28.5">
      <c r="B522" s="65" t="s">
        <v>138</v>
      </c>
      <c r="C522" s="65" t="s">
        <v>139</v>
      </c>
      <c r="D522" s="65" t="s">
        <v>6</v>
      </c>
      <c r="E522" s="65">
        <v>0.28840000000000005</v>
      </c>
      <c r="F522" s="66">
        <f>TRUNC(22.86,2)</f>
        <v>22.86</v>
      </c>
      <c r="G522" s="62">
        <f>TRUNC(E522*F522,2)</f>
        <v>6.59</v>
      </c>
      <c r="H522" s="62"/>
      <c r="I522" s="63"/>
    </row>
    <row r="523" spans="5:9" s="65" customFormat="1" ht="14.25">
      <c r="E523" s="65" t="s">
        <v>7</v>
      </c>
      <c r="F523" s="66"/>
      <c r="G523" s="62">
        <f>TRUNC(SUM(G520:G522),2)</f>
        <v>121.56</v>
      </c>
      <c r="H523" s="62"/>
      <c r="I523" s="63"/>
    </row>
    <row r="524" spans="1:9" s="105" customFormat="1" ht="42.75">
      <c r="A524" s="105" t="s">
        <v>739</v>
      </c>
      <c r="B524" s="105" t="s">
        <v>612</v>
      </c>
      <c r="C524" s="105" t="s">
        <v>613</v>
      </c>
      <c r="D524" s="105" t="s">
        <v>3</v>
      </c>
      <c r="E524" s="105">
        <v>119.68</v>
      </c>
      <c r="F524" s="107">
        <f>TRUNC(G528,2)</f>
        <v>9.5</v>
      </c>
      <c r="G524" s="128">
        <f>TRUNC(F524*1.2338,2)</f>
        <v>11.72</v>
      </c>
      <c r="H524" s="128">
        <f>TRUNC(F524*E524,2)</f>
        <v>1136.96</v>
      </c>
      <c r="I524" s="129">
        <f>TRUNC(E524*G524,2)</f>
        <v>1402.64</v>
      </c>
    </row>
    <row r="525" spans="2:9" s="65" customFormat="1" ht="28.5">
      <c r="B525" s="65" t="s">
        <v>614</v>
      </c>
      <c r="C525" s="65" t="s">
        <v>615</v>
      </c>
      <c r="D525" s="65" t="s">
        <v>12</v>
      </c>
      <c r="E525" s="65">
        <v>0.35</v>
      </c>
      <c r="F525" s="66">
        <f>TRUNC(10.95,2)</f>
        <v>10.95</v>
      </c>
      <c r="G525" s="62">
        <f>TRUNC(E525*F525,2)</f>
        <v>3.83</v>
      </c>
      <c r="H525" s="62"/>
      <c r="I525" s="63"/>
    </row>
    <row r="526" spans="2:9" s="65" customFormat="1" ht="28.5">
      <c r="B526" s="65" t="s">
        <v>132</v>
      </c>
      <c r="C526" s="65" t="s">
        <v>133</v>
      </c>
      <c r="D526" s="65" t="s">
        <v>6</v>
      </c>
      <c r="E526" s="65">
        <v>0.14420000000000002</v>
      </c>
      <c r="F526" s="66">
        <f>TRUNC(16.55,2)</f>
        <v>16.55</v>
      </c>
      <c r="G526" s="62">
        <f>TRUNC(E526*F526,2)</f>
        <v>2.38</v>
      </c>
      <c r="H526" s="62"/>
      <c r="I526" s="63"/>
    </row>
    <row r="527" spans="2:9" s="65" customFormat="1" ht="28.5">
      <c r="B527" s="65" t="s">
        <v>138</v>
      </c>
      <c r="C527" s="65" t="s">
        <v>139</v>
      </c>
      <c r="D527" s="65" t="s">
        <v>6</v>
      </c>
      <c r="E527" s="65">
        <v>0.14420000000000002</v>
      </c>
      <c r="F527" s="66">
        <f>TRUNC(22.86,2)</f>
        <v>22.86</v>
      </c>
      <c r="G527" s="62">
        <f>TRUNC(E527*F527,2)</f>
        <v>3.29</v>
      </c>
      <c r="H527" s="62"/>
      <c r="I527" s="63"/>
    </row>
    <row r="528" spans="5:9" s="65" customFormat="1" ht="14.25">
      <c r="E528" s="65" t="s">
        <v>7</v>
      </c>
      <c r="F528" s="66"/>
      <c r="G528" s="62">
        <f>TRUNC(SUM(G525:G527),2)</f>
        <v>9.5</v>
      </c>
      <c r="H528" s="62"/>
      <c r="I528" s="63"/>
    </row>
    <row r="529" spans="1:9" s="105" customFormat="1" ht="57">
      <c r="A529" s="105" t="s">
        <v>740</v>
      </c>
      <c r="B529" s="105" t="s">
        <v>616</v>
      </c>
      <c r="C529" s="105" t="s">
        <v>617</v>
      </c>
      <c r="D529" s="105" t="s">
        <v>3</v>
      </c>
      <c r="E529" s="105">
        <v>396.88</v>
      </c>
      <c r="F529" s="107">
        <f>TRUNC(G534,2)</f>
        <v>5.52</v>
      </c>
      <c r="G529" s="128">
        <f>TRUNC(F529*1.2338,2)</f>
        <v>6.81</v>
      </c>
      <c r="H529" s="128">
        <f>TRUNC(F529*E529,2)</f>
        <v>2190.77</v>
      </c>
      <c r="I529" s="129">
        <f>TRUNC(E529*G529,2)</f>
        <v>2702.75</v>
      </c>
    </row>
    <row r="530" spans="2:9" s="65" customFormat="1" ht="28.5">
      <c r="B530" s="65" t="s">
        <v>618</v>
      </c>
      <c r="C530" s="65" t="s">
        <v>619</v>
      </c>
      <c r="D530" s="65" t="s">
        <v>3</v>
      </c>
      <c r="E530" s="65">
        <v>1</v>
      </c>
      <c r="F530" s="66">
        <f>TRUNC(3.0666,2)</f>
        <v>3.06</v>
      </c>
      <c r="G530" s="62">
        <f>TRUNC(E530*F530,2)</f>
        <v>3.06</v>
      </c>
      <c r="H530" s="62"/>
      <c r="I530" s="63"/>
    </row>
    <row r="531" spans="2:9" s="65" customFormat="1" ht="14.25">
      <c r="B531" s="65" t="s">
        <v>114</v>
      </c>
      <c r="C531" s="65" t="s">
        <v>115</v>
      </c>
      <c r="D531" s="65" t="s">
        <v>12</v>
      </c>
      <c r="E531" s="65">
        <v>0.0014</v>
      </c>
      <c r="F531" s="66">
        <f>TRUNC(4.22,2)</f>
        <v>4.22</v>
      </c>
      <c r="G531" s="62">
        <f>TRUNC(E531*F531,2)</f>
        <v>0</v>
      </c>
      <c r="H531" s="62"/>
      <c r="I531" s="63"/>
    </row>
    <row r="532" spans="2:9" s="65" customFormat="1" ht="28.5">
      <c r="B532" s="65" t="s">
        <v>132</v>
      </c>
      <c r="C532" s="65" t="s">
        <v>133</v>
      </c>
      <c r="D532" s="65" t="s">
        <v>6</v>
      </c>
      <c r="E532" s="65">
        <v>0.06283</v>
      </c>
      <c r="F532" s="66">
        <f>TRUNC(16.55,2)</f>
        <v>16.55</v>
      </c>
      <c r="G532" s="62">
        <f>TRUNC(E532*F532,2)</f>
        <v>1.03</v>
      </c>
      <c r="H532" s="62"/>
      <c r="I532" s="63"/>
    </row>
    <row r="533" spans="2:9" s="65" customFormat="1" ht="28.5">
      <c r="B533" s="65" t="s">
        <v>138</v>
      </c>
      <c r="C533" s="65" t="s">
        <v>139</v>
      </c>
      <c r="D533" s="65" t="s">
        <v>6</v>
      </c>
      <c r="E533" s="65">
        <v>0.06283</v>
      </c>
      <c r="F533" s="66">
        <f>TRUNC(22.86,2)</f>
        <v>22.86</v>
      </c>
      <c r="G533" s="62">
        <f>TRUNC(E533*F533,2)</f>
        <v>1.43</v>
      </c>
      <c r="H533" s="62"/>
      <c r="I533" s="63"/>
    </row>
    <row r="534" spans="5:9" s="65" customFormat="1" ht="14.25">
      <c r="E534" s="65" t="s">
        <v>7</v>
      </c>
      <c r="F534" s="66"/>
      <c r="G534" s="62">
        <f>TRUNC(SUM(G530:G533),2)</f>
        <v>5.52</v>
      </c>
      <c r="H534" s="62"/>
      <c r="I534" s="63"/>
    </row>
    <row r="535" spans="1:9" s="105" customFormat="1" ht="57">
      <c r="A535" s="105" t="s">
        <v>741</v>
      </c>
      <c r="B535" s="105" t="s">
        <v>620</v>
      </c>
      <c r="C535" s="105" t="s">
        <v>621</v>
      </c>
      <c r="D535" s="105" t="s">
        <v>3</v>
      </c>
      <c r="E535" s="105">
        <v>100</v>
      </c>
      <c r="F535" s="107">
        <f>TRUNC(G540,2)</f>
        <v>10.69</v>
      </c>
      <c r="G535" s="128">
        <f>TRUNC(F535*1.2338,2)</f>
        <v>13.18</v>
      </c>
      <c r="H535" s="128">
        <f>TRUNC(F535*E535,2)</f>
        <v>1069</v>
      </c>
      <c r="I535" s="129">
        <f>TRUNC(E535*G535,2)</f>
        <v>1318</v>
      </c>
    </row>
    <row r="536" spans="2:9" s="65" customFormat="1" ht="28.5">
      <c r="B536" s="65" t="s">
        <v>622</v>
      </c>
      <c r="C536" s="65" t="s">
        <v>623</v>
      </c>
      <c r="D536" s="65" t="s">
        <v>3</v>
      </c>
      <c r="E536" s="65">
        <v>1</v>
      </c>
      <c r="F536" s="66">
        <f>TRUNC(7.4509,2)</f>
        <v>7.45</v>
      </c>
      <c r="G536" s="62">
        <f>TRUNC(E536*F536,2)</f>
        <v>7.45</v>
      </c>
      <c r="H536" s="62"/>
      <c r="I536" s="63"/>
    </row>
    <row r="537" spans="2:9" s="65" customFormat="1" ht="14.25">
      <c r="B537" s="65" t="s">
        <v>114</v>
      </c>
      <c r="C537" s="65" t="s">
        <v>115</v>
      </c>
      <c r="D537" s="65" t="s">
        <v>12</v>
      </c>
      <c r="E537" s="65">
        <v>0.0014</v>
      </c>
      <c r="F537" s="66">
        <f>TRUNC(4.22,2)</f>
        <v>4.22</v>
      </c>
      <c r="G537" s="62">
        <f>TRUNC(E537*F537,2)</f>
        <v>0</v>
      </c>
      <c r="H537" s="62"/>
      <c r="I537" s="63"/>
    </row>
    <row r="538" spans="2:9" s="65" customFormat="1" ht="28.5">
      <c r="B538" s="65" t="s">
        <v>132</v>
      </c>
      <c r="C538" s="65" t="s">
        <v>133</v>
      </c>
      <c r="D538" s="65" t="s">
        <v>6</v>
      </c>
      <c r="E538" s="65">
        <v>0.0824</v>
      </c>
      <c r="F538" s="66">
        <f>TRUNC(16.55,2)</f>
        <v>16.55</v>
      </c>
      <c r="G538" s="62">
        <f>TRUNC(E538*F538,2)</f>
        <v>1.36</v>
      </c>
      <c r="H538" s="62"/>
      <c r="I538" s="63"/>
    </row>
    <row r="539" spans="2:9" s="65" customFormat="1" ht="28.5">
      <c r="B539" s="65" t="s">
        <v>138</v>
      </c>
      <c r="C539" s="65" t="s">
        <v>139</v>
      </c>
      <c r="D539" s="65" t="s">
        <v>6</v>
      </c>
      <c r="E539" s="65">
        <v>0.0824</v>
      </c>
      <c r="F539" s="66">
        <f>TRUNC(22.86,2)</f>
        <v>22.86</v>
      </c>
      <c r="G539" s="62">
        <f>TRUNC(E539*F539,2)</f>
        <v>1.88</v>
      </c>
      <c r="H539" s="62"/>
      <c r="I539" s="63"/>
    </row>
    <row r="540" spans="5:9" s="65" customFormat="1" ht="14.25">
      <c r="E540" s="65" t="s">
        <v>7</v>
      </c>
      <c r="F540" s="66"/>
      <c r="G540" s="62">
        <f>TRUNC(SUM(G536:G539),2)</f>
        <v>10.69</v>
      </c>
      <c r="H540" s="62"/>
      <c r="I540" s="63"/>
    </row>
    <row r="541" spans="1:9" s="105" customFormat="1" ht="99.75">
      <c r="A541" s="105" t="s">
        <v>742</v>
      </c>
      <c r="B541" s="105" t="s">
        <v>210</v>
      </c>
      <c r="C541" s="105" t="s">
        <v>169</v>
      </c>
      <c r="D541" s="105" t="s">
        <v>12</v>
      </c>
      <c r="E541" s="105">
        <v>15</v>
      </c>
      <c r="F541" s="107">
        <f>TRUNC(G545+G549,2)</f>
        <v>190.06</v>
      </c>
      <c r="G541" s="101">
        <f>TRUNC(F541*1.2338,2)</f>
        <v>234.49</v>
      </c>
      <c r="H541" s="101">
        <f>TRUNC(F541*E541,2)</f>
        <v>2850.9</v>
      </c>
      <c r="I541" s="102">
        <f>TRUNC(E541*G541,2)</f>
        <v>3517.35</v>
      </c>
    </row>
    <row r="542" spans="2:9" s="65" customFormat="1" ht="28.5">
      <c r="B542" s="65" t="s">
        <v>170</v>
      </c>
      <c r="C542" s="65" t="s">
        <v>171</v>
      </c>
      <c r="D542" s="65" t="s">
        <v>12</v>
      </c>
      <c r="E542" s="65">
        <v>0</v>
      </c>
      <c r="F542" s="66">
        <f>TRUNC(140.1741,2)</f>
        <v>140.17</v>
      </c>
      <c r="G542" s="62">
        <f>TRUNC(E542*F542,2)</f>
        <v>0</v>
      </c>
      <c r="H542" s="62"/>
      <c r="I542" s="63"/>
    </row>
    <row r="543" spans="2:9" s="65" customFormat="1" ht="28.5">
      <c r="B543" s="65" t="s">
        <v>132</v>
      </c>
      <c r="C543" s="65" t="s">
        <v>133</v>
      </c>
      <c r="D543" s="65" t="s">
        <v>6</v>
      </c>
      <c r="E543" s="65">
        <v>0.515</v>
      </c>
      <c r="F543" s="66">
        <f>TRUNC(16.55,2)</f>
        <v>16.55</v>
      </c>
      <c r="G543" s="62">
        <f>TRUNC(E543*F543,2)</f>
        <v>8.52</v>
      </c>
      <c r="H543" s="62"/>
      <c r="I543" s="63"/>
    </row>
    <row r="544" spans="2:9" s="65" customFormat="1" ht="28.5">
      <c r="B544" s="65" t="s">
        <v>138</v>
      </c>
      <c r="C544" s="65" t="s">
        <v>139</v>
      </c>
      <c r="D544" s="65" t="s">
        <v>6</v>
      </c>
      <c r="E544" s="65">
        <v>0.515</v>
      </c>
      <c r="F544" s="66">
        <f>TRUNC(22.86,2)</f>
        <v>22.86</v>
      </c>
      <c r="G544" s="62">
        <f>TRUNC(E544*F544,2)</f>
        <v>11.77</v>
      </c>
      <c r="H544" s="62"/>
      <c r="I544" s="63"/>
    </row>
    <row r="545" spans="5:9" s="65" customFormat="1" ht="14.25">
      <c r="E545" s="65" t="s">
        <v>7</v>
      </c>
      <c r="F545" s="66"/>
      <c r="G545" s="62">
        <f>TRUNC(SUM(G542:G544),2)</f>
        <v>20.29</v>
      </c>
      <c r="H545" s="62"/>
      <c r="I545" s="63"/>
    </row>
    <row r="546" spans="2:9" s="65" customFormat="1" ht="30">
      <c r="B546" s="74" t="s">
        <v>247</v>
      </c>
      <c r="C546" s="74" t="s">
        <v>358</v>
      </c>
      <c r="D546" s="74" t="s">
        <v>12</v>
      </c>
      <c r="E546" s="65">
        <v>1</v>
      </c>
      <c r="F546" s="66">
        <v>194.31</v>
      </c>
      <c r="G546" s="62">
        <f>TRUNC(E546*F546,2)</f>
        <v>194.31</v>
      </c>
      <c r="H546" s="62"/>
      <c r="I546" s="63"/>
    </row>
    <row r="547" spans="2:9" s="65" customFormat="1" ht="30">
      <c r="B547" s="74" t="s">
        <v>247</v>
      </c>
      <c r="C547" s="74" t="s">
        <v>359</v>
      </c>
      <c r="D547" s="74" t="s">
        <v>12</v>
      </c>
      <c r="E547" s="65">
        <v>1</v>
      </c>
      <c r="F547" s="66">
        <v>205.1</v>
      </c>
      <c r="G547" s="62">
        <f>TRUNC(E547*F547,2)</f>
        <v>205.1</v>
      </c>
      <c r="H547" s="62"/>
      <c r="I547" s="63"/>
    </row>
    <row r="548" spans="2:9" s="65" customFormat="1" ht="30">
      <c r="B548" s="74" t="s">
        <v>247</v>
      </c>
      <c r="C548" s="74" t="s">
        <v>360</v>
      </c>
      <c r="D548" s="74" t="s">
        <v>12</v>
      </c>
      <c r="E548" s="65">
        <v>1</v>
      </c>
      <c r="F548" s="66">
        <v>109.9</v>
      </c>
      <c r="G548" s="62">
        <f>TRUNC(E548*F548,2)</f>
        <v>109.9</v>
      </c>
      <c r="H548" s="62"/>
      <c r="I548" s="63"/>
    </row>
    <row r="549" spans="6:9" s="65" customFormat="1" ht="14.25">
      <c r="F549" s="66" t="s">
        <v>246</v>
      </c>
      <c r="G549" s="62">
        <f>(G546+G547+G548)/3</f>
        <v>169.76999999999998</v>
      </c>
      <c r="H549" s="62"/>
      <c r="I549" s="63"/>
    </row>
    <row r="550" spans="5:9" s="65" customFormat="1" ht="14.25">
      <c r="E550" s="65" t="s">
        <v>7</v>
      </c>
      <c r="F550" s="66"/>
      <c r="G550" s="62"/>
      <c r="H550" s="62"/>
      <c r="I550" s="63"/>
    </row>
    <row r="551" spans="1:9" s="44" customFormat="1" ht="15.75">
      <c r="A551" s="53" t="s">
        <v>52</v>
      </c>
      <c r="B551" s="55"/>
      <c r="C551" s="54"/>
      <c r="D551" s="55"/>
      <c r="E551" s="55"/>
      <c r="F551" s="55"/>
      <c r="G551" s="53" t="s">
        <v>213</v>
      </c>
      <c r="H551" s="57">
        <f>H541+H535+H529+H524+H519+H514+H509+H504</f>
        <v>8356.920000000002</v>
      </c>
      <c r="I551" s="57">
        <f>I541+I535+I529+I524+I519+I514+I509+I504</f>
        <v>10309.34</v>
      </c>
    </row>
    <row r="552" spans="1:9" s="43" customFormat="1" ht="15.75">
      <c r="A552" s="43" t="s">
        <v>24</v>
      </c>
      <c r="B552" s="51"/>
      <c r="C552" s="52" t="s">
        <v>67</v>
      </c>
      <c r="D552" s="52"/>
      <c r="E552" s="52"/>
      <c r="F552" s="52"/>
      <c r="G552" s="52"/>
      <c r="H552" s="52"/>
      <c r="I552" s="50"/>
    </row>
    <row r="553" spans="1:9" s="105" customFormat="1" ht="28.5">
      <c r="A553" s="105" t="s">
        <v>164</v>
      </c>
      <c r="B553" s="105" t="s">
        <v>162</v>
      </c>
      <c r="C553" s="105" t="s">
        <v>79</v>
      </c>
      <c r="D553" s="105" t="s">
        <v>16</v>
      </c>
      <c r="E553" s="105">
        <v>1</v>
      </c>
      <c r="F553" s="107">
        <f>TRUNC(G555,2)</f>
        <v>2781</v>
      </c>
      <c r="G553" s="101">
        <f>TRUNC(F553*1.2338,2)</f>
        <v>3431.19</v>
      </c>
      <c r="H553" s="101">
        <f>TRUNC(F553*E553,2)</f>
        <v>2781</v>
      </c>
      <c r="I553" s="102">
        <f>TRUNC(E553*G553,2)</f>
        <v>3431.19</v>
      </c>
    </row>
    <row r="554" spans="2:9" s="65" customFormat="1" ht="28.5">
      <c r="B554" s="65" t="s">
        <v>60</v>
      </c>
      <c r="C554" s="65" t="s">
        <v>80</v>
      </c>
      <c r="D554" s="65" t="s">
        <v>12</v>
      </c>
      <c r="E554" s="65">
        <v>1</v>
      </c>
      <c r="F554" s="66">
        <f>TRUNC(2781,2)</f>
        <v>2781</v>
      </c>
      <c r="G554" s="62">
        <f>TRUNC(E554*F554,2)</f>
        <v>2781</v>
      </c>
      <c r="H554" s="62"/>
      <c r="I554" s="63"/>
    </row>
    <row r="555" spans="5:9" s="65" customFormat="1" ht="14.25">
      <c r="E555" s="65" t="s">
        <v>7</v>
      </c>
      <c r="F555" s="66"/>
      <c r="G555" s="62">
        <f>TRUNC(SUM(G554:G554),2)</f>
        <v>2781</v>
      </c>
      <c r="H555" s="62"/>
      <c r="I555" s="63"/>
    </row>
    <row r="556" spans="1:9" s="105" customFormat="1" ht="28.5">
      <c r="A556" s="105" t="s">
        <v>165</v>
      </c>
      <c r="B556" s="105" t="s">
        <v>263</v>
      </c>
      <c r="C556" s="105" t="s">
        <v>248</v>
      </c>
      <c r="D556" s="105" t="s">
        <v>16</v>
      </c>
      <c r="E556" s="105">
        <v>1</v>
      </c>
      <c r="F556" s="107">
        <f>TRUNC(G558,2)</f>
        <v>757.13</v>
      </c>
      <c r="G556" s="101">
        <f>TRUNC(F556*1.2338,2)</f>
        <v>934.14</v>
      </c>
      <c r="H556" s="101">
        <f>TRUNC(F556*E556,2)</f>
        <v>757.13</v>
      </c>
      <c r="I556" s="102">
        <f>TRUNC(E556*G556,2)</f>
        <v>934.14</v>
      </c>
    </row>
    <row r="557" spans="2:9" s="65" customFormat="1" ht="28.5">
      <c r="B557" s="65" t="s">
        <v>249</v>
      </c>
      <c r="C557" s="65" t="s">
        <v>250</v>
      </c>
      <c r="D557" s="65" t="s">
        <v>12</v>
      </c>
      <c r="E557" s="65">
        <v>1</v>
      </c>
      <c r="F557" s="66">
        <f>TRUNC(757.13,2)</f>
        <v>757.13</v>
      </c>
      <c r="G557" s="62">
        <f>TRUNC(E557*F557,2)</f>
        <v>757.13</v>
      </c>
      <c r="H557" s="62"/>
      <c r="I557" s="63"/>
    </row>
    <row r="558" spans="5:9" s="65" customFormat="1" ht="14.25">
      <c r="E558" s="65" t="s">
        <v>7</v>
      </c>
      <c r="F558" s="66"/>
      <c r="G558" s="62">
        <f>TRUNC(SUM(G557:G557),2)</f>
        <v>757.13</v>
      </c>
      <c r="H558" s="62"/>
      <c r="I558" s="63"/>
    </row>
    <row r="559" spans="1:9" s="105" customFormat="1" ht="14.25">
      <c r="A559" s="105" t="s">
        <v>225</v>
      </c>
      <c r="B559" s="105" t="s">
        <v>264</v>
      </c>
      <c r="C559" s="105" t="s">
        <v>251</v>
      </c>
      <c r="D559" s="105" t="s">
        <v>12</v>
      </c>
      <c r="E559" s="105">
        <v>1</v>
      </c>
      <c r="F559" s="107">
        <f>TRUNC(G561,2)</f>
        <v>129.95</v>
      </c>
      <c r="G559" s="101">
        <f>TRUNC(F559*1.2338,2)</f>
        <v>160.33</v>
      </c>
      <c r="H559" s="101">
        <f>TRUNC(F559*E559,2)</f>
        <v>129.95</v>
      </c>
      <c r="I559" s="102">
        <f>TRUNC(E559*G559,2)</f>
        <v>160.33</v>
      </c>
    </row>
    <row r="560" spans="2:9" s="65" customFormat="1" ht="14.25">
      <c r="B560" s="65" t="s">
        <v>252</v>
      </c>
      <c r="C560" s="65" t="s">
        <v>253</v>
      </c>
      <c r="D560" s="65" t="s">
        <v>12</v>
      </c>
      <c r="E560" s="65">
        <v>1</v>
      </c>
      <c r="F560" s="66">
        <f>TRUNC(129.95,2)</f>
        <v>129.95</v>
      </c>
      <c r="G560" s="62">
        <f>TRUNC(E560*F560,2)</f>
        <v>129.95</v>
      </c>
      <c r="H560" s="62"/>
      <c r="I560" s="63"/>
    </row>
    <row r="561" spans="5:9" s="65" customFormat="1" ht="14.25">
      <c r="E561" s="65" t="s">
        <v>7</v>
      </c>
      <c r="F561" s="66"/>
      <c r="G561" s="62">
        <f>TRUNC(SUM(G560:G560),2)</f>
        <v>129.95</v>
      </c>
      <c r="H561" s="62"/>
      <c r="I561" s="63"/>
    </row>
    <row r="562" spans="1:9" s="105" customFormat="1" ht="14.25">
      <c r="A562" s="105" t="s">
        <v>226</v>
      </c>
      <c r="B562" s="105" t="s">
        <v>163</v>
      </c>
      <c r="C562" s="105" t="s">
        <v>81</v>
      </c>
      <c r="D562" s="105" t="s">
        <v>16</v>
      </c>
      <c r="E562" s="105">
        <v>1</v>
      </c>
      <c r="F562" s="107">
        <f>TRUNC(G564,2)</f>
        <v>104.61</v>
      </c>
      <c r="G562" s="101">
        <f>TRUNC(F562*1.2338,2)</f>
        <v>129.06</v>
      </c>
      <c r="H562" s="101">
        <f>TRUNC(F562*E562,2)</f>
        <v>104.61</v>
      </c>
      <c r="I562" s="102">
        <f>TRUNC(E562*G562,2)</f>
        <v>129.06</v>
      </c>
    </row>
    <row r="563" spans="2:9" s="65" customFormat="1" ht="14.25">
      <c r="B563" s="65" t="s">
        <v>17</v>
      </c>
      <c r="C563" s="65" t="s">
        <v>82</v>
      </c>
      <c r="D563" s="65" t="s">
        <v>12</v>
      </c>
      <c r="E563" s="65">
        <v>1</v>
      </c>
      <c r="F563" s="66">
        <f>TRUNC(104.61,2)</f>
        <v>104.61</v>
      </c>
      <c r="G563" s="62">
        <f>TRUNC(E563*F563,2)</f>
        <v>104.61</v>
      </c>
      <c r="H563" s="62"/>
      <c r="I563" s="63"/>
    </row>
    <row r="564" spans="5:9" s="65" customFormat="1" ht="14.25">
      <c r="E564" s="65" t="s">
        <v>7</v>
      </c>
      <c r="F564" s="66"/>
      <c r="G564" s="62">
        <f>TRUNC(SUM(G563:G563),2)</f>
        <v>104.61</v>
      </c>
      <c r="H564" s="62"/>
      <c r="I564" s="63"/>
    </row>
    <row r="565" spans="1:9" s="105" customFormat="1" ht="28.5">
      <c r="A565" s="105" t="s">
        <v>227</v>
      </c>
      <c r="B565" s="105" t="s">
        <v>356</v>
      </c>
      <c r="C565" s="105" t="s">
        <v>364</v>
      </c>
      <c r="D565" s="105" t="s">
        <v>12</v>
      </c>
      <c r="E565" s="105">
        <v>2</v>
      </c>
      <c r="F565" s="107">
        <f>TRUNC(G567,2)</f>
        <v>1080</v>
      </c>
      <c r="G565" s="101">
        <f>TRUNC(F565*1.2338,2)</f>
        <v>1332.5</v>
      </c>
      <c r="H565" s="101">
        <f>TRUNC(F565*E565,2)</f>
        <v>2160</v>
      </c>
      <c r="I565" s="102">
        <f>TRUNC(E565*G565,2)</f>
        <v>2665</v>
      </c>
    </row>
    <row r="566" spans="2:9" s="65" customFormat="1" ht="14.25">
      <c r="B566" s="65" t="s">
        <v>365</v>
      </c>
      <c r="C566" s="65" t="s">
        <v>366</v>
      </c>
      <c r="D566" s="65" t="s">
        <v>12</v>
      </c>
      <c r="E566" s="65">
        <v>1</v>
      </c>
      <c r="F566" s="66">
        <f>TRUNC(1080,2)</f>
        <v>1080</v>
      </c>
      <c r="G566" s="62">
        <f>TRUNC(E566*F566,2)</f>
        <v>1080</v>
      </c>
      <c r="H566" s="62"/>
      <c r="I566" s="63"/>
    </row>
    <row r="567" spans="5:9" s="65" customFormat="1" ht="14.25">
      <c r="E567" s="65" t="s">
        <v>7</v>
      </c>
      <c r="F567" s="66"/>
      <c r="G567" s="62">
        <f>TRUNC(SUM(G566:G566),2)</f>
        <v>1080</v>
      </c>
      <c r="H567" s="62"/>
      <c r="I567" s="63"/>
    </row>
    <row r="568" spans="1:9" s="105" customFormat="1" ht="42.75">
      <c r="A568" s="105" t="s">
        <v>228</v>
      </c>
      <c r="B568" s="105" t="s">
        <v>379</v>
      </c>
      <c r="C568" s="105" t="s">
        <v>357</v>
      </c>
      <c r="D568" s="105" t="s">
        <v>12</v>
      </c>
      <c r="E568" s="105">
        <v>2</v>
      </c>
      <c r="F568" s="107">
        <f>TRUNC(G573,2)</f>
        <v>141.93</v>
      </c>
      <c r="G568" s="101">
        <f>TRUNC(F568*1.2338,2)</f>
        <v>175.11</v>
      </c>
      <c r="H568" s="101">
        <f>TRUNC(F568*E568,2)</f>
        <v>283.86</v>
      </c>
      <c r="I568" s="102">
        <f>TRUNC(E568*G568,2)</f>
        <v>350.22</v>
      </c>
    </row>
    <row r="569" spans="2:9" s="65" customFormat="1" ht="14.25">
      <c r="B569" s="65" t="s">
        <v>116</v>
      </c>
      <c r="C569" s="65" t="s">
        <v>93</v>
      </c>
      <c r="D569" s="65" t="s">
        <v>48</v>
      </c>
      <c r="E569" s="65">
        <v>0.0435</v>
      </c>
      <c r="F569" s="66">
        <f>TRUNC(62,2)</f>
        <v>62</v>
      </c>
      <c r="G569" s="62">
        <f>TRUNC(E569*F569,2)</f>
        <v>2.69</v>
      </c>
      <c r="H569" s="62"/>
      <c r="I569" s="63"/>
    </row>
    <row r="570" spans="2:9" s="65" customFormat="1" ht="14.25">
      <c r="B570" s="65" t="s">
        <v>352</v>
      </c>
      <c r="C570" s="65" t="s">
        <v>353</v>
      </c>
      <c r="D570" s="65" t="s">
        <v>5</v>
      </c>
      <c r="E570" s="65">
        <v>10</v>
      </c>
      <c r="F570" s="66">
        <f>TRUNC(0.47,2)</f>
        <v>0.47</v>
      </c>
      <c r="G570" s="62">
        <f>TRUNC(E570*F570,2)</f>
        <v>4.7</v>
      </c>
      <c r="H570" s="62"/>
      <c r="I570" s="63"/>
    </row>
    <row r="571" spans="2:9" s="65" customFormat="1" ht="14.25">
      <c r="B571" s="65" t="s">
        <v>354</v>
      </c>
      <c r="C571" s="65" t="s">
        <v>355</v>
      </c>
      <c r="D571" s="65" t="s">
        <v>1</v>
      </c>
      <c r="E571" s="65">
        <v>0.03</v>
      </c>
      <c r="F571" s="66">
        <f>TRUNC(80,2)</f>
        <v>80</v>
      </c>
      <c r="G571" s="62">
        <f>TRUNC(E571*F571,2)</f>
        <v>2.4</v>
      </c>
      <c r="H571" s="62"/>
      <c r="I571" s="63"/>
    </row>
    <row r="572" spans="2:9" s="65" customFormat="1" ht="28.5">
      <c r="B572" s="65" t="s">
        <v>207</v>
      </c>
      <c r="C572" s="65" t="s">
        <v>208</v>
      </c>
      <c r="D572" s="65" t="s">
        <v>6</v>
      </c>
      <c r="E572" s="65">
        <v>10.3</v>
      </c>
      <c r="F572" s="66">
        <f>TRUNC(12.83,2)</f>
        <v>12.83</v>
      </c>
      <c r="G572" s="62">
        <f>TRUNC(E572*F572,2)</f>
        <v>132.14</v>
      </c>
      <c r="H572" s="62"/>
      <c r="I572" s="63"/>
    </row>
    <row r="573" spans="5:9" s="65" customFormat="1" ht="14.25">
      <c r="E573" s="65" t="s">
        <v>7</v>
      </c>
      <c r="F573" s="66"/>
      <c r="G573" s="62">
        <f>TRUNC(SUM(G569:G572),2)</f>
        <v>141.93</v>
      </c>
      <c r="H573" s="62"/>
      <c r="I573" s="63"/>
    </row>
    <row r="574" spans="1:9" s="105" customFormat="1" ht="28.5">
      <c r="A574" s="105" t="s">
        <v>361</v>
      </c>
      <c r="B574" s="119" t="s">
        <v>368</v>
      </c>
      <c r="C574" s="105" t="s">
        <v>369</v>
      </c>
      <c r="D574" s="105" t="s">
        <v>0</v>
      </c>
      <c r="E574" s="105">
        <v>67.2</v>
      </c>
      <c r="F574" s="107">
        <f>TRUNC(G578,2)</f>
        <v>4.97</v>
      </c>
      <c r="G574" s="101">
        <f>TRUNC(F574*1.2338,2)</f>
        <v>6.13</v>
      </c>
      <c r="H574" s="101">
        <f>TRUNC(F574*E574,2)</f>
        <v>333.98</v>
      </c>
      <c r="I574" s="102">
        <f>TRUNC(E574*G574,2)</f>
        <v>411.93</v>
      </c>
    </row>
    <row r="575" spans="2:9" s="65" customFormat="1" ht="30">
      <c r="B575" s="74" t="s">
        <v>247</v>
      </c>
      <c r="C575" s="74" t="s">
        <v>370</v>
      </c>
      <c r="D575" s="74" t="s">
        <v>0</v>
      </c>
      <c r="E575" s="65">
        <v>1</v>
      </c>
      <c r="F575" s="66">
        <v>5.11</v>
      </c>
      <c r="G575" s="62">
        <f>E575*F575</f>
        <v>5.11</v>
      </c>
      <c r="H575" s="62"/>
      <c r="I575" s="63"/>
    </row>
    <row r="576" spans="2:9" s="65" customFormat="1" ht="30">
      <c r="B576" s="74" t="s">
        <v>247</v>
      </c>
      <c r="C576" s="74" t="s">
        <v>371</v>
      </c>
      <c r="D576" s="74" t="s">
        <v>0</v>
      </c>
      <c r="E576" s="65">
        <v>1</v>
      </c>
      <c r="F576" s="66">
        <v>5.7</v>
      </c>
      <c r="G576" s="62">
        <f>E576*F576</f>
        <v>5.7</v>
      </c>
      <c r="H576" s="62"/>
      <c r="I576" s="63"/>
    </row>
    <row r="577" spans="2:9" s="65" customFormat="1" ht="30">
      <c r="B577" s="74" t="s">
        <v>247</v>
      </c>
      <c r="C577" s="74" t="s">
        <v>372</v>
      </c>
      <c r="D577" s="74" t="s">
        <v>0</v>
      </c>
      <c r="E577" s="65">
        <v>1</v>
      </c>
      <c r="F577" s="66">
        <v>4.12</v>
      </c>
      <c r="G577" s="62">
        <f>E577*F577</f>
        <v>4.12</v>
      </c>
      <c r="H577" s="62"/>
      <c r="I577" s="63"/>
    </row>
    <row r="578" spans="6:10" s="65" customFormat="1" ht="14.25">
      <c r="F578" s="66" t="s">
        <v>246</v>
      </c>
      <c r="G578" s="62">
        <f>(G575+G576+G577)/3</f>
        <v>4.976666666666667</v>
      </c>
      <c r="H578" s="62"/>
      <c r="I578" s="63"/>
      <c r="J578" s="65">
        <v>595.7</v>
      </c>
    </row>
    <row r="579" spans="1:9" s="105" customFormat="1" ht="57">
      <c r="A579" s="105" t="s">
        <v>362</v>
      </c>
      <c r="B579" s="105" t="s">
        <v>343</v>
      </c>
      <c r="C579" s="105" t="s">
        <v>337</v>
      </c>
      <c r="D579" s="105" t="s">
        <v>16</v>
      </c>
      <c r="E579" s="105">
        <v>1</v>
      </c>
      <c r="F579" s="107">
        <f>TRUNC(G584,2)</f>
        <v>3007.52</v>
      </c>
      <c r="G579" s="101">
        <f>TRUNC(F579*1.2338,2)</f>
        <v>3710.67</v>
      </c>
      <c r="H579" s="101">
        <f>TRUNC(F579*E579,2)</f>
        <v>3007.52</v>
      </c>
      <c r="I579" s="102">
        <f>TRUNC(E579*G579,2)</f>
        <v>3710.67</v>
      </c>
    </row>
    <row r="580" spans="2:9" s="65" customFormat="1" ht="28.5">
      <c r="B580" s="65" t="s">
        <v>338</v>
      </c>
      <c r="C580" s="65" t="s">
        <v>339</v>
      </c>
      <c r="D580" s="65" t="s">
        <v>12</v>
      </c>
      <c r="E580" s="65">
        <v>1</v>
      </c>
      <c r="F580" s="66">
        <f>TRUNC(2882.97,2)</f>
        <v>2882.97</v>
      </c>
      <c r="G580" s="62">
        <f>TRUNC(E580*F580,2)</f>
        <v>2882.97</v>
      </c>
      <c r="H580" s="62"/>
      <c r="I580" s="63"/>
    </row>
    <row r="581" spans="2:9" s="65" customFormat="1" ht="28.5">
      <c r="B581" s="65" t="s">
        <v>132</v>
      </c>
      <c r="C581" s="65" t="s">
        <v>133</v>
      </c>
      <c r="D581" s="65" t="s">
        <v>6</v>
      </c>
      <c r="E581" s="65">
        <v>4.12</v>
      </c>
      <c r="F581" s="66">
        <f>TRUNC(16.55,2)</f>
        <v>16.55</v>
      </c>
      <c r="G581" s="62">
        <f>TRUNC(E581*F581,2)</f>
        <v>68.18</v>
      </c>
      <c r="H581" s="62"/>
      <c r="I581" s="63"/>
    </row>
    <row r="582" spans="2:9" s="65" customFormat="1" ht="14.25">
      <c r="B582" s="65" t="s">
        <v>145</v>
      </c>
      <c r="C582" s="65" t="s">
        <v>146</v>
      </c>
      <c r="D582" s="65" t="s">
        <v>6</v>
      </c>
      <c r="E582" s="65">
        <v>2.06</v>
      </c>
      <c r="F582" s="66">
        <f>TRUNC(22.86,2)</f>
        <v>22.86</v>
      </c>
      <c r="G582" s="62">
        <f>TRUNC(E582*F582,2)</f>
        <v>47.09</v>
      </c>
      <c r="H582" s="62"/>
      <c r="I582" s="63"/>
    </row>
    <row r="583" spans="2:9" s="65" customFormat="1" ht="14.25">
      <c r="B583" s="65" t="s">
        <v>344</v>
      </c>
      <c r="C583" s="65" t="s">
        <v>345</v>
      </c>
      <c r="D583" s="65" t="s">
        <v>1</v>
      </c>
      <c r="E583" s="65">
        <v>0.02</v>
      </c>
      <c r="F583" s="66">
        <f>TRUNC(464.2678,2)</f>
        <v>464.26</v>
      </c>
      <c r="G583" s="62">
        <f>TRUNC(E583*F583,2)</f>
        <v>9.28</v>
      </c>
      <c r="H583" s="62"/>
      <c r="I583" s="63"/>
    </row>
    <row r="584" spans="5:9" s="65" customFormat="1" ht="14.25">
      <c r="E584" s="65" t="s">
        <v>7</v>
      </c>
      <c r="F584" s="66"/>
      <c r="G584" s="62">
        <f>TRUNC(SUM(G580:G583),2)</f>
        <v>3007.52</v>
      </c>
      <c r="H584" s="62"/>
      <c r="I584" s="63"/>
    </row>
    <row r="585" spans="1:9" s="105" customFormat="1" ht="42.75">
      <c r="A585" s="105" t="s">
        <v>363</v>
      </c>
      <c r="B585" s="105" t="s">
        <v>346</v>
      </c>
      <c r="C585" s="105" t="s">
        <v>340</v>
      </c>
      <c r="D585" s="105" t="s">
        <v>16</v>
      </c>
      <c r="E585" s="105">
        <v>1</v>
      </c>
      <c r="F585" s="107">
        <f>TRUNC(G589,2)</f>
        <v>1522.28</v>
      </c>
      <c r="G585" s="101">
        <f>TRUNC(F585*1.2338,2)</f>
        <v>1878.18</v>
      </c>
      <c r="H585" s="101">
        <f>TRUNC(F585*E585,2)</f>
        <v>1522.28</v>
      </c>
      <c r="I585" s="102">
        <f>TRUNC(E585*G585,2)</f>
        <v>1878.18</v>
      </c>
    </row>
    <row r="586" spans="2:9" s="65" customFormat="1" ht="28.5">
      <c r="B586" s="65" t="s">
        <v>341</v>
      </c>
      <c r="C586" s="65" t="s">
        <v>342</v>
      </c>
      <c r="D586" s="65" t="s">
        <v>12</v>
      </c>
      <c r="E586" s="65">
        <v>1</v>
      </c>
      <c r="F586" s="66">
        <f>TRUNC(1437.5,2)</f>
        <v>1437.5</v>
      </c>
      <c r="G586" s="62">
        <f>TRUNC(E586*F586,2)</f>
        <v>1437.5</v>
      </c>
      <c r="H586" s="62"/>
      <c r="I586" s="63"/>
    </row>
    <row r="587" spans="2:9" s="65" customFormat="1" ht="28.5">
      <c r="B587" s="65" t="s">
        <v>132</v>
      </c>
      <c r="C587" s="65" t="s">
        <v>133</v>
      </c>
      <c r="D587" s="65" t="s">
        <v>6</v>
      </c>
      <c r="E587" s="65">
        <v>2.06</v>
      </c>
      <c r="F587" s="66">
        <f>TRUNC(16.55,2)</f>
        <v>16.55</v>
      </c>
      <c r="G587" s="62">
        <f>TRUNC(E587*F587,2)</f>
        <v>34.09</v>
      </c>
      <c r="H587" s="62"/>
      <c r="I587" s="63"/>
    </row>
    <row r="588" spans="2:9" s="65" customFormat="1" ht="28.5">
      <c r="B588" s="65" t="s">
        <v>134</v>
      </c>
      <c r="C588" s="65" t="s">
        <v>135</v>
      </c>
      <c r="D588" s="65" t="s">
        <v>6</v>
      </c>
      <c r="E588" s="65">
        <v>2.06</v>
      </c>
      <c r="F588" s="66">
        <f>TRUNC(24.61,2)</f>
        <v>24.61</v>
      </c>
      <c r="G588" s="62">
        <f>TRUNC(E588*F588,2)</f>
        <v>50.69</v>
      </c>
      <c r="H588" s="62"/>
      <c r="I588" s="63"/>
    </row>
    <row r="589" spans="5:9" s="65" customFormat="1" ht="14.25">
      <c r="E589" s="65" t="s">
        <v>7</v>
      </c>
      <c r="F589" s="66"/>
      <c r="G589" s="62">
        <f>TRUNC(SUM(G586:G588),2)</f>
        <v>1522.28</v>
      </c>
      <c r="H589" s="62"/>
      <c r="I589" s="63"/>
    </row>
    <row r="590" spans="1:9" s="44" customFormat="1" ht="16.5" customHeight="1">
      <c r="A590" s="53" t="s">
        <v>52</v>
      </c>
      <c r="B590" s="55"/>
      <c r="C590" s="54"/>
      <c r="D590" s="55"/>
      <c r="E590" s="55"/>
      <c r="F590" s="55"/>
      <c r="G590" s="53" t="s">
        <v>176</v>
      </c>
      <c r="H590" s="57">
        <f>H562+H559+H556+H553+H574+H565+H568+H579+H585</f>
        <v>11080.33</v>
      </c>
      <c r="I590" s="57">
        <f>I562+I559+I556+I553+I574+I565+I568+I579+I585</f>
        <v>13670.720000000001</v>
      </c>
    </row>
    <row r="591" spans="1:9" s="43" customFormat="1" ht="15.75">
      <c r="A591" s="43" t="s">
        <v>174</v>
      </c>
      <c r="B591" s="51"/>
      <c r="C591" s="52" t="s">
        <v>222</v>
      </c>
      <c r="D591" s="52"/>
      <c r="E591" s="52"/>
      <c r="F591" s="52"/>
      <c r="G591" s="52"/>
      <c r="H591" s="52"/>
      <c r="I591" s="50"/>
    </row>
    <row r="592" spans="1:9" s="105" customFormat="1" ht="57">
      <c r="A592" s="105" t="s">
        <v>175</v>
      </c>
      <c r="B592" s="105" t="s">
        <v>243</v>
      </c>
      <c r="C592" s="105" t="s">
        <v>223</v>
      </c>
      <c r="D592" s="105" t="s">
        <v>0</v>
      </c>
      <c r="E592" s="105">
        <v>310.48</v>
      </c>
      <c r="F592" s="107">
        <f>TRUNC(G595,2)</f>
        <v>13.04</v>
      </c>
      <c r="G592" s="101">
        <f>TRUNC(F592*1.2338,2)</f>
        <v>16.08</v>
      </c>
      <c r="H592" s="101">
        <f>TRUNC(F592*E592,2)</f>
        <v>4048.65</v>
      </c>
      <c r="I592" s="102">
        <f>TRUNC(E592*G592,2)</f>
        <v>4992.51</v>
      </c>
    </row>
    <row r="593" spans="2:9" s="65" customFormat="1" ht="14.25">
      <c r="B593" s="65" t="s">
        <v>265</v>
      </c>
      <c r="C593" s="65" t="s">
        <v>266</v>
      </c>
      <c r="D593" s="65" t="s">
        <v>0</v>
      </c>
      <c r="E593" s="65">
        <v>1.02</v>
      </c>
      <c r="F593" s="66">
        <f>TRUNC(6.2,2)</f>
        <v>6.2</v>
      </c>
      <c r="G593" s="62">
        <f>TRUNC(E593*F593,2)</f>
        <v>6.32</v>
      </c>
      <c r="H593" s="62"/>
      <c r="I593" s="63"/>
    </row>
    <row r="594" spans="2:9" s="65" customFormat="1" ht="28.5">
      <c r="B594" s="65" t="s">
        <v>219</v>
      </c>
      <c r="C594" s="65" t="s">
        <v>220</v>
      </c>
      <c r="D594" s="65" t="s">
        <v>6</v>
      </c>
      <c r="E594" s="65">
        <v>0.515</v>
      </c>
      <c r="F594" s="66">
        <f>TRUNC(13.06,2)</f>
        <v>13.06</v>
      </c>
      <c r="G594" s="62">
        <f>TRUNC(E594*F594,2)</f>
        <v>6.72</v>
      </c>
      <c r="H594" s="62"/>
      <c r="I594" s="63"/>
    </row>
    <row r="595" spans="5:9" s="65" customFormat="1" ht="14.25">
      <c r="E595" s="65" t="s">
        <v>7</v>
      </c>
      <c r="F595" s="66"/>
      <c r="G595" s="62">
        <f>TRUNC(SUM(G593:G594),2)</f>
        <v>13.04</v>
      </c>
      <c r="H595" s="62"/>
      <c r="I595" s="63"/>
    </row>
    <row r="596" spans="1:10" s="86" customFormat="1" ht="15.75">
      <c r="A596" s="80" t="s">
        <v>52</v>
      </c>
      <c r="B596" s="81"/>
      <c r="C596" s="82"/>
      <c r="D596" s="81"/>
      <c r="E596" s="81"/>
      <c r="F596" s="81"/>
      <c r="G596" s="80" t="s">
        <v>61</v>
      </c>
      <c r="H596" s="122">
        <f>H592</f>
        <v>4048.65</v>
      </c>
      <c r="I596" s="83">
        <f>I592</f>
        <v>4992.51</v>
      </c>
      <c r="J596" s="86">
        <v>4371.55</v>
      </c>
    </row>
    <row r="597" spans="1:9" s="124" customFormat="1" ht="15.75">
      <c r="A597" s="124" t="s">
        <v>229</v>
      </c>
      <c r="B597" s="126"/>
      <c r="C597" s="127" t="s">
        <v>624</v>
      </c>
      <c r="D597" s="127"/>
      <c r="E597" s="127"/>
      <c r="F597" s="127"/>
      <c r="G597" s="127"/>
      <c r="H597" s="127"/>
      <c r="I597" s="125"/>
    </row>
    <row r="598" spans="1:9" s="105" customFormat="1" ht="28.5">
      <c r="A598" s="105" t="s">
        <v>230</v>
      </c>
      <c r="B598" s="105" t="s">
        <v>625</v>
      </c>
      <c r="C598" s="105" t="s">
        <v>626</v>
      </c>
      <c r="D598" s="105" t="s">
        <v>0</v>
      </c>
      <c r="E598" s="105">
        <v>837.67</v>
      </c>
      <c r="F598" s="107">
        <f>TRUNC(G605,2)</f>
        <v>58.99</v>
      </c>
      <c r="G598" s="128">
        <f>TRUNC(F598*1.2338,2)</f>
        <v>72.78</v>
      </c>
      <c r="H598" s="128">
        <f>TRUNC(F598*E598,2)</f>
        <v>49414.15</v>
      </c>
      <c r="I598" s="129">
        <f>TRUNC(E598*G598,2)</f>
        <v>60965.62</v>
      </c>
    </row>
    <row r="599" spans="2:9" s="65" customFormat="1" ht="28.5">
      <c r="B599" s="65" t="s">
        <v>627</v>
      </c>
      <c r="C599" s="65" t="s">
        <v>628</v>
      </c>
      <c r="D599" s="65" t="s">
        <v>629</v>
      </c>
      <c r="E599" s="65">
        <v>4.15</v>
      </c>
      <c r="F599" s="66">
        <f>TRUNC(2.16,2)</f>
        <v>2.16</v>
      </c>
      <c r="G599" s="62">
        <f aca="true" t="shared" si="13" ref="G599:G604">TRUNC(E599*F599,2)</f>
        <v>8.96</v>
      </c>
      <c r="H599" s="62"/>
      <c r="I599" s="63"/>
    </row>
    <row r="600" spans="2:9" s="65" customFormat="1" ht="28.5">
      <c r="B600" s="65" t="s">
        <v>630</v>
      </c>
      <c r="C600" s="65" t="s">
        <v>631</v>
      </c>
      <c r="D600" s="65" t="s">
        <v>0</v>
      </c>
      <c r="E600" s="65">
        <v>1.166</v>
      </c>
      <c r="F600" s="66">
        <f>TRUNC(38.8,2)</f>
        <v>38.8</v>
      </c>
      <c r="G600" s="62">
        <f t="shared" si="13"/>
        <v>45.24</v>
      </c>
      <c r="H600" s="62"/>
      <c r="I600" s="63"/>
    </row>
    <row r="601" spans="2:9" s="65" customFormat="1" ht="14.25">
      <c r="B601" s="65" t="s">
        <v>632</v>
      </c>
      <c r="C601" s="65" t="s">
        <v>633</v>
      </c>
      <c r="D601" s="65" t="s">
        <v>6</v>
      </c>
      <c r="E601" s="65">
        <v>0.091</v>
      </c>
      <c r="F601" s="66">
        <f>TRUNC(27.01,2)</f>
        <v>27.01</v>
      </c>
      <c r="G601" s="62">
        <f t="shared" si="13"/>
        <v>2.45</v>
      </c>
      <c r="H601" s="62"/>
      <c r="I601" s="63"/>
    </row>
    <row r="602" spans="2:9" s="65" customFormat="1" ht="14.25">
      <c r="B602" s="65" t="s">
        <v>234</v>
      </c>
      <c r="C602" s="65" t="s">
        <v>99</v>
      </c>
      <c r="D602" s="65" t="s">
        <v>6</v>
      </c>
      <c r="E602" s="65">
        <v>0.097</v>
      </c>
      <c r="F602" s="66">
        <f>TRUNC(23.42,2)</f>
        <v>23.42</v>
      </c>
      <c r="G602" s="62">
        <f t="shared" si="13"/>
        <v>2.27</v>
      </c>
      <c r="H602" s="62"/>
      <c r="I602" s="63"/>
    </row>
    <row r="603" spans="2:9" s="65" customFormat="1" ht="28.5">
      <c r="B603" s="65" t="s">
        <v>634</v>
      </c>
      <c r="C603" s="65" t="s">
        <v>635</v>
      </c>
      <c r="D603" s="65" t="s">
        <v>196</v>
      </c>
      <c r="E603" s="65">
        <v>0.0013</v>
      </c>
      <c r="F603" s="66">
        <f>TRUNC(34.07,2)</f>
        <v>34.07</v>
      </c>
      <c r="G603" s="62">
        <f t="shared" si="13"/>
        <v>0.04</v>
      </c>
      <c r="H603" s="62"/>
      <c r="I603" s="63"/>
    </row>
    <row r="604" spans="2:9" s="65" customFormat="1" ht="28.5">
      <c r="B604" s="65" t="s">
        <v>636</v>
      </c>
      <c r="C604" s="65" t="s">
        <v>637</v>
      </c>
      <c r="D604" s="65" t="s">
        <v>51</v>
      </c>
      <c r="E604" s="65">
        <v>0.0009</v>
      </c>
      <c r="F604" s="66">
        <f>TRUNC(35.05,2)</f>
        <v>35.05</v>
      </c>
      <c r="G604" s="62">
        <f t="shared" si="13"/>
        <v>0.03</v>
      </c>
      <c r="H604" s="62"/>
      <c r="I604" s="63"/>
    </row>
    <row r="605" spans="5:9" s="65" customFormat="1" ht="14.25">
      <c r="E605" s="65" t="s">
        <v>7</v>
      </c>
      <c r="F605" s="66"/>
      <c r="G605" s="62">
        <f>TRUNC(SUM(G599:G604),2)</f>
        <v>58.99</v>
      </c>
      <c r="H605" s="62"/>
      <c r="I605" s="63"/>
    </row>
    <row r="606" spans="1:9" s="105" customFormat="1" ht="42.75">
      <c r="A606" s="105" t="s">
        <v>743</v>
      </c>
      <c r="B606" s="105" t="s">
        <v>638</v>
      </c>
      <c r="C606" s="105" t="s">
        <v>639</v>
      </c>
      <c r="D606" s="105" t="s">
        <v>3</v>
      </c>
      <c r="E606" s="105">
        <v>39.7</v>
      </c>
      <c r="F606" s="107">
        <f>TRUNC(66.29004,2)</f>
        <v>66.29</v>
      </c>
      <c r="G606" s="128">
        <f>TRUNC(F606*1.2338,2)</f>
        <v>81.78</v>
      </c>
      <c r="H606" s="128">
        <f>TRUNC(F606*E606,2)</f>
        <v>2631.71</v>
      </c>
      <c r="I606" s="129">
        <f>TRUNC(E606*G606,2)</f>
        <v>3246.66</v>
      </c>
    </row>
    <row r="607" spans="2:9" s="65" customFormat="1" ht="28.5">
      <c r="B607" s="65" t="s">
        <v>640</v>
      </c>
      <c r="C607" s="65" t="s">
        <v>641</v>
      </c>
      <c r="D607" s="65" t="s">
        <v>3</v>
      </c>
      <c r="E607" s="65">
        <v>1.1</v>
      </c>
      <c r="F607" s="66">
        <f>TRUNC(41.47,2)</f>
        <v>41.47</v>
      </c>
      <c r="G607" s="62">
        <f>TRUNC(E607*F607,2)</f>
        <v>45.61</v>
      </c>
      <c r="H607" s="62"/>
      <c r="I607" s="63"/>
    </row>
    <row r="608" spans="2:9" s="65" customFormat="1" ht="28.5">
      <c r="B608" s="65" t="s">
        <v>642</v>
      </c>
      <c r="C608" s="65" t="s">
        <v>643</v>
      </c>
      <c r="D608" s="65" t="s">
        <v>12</v>
      </c>
      <c r="E608" s="65">
        <v>3</v>
      </c>
      <c r="F608" s="66">
        <f>TRUNC(3.4,2)</f>
        <v>3.4</v>
      </c>
      <c r="G608" s="62">
        <f>TRUNC(E608*F608,2)</f>
        <v>10.2</v>
      </c>
      <c r="H608" s="62"/>
      <c r="I608" s="63"/>
    </row>
    <row r="609" spans="2:9" s="65" customFormat="1" ht="28.5">
      <c r="B609" s="65" t="s">
        <v>132</v>
      </c>
      <c r="C609" s="65" t="s">
        <v>133</v>
      </c>
      <c r="D609" s="65" t="s">
        <v>6</v>
      </c>
      <c r="E609" s="65">
        <v>0.20600000000000002</v>
      </c>
      <c r="F609" s="66">
        <f>TRUNC(16.55,2)</f>
        <v>16.55</v>
      </c>
      <c r="G609" s="62">
        <f>TRUNC(E609*F609,2)</f>
        <v>3.4</v>
      </c>
      <c r="H609" s="62"/>
      <c r="I609" s="63"/>
    </row>
    <row r="610" spans="2:9" s="65" customFormat="1" ht="28.5">
      <c r="B610" s="65" t="s">
        <v>143</v>
      </c>
      <c r="C610" s="65" t="s">
        <v>144</v>
      </c>
      <c r="D610" s="65" t="s">
        <v>6</v>
      </c>
      <c r="E610" s="65">
        <v>0.309</v>
      </c>
      <c r="F610" s="66">
        <f>TRUNC(22.86,2)</f>
        <v>22.86</v>
      </c>
      <c r="G610" s="62">
        <f>TRUNC(E610*F610,2)</f>
        <v>7.06</v>
      </c>
      <c r="H610" s="62"/>
      <c r="I610" s="63"/>
    </row>
    <row r="611" spans="5:9" s="65" customFormat="1" ht="14.25">
      <c r="E611" s="65" t="s">
        <v>7</v>
      </c>
      <c r="F611" s="66"/>
      <c r="G611" s="62">
        <f>TRUNC(SUM(G607:G610),2)</f>
        <v>66.27</v>
      </c>
      <c r="H611" s="62"/>
      <c r="I611" s="63"/>
    </row>
    <row r="612" spans="1:10" s="86" customFormat="1" ht="15.75">
      <c r="A612" s="80" t="s">
        <v>52</v>
      </c>
      <c r="B612" s="81"/>
      <c r="C612" s="82"/>
      <c r="D612" s="81"/>
      <c r="E612" s="81"/>
      <c r="F612" s="81"/>
      <c r="G612" s="80" t="s">
        <v>61</v>
      </c>
      <c r="H612" s="83">
        <f>H606+H598</f>
        <v>52045.86</v>
      </c>
      <c r="I612" s="83">
        <f>I606+I598</f>
        <v>64212.28</v>
      </c>
      <c r="J612" s="86">
        <v>4371.55</v>
      </c>
    </row>
    <row r="613" spans="1:9" s="124" customFormat="1" ht="15.75">
      <c r="A613" s="124" t="s">
        <v>744</v>
      </c>
      <c r="B613" s="126"/>
      <c r="C613" s="127" t="s">
        <v>644</v>
      </c>
      <c r="D613" s="127"/>
      <c r="E613" s="127"/>
      <c r="F613" s="127"/>
      <c r="G613" s="127"/>
      <c r="H613" s="127"/>
      <c r="I613" s="125"/>
    </row>
    <row r="614" spans="1:9" s="105" customFormat="1" ht="42.75">
      <c r="A614" s="105" t="s">
        <v>745</v>
      </c>
      <c r="B614" s="105" t="s">
        <v>645</v>
      </c>
      <c r="C614" s="105" t="s">
        <v>646</v>
      </c>
      <c r="D614" s="105" t="s">
        <v>1</v>
      </c>
      <c r="E614" s="105">
        <v>13.08</v>
      </c>
      <c r="F614" s="107">
        <f>TRUNC(G616,2)</f>
        <v>57.95</v>
      </c>
      <c r="G614" s="128">
        <f>TRUNC(F614*1.2338,2)</f>
        <v>71.49</v>
      </c>
      <c r="H614" s="128">
        <f>TRUNC(F614*E614,2)</f>
        <v>757.98</v>
      </c>
      <c r="I614" s="129">
        <f>TRUNC(E614*G614,2)</f>
        <v>935.08</v>
      </c>
    </row>
    <row r="615" spans="2:9" s="65" customFormat="1" ht="28.5">
      <c r="B615" s="65" t="s">
        <v>132</v>
      </c>
      <c r="C615" s="65" t="s">
        <v>133</v>
      </c>
      <c r="D615" s="65" t="s">
        <v>6</v>
      </c>
      <c r="E615" s="65">
        <v>3.502</v>
      </c>
      <c r="F615" s="66">
        <f>TRUNC(16.55,2)</f>
        <v>16.55</v>
      </c>
      <c r="G615" s="62">
        <f>TRUNC(E615*F615,2)</f>
        <v>57.95</v>
      </c>
      <c r="H615" s="62"/>
      <c r="I615" s="63"/>
    </row>
    <row r="616" spans="5:9" s="65" customFormat="1" ht="14.25">
      <c r="E616" s="65" t="s">
        <v>7</v>
      </c>
      <c r="F616" s="66"/>
      <c r="G616" s="62">
        <f>TRUNC(SUM(G615:G615),2)</f>
        <v>57.95</v>
      </c>
      <c r="H616" s="62"/>
      <c r="I616" s="63"/>
    </row>
    <row r="617" spans="1:9" s="105" customFormat="1" ht="28.5">
      <c r="A617" s="105" t="s">
        <v>746</v>
      </c>
      <c r="B617" s="105" t="s">
        <v>647</v>
      </c>
      <c r="C617" s="105" t="s">
        <v>648</v>
      </c>
      <c r="D617" s="105" t="s">
        <v>3</v>
      </c>
      <c r="E617" s="105">
        <v>25.92</v>
      </c>
      <c r="F617" s="107">
        <f>TRUNC(G622,2)</f>
        <v>139.03</v>
      </c>
      <c r="G617" s="128">
        <f>TRUNC(F617*1.2338,2)</f>
        <v>171.53</v>
      </c>
      <c r="H617" s="128">
        <f>TRUNC(F617*E617,2)</f>
        <v>3603.65</v>
      </c>
      <c r="I617" s="129">
        <f>TRUNC(E617*G617,2)</f>
        <v>4446.05</v>
      </c>
    </row>
    <row r="618" spans="2:9" s="65" customFormat="1" ht="14.25">
      <c r="B618" s="65" t="s">
        <v>649</v>
      </c>
      <c r="C618" s="65" t="s">
        <v>650</v>
      </c>
      <c r="D618" s="65" t="s">
        <v>3</v>
      </c>
      <c r="E618" s="65">
        <v>1.05</v>
      </c>
      <c r="F618" s="66">
        <f>TRUNC(126.61,2)</f>
        <v>126.61</v>
      </c>
      <c r="G618" s="62">
        <f>TRUNC(E618*F618,2)</f>
        <v>132.94</v>
      </c>
      <c r="H618" s="62"/>
      <c r="I618" s="63"/>
    </row>
    <row r="619" spans="2:9" s="65" customFormat="1" ht="28.5">
      <c r="B619" s="65" t="s">
        <v>651</v>
      </c>
      <c r="C619" s="65" t="s">
        <v>652</v>
      </c>
      <c r="D619" s="65" t="s">
        <v>12</v>
      </c>
      <c r="E619" s="65">
        <v>0.0167</v>
      </c>
      <c r="F619" s="66">
        <f>TRUNC(25.56,2)</f>
        <v>25.56</v>
      </c>
      <c r="G619" s="62">
        <f>TRUNC(E619*F619,2)</f>
        <v>0.42</v>
      </c>
      <c r="H619" s="62"/>
      <c r="I619" s="63"/>
    </row>
    <row r="620" spans="2:9" s="65" customFormat="1" ht="14.25">
      <c r="B620" s="65" t="s">
        <v>234</v>
      </c>
      <c r="C620" s="65" t="s">
        <v>99</v>
      </c>
      <c r="D620" s="65" t="s">
        <v>6</v>
      </c>
      <c r="E620" s="65">
        <v>0.103</v>
      </c>
      <c r="F620" s="66">
        <f>TRUNC(23.42,2)</f>
        <v>23.42</v>
      </c>
      <c r="G620" s="62">
        <f>TRUNC(E620*F620,2)</f>
        <v>2.41</v>
      </c>
      <c r="H620" s="62"/>
      <c r="I620" s="63"/>
    </row>
    <row r="621" spans="2:9" s="65" customFormat="1" ht="14.25">
      <c r="B621" s="65" t="s">
        <v>653</v>
      </c>
      <c r="C621" s="65" t="s">
        <v>654</v>
      </c>
      <c r="D621" s="65" t="s">
        <v>6</v>
      </c>
      <c r="E621" s="65">
        <v>0.103</v>
      </c>
      <c r="F621" s="66">
        <f>TRUNC(31.72,2)</f>
        <v>31.72</v>
      </c>
      <c r="G621" s="62">
        <f>TRUNC(E621*F621,2)</f>
        <v>3.26</v>
      </c>
      <c r="H621" s="62"/>
      <c r="I621" s="63"/>
    </row>
    <row r="622" spans="5:9" s="65" customFormat="1" ht="14.25">
      <c r="E622" s="65" t="s">
        <v>7</v>
      </c>
      <c r="F622" s="66"/>
      <c r="G622" s="62">
        <f>TRUNC(SUM(G618:G621),2)</f>
        <v>139.03</v>
      </c>
      <c r="H622" s="62"/>
      <c r="I622" s="63"/>
    </row>
    <row r="623" spans="1:9" s="105" customFormat="1" ht="28.5">
      <c r="A623" s="105" t="s">
        <v>747</v>
      </c>
      <c r="B623" s="105" t="s">
        <v>655</v>
      </c>
      <c r="C623" s="105" t="s">
        <v>656</v>
      </c>
      <c r="D623" s="105" t="s">
        <v>3</v>
      </c>
      <c r="E623" s="105">
        <v>48.61</v>
      </c>
      <c r="F623" s="107">
        <f>TRUNC(G628,2)</f>
        <v>93.82</v>
      </c>
      <c r="G623" s="128">
        <f>TRUNC(F623*1.2338,2)</f>
        <v>115.75</v>
      </c>
      <c r="H623" s="128">
        <f>TRUNC(F623*E623,2)</f>
        <v>4560.59</v>
      </c>
      <c r="I623" s="129">
        <f>TRUNC(E623*G623,2)</f>
        <v>5626.6</v>
      </c>
    </row>
    <row r="624" spans="2:9" s="65" customFormat="1" ht="14.25">
      <c r="B624" s="65" t="s">
        <v>657</v>
      </c>
      <c r="C624" s="65" t="s">
        <v>658</v>
      </c>
      <c r="D624" s="65" t="s">
        <v>3</v>
      </c>
      <c r="E624" s="65">
        <v>1.05</v>
      </c>
      <c r="F624" s="66">
        <f>TRUNC(84.34,2)</f>
        <v>84.34</v>
      </c>
      <c r="G624" s="62">
        <f>TRUNC(E624*F624,2)</f>
        <v>88.55</v>
      </c>
      <c r="H624" s="62"/>
      <c r="I624" s="63"/>
    </row>
    <row r="625" spans="2:9" s="65" customFormat="1" ht="28.5">
      <c r="B625" s="65" t="s">
        <v>651</v>
      </c>
      <c r="C625" s="65" t="s">
        <v>652</v>
      </c>
      <c r="D625" s="65" t="s">
        <v>12</v>
      </c>
      <c r="E625" s="65">
        <v>0.0146</v>
      </c>
      <c r="F625" s="66">
        <f>TRUNC(25.56,2)</f>
        <v>25.56</v>
      </c>
      <c r="G625" s="62">
        <f>TRUNC(E625*F625,2)</f>
        <v>0.37</v>
      </c>
      <c r="H625" s="62"/>
      <c r="I625" s="63"/>
    </row>
    <row r="626" spans="2:9" s="65" customFormat="1" ht="14.25">
      <c r="B626" s="65" t="s">
        <v>234</v>
      </c>
      <c r="C626" s="65" t="s">
        <v>99</v>
      </c>
      <c r="D626" s="65" t="s">
        <v>6</v>
      </c>
      <c r="E626" s="65">
        <v>0.0892</v>
      </c>
      <c r="F626" s="66">
        <f>TRUNC(23.42,2)</f>
        <v>23.42</v>
      </c>
      <c r="G626" s="62">
        <f>TRUNC(E626*F626,2)</f>
        <v>2.08</v>
      </c>
      <c r="H626" s="62"/>
      <c r="I626" s="63"/>
    </row>
    <row r="627" spans="2:9" s="65" customFormat="1" ht="14.25">
      <c r="B627" s="65" t="s">
        <v>653</v>
      </c>
      <c r="C627" s="65" t="s">
        <v>654</v>
      </c>
      <c r="D627" s="65" t="s">
        <v>6</v>
      </c>
      <c r="E627" s="65">
        <v>0.0892</v>
      </c>
      <c r="F627" s="66">
        <f>TRUNC(31.72,2)</f>
        <v>31.72</v>
      </c>
      <c r="G627" s="62">
        <f>TRUNC(E627*F627,2)</f>
        <v>2.82</v>
      </c>
      <c r="H627" s="62"/>
      <c r="I627" s="63"/>
    </row>
    <row r="628" spans="5:9" s="65" customFormat="1" ht="14.25">
      <c r="E628" s="65" t="s">
        <v>7</v>
      </c>
      <c r="F628" s="66"/>
      <c r="G628" s="62">
        <f>TRUNC(SUM(G624:G627),2)</f>
        <v>93.82</v>
      </c>
      <c r="H628" s="62"/>
      <c r="I628" s="63"/>
    </row>
    <row r="629" spans="1:9" s="105" customFormat="1" ht="28.5">
      <c r="A629" s="105" t="s">
        <v>748</v>
      </c>
      <c r="B629" s="105" t="s">
        <v>659</v>
      </c>
      <c r="C629" s="105" t="s">
        <v>660</v>
      </c>
      <c r="D629" s="105" t="s">
        <v>3</v>
      </c>
      <c r="E629" s="105">
        <v>37</v>
      </c>
      <c r="F629" s="107">
        <f>TRUNC(G636,2)</f>
        <v>85.77</v>
      </c>
      <c r="G629" s="128">
        <f>TRUNC(F629*1.2338,2)</f>
        <v>105.82</v>
      </c>
      <c r="H629" s="128">
        <f>TRUNC(F629*E629,2)</f>
        <v>3173.49</v>
      </c>
      <c r="I629" s="129">
        <f>TRUNC(E629*G629,2)</f>
        <v>3915.34</v>
      </c>
    </row>
    <row r="630" spans="2:9" s="65" customFormat="1" ht="14.25">
      <c r="B630" s="65" t="s">
        <v>661</v>
      </c>
      <c r="C630" s="65" t="s">
        <v>662</v>
      </c>
      <c r="D630" s="65" t="s">
        <v>12</v>
      </c>
      <c r="E630" s="65">
        <v>0.037</v>
      </c>
      <c r="F630" s="66">
        <f>TRUNC(1.72,2)</f>
        <v>1.72</v>
      </c>
      <c r="G630" s="62">
        <f aca="true" t="shared" si="14" ref="G630:G635">TRUNC(E630*F630,2)</f>
        <v>0.06</v>
      </c>
      <c r="H630" s="62"/>
      <c r="I630" s="63"/>
    </row>
    <row r="631" spans="2:9" s="65" customFormat="1" ht="14.25">
      <c r="B631" s="65" t="s">
        <v>663</v>
      </c>
      <c r="C631" s="65" t="s">
        <v>664</v>
      </c>
      <c r="D631" s="65" t="s">
        <v>12</v>
      </c>
      <c r="E631" s="65">
        <v>0.0102</v>
      </c>
      <c r="F631" s="66">
        <f>TRUNC(60.64,2)</f>
        <v>60.64</v>
      </c>
      <c r="G631" s="62">
        <f t="shared" si="14"/>
        <v>0.61</v>
      </c>
      <c r="H631" s="62"/>
      <c r="I631" s="63"/>
    </row>
    <row r="632" spans="2:9" s="65" customFormat="1" ht="28.5">
      <c r="B632" s="65" t="s">
        <v>665</v>
      </c>
      <c r="C632" s="65" t="s">
        <v>666</v>
      </c>
      <c r="D632" s="65" t="s">
        <v>3</v>
      </c>
      <c r="E632" s="65">
        <v>1.04</v>
      </c>
      <c r="F632" s="66">
        <f>TRUNC(72.43,2)</f>
        <v>72.43</v>
      </c>
      <c r="G632" s="62">
        <f t="shared" si="14"/>
        <v>75.32</v>
      </c>
      <c r="H632" s="62"/>
      <c r="I632" s="63"/>
    </row>
    <row r="633" spans="2:9" s="65" customFormat="1" ht="14.25">
      <c r="B633" s="65" t="s">
        <v>667</v>
      </c>
      <c r="C633" s="65" t="s">
        <v>668</v>
      </c>
      <c r="D633" s="65" t="s">
        <v>12</v>
      </c>
      <c r="E633" s="65">
        <v>0.0062</v>
      </c>
      <c r="F633" s="66">
        <f>TRUNC(69.83,2)</f>
        <v>69.83</v>
      </c>
      <c r="G633" s="62">
        <f t="shared" si="14"/>
        <v>0.43</v>
      </c>
      <c r="H633" s="62"/>
      <c r="I633" s="63"/>
    </row>
    <row r="634" spans="2:9" s="65" customFormat="1" ht="14.25">
      <c r="B634" s="65" t="s">
        <v>669</v>
      </c>
      <c r="C634" s="65" t="s">
        <v>670</v>
      </c>
      <c r="D634" s="65" t="s">
        <v>6</v>
      </c>
      <c r="E634" s="65">
        <v>0.18</v>
      </c>
      <c r="F634" s="66">
        <f>TRUNC(29.32,2)</f>
        <v>29.32</v>
      </c>
      <c r="G634" s="62">
        <f t="shared" si="14"/>
        <v>5.27</v>
      </c>
      <c r="H634" s="62"/>
      <c r="I634" s="63"/>
    </row>
    <row r="635" spans="2:9" s="65" customFormat="1" ht="28.5">
      <c r="B635" s="65" t="s">
        <v>671</v>
      </c>
      <c r="C635" s="65" t="s">
        <v>672</v>
      </c>
      <c r="D635" s="65" t="s">
        <v>6</v>
      </c>
      <c r="E635" s="65">
        <v>0.18</v>
      </c>
      <c r="F635" s="66">
        <f>TRUNC(22.69,2)</f>
        <v>22.69</v>
      </c>
      <c r="G635" s="62">
        <f t="shared" si="14"/>
        <v>4.08</v>
      </c>
      <c r="H635" s="62"/>
      <c r="I635" s="63"/>
    </row>
    <row r="636" spans="5:9" s="65" customFormat="1" ht="14.25">
      <c r="E636" s="65" t="s">
        <v>7</v>
      </c>
      <c r="F636" s="66"/>
      <c r="G636" s="62">
        <f>TRUNC(SUM(G630:G635),2)</f>
        <v>85.77</v>
      </c>
      <c r="H636" s="62"/>
      <c r="I636" s="63"/>
    </row>
    <row r="637" spans="1:9" s="105" customFormat="1" ht="85.5">
      <c r="A637" s="105" t="s">
        <v>749</v>
      </c>
      <c r="B637" s="105" t="s">
        <v>681</v>
      </c>
      <c r="C637" s="105" t="s">
        <v>673</v>
      </c>
      <c r="D637" s="105" t="s">
        <v>12</v>
      </c>
      <c r="E637" s="105">
        <v>6</v>
      </c>
      <c r="F637" s="107">
        <f>TRUNC(G645,2)</f>
        <v>697.95</v>
      </c>
      <c r="G637" s="128">
        <f>TRUNC(F637*1.2338,2)</f>
        <v>861.13</v>
      </c>
      <c r="H637" s="128">
        <f>TRUNC(F637*E637,2)</f>
        <v>4187.7</v>
      </c>
      <c r="I637" s="129">
        <f>TRUNC(E637*G637,2)</f>
        <v>5166.78</v>
      </c>
    </row>
    <row r="638" spans="2:9" s="65" customFormat="1" ht="14.25">
      <c r="B638" s="65" t="s">
        <v>674</v>
      </c>
      <c r="C638" s="65" t="s">
        <v>675</v>
      </c>
      <c r="D638" s="65" t="s">
        <v>3</v>
      </c>
      <c r="E638" s="65">
        <v>1.4</v>
      </c>
      <c r="F638" s="66">
        <f>TRUNC(9.23,2)</f>
        <v>9.23</v>
      </c>
      <c r="G638" s="62">
        <f aca="true" t="shared" si="15" ref="G638:G644">TRUNC(E638*F638,2)</f>
        <v>12.92</v>
      </c>
      <c r="H638" s="62"/>
      <c r="I638" s="63"/>
    </row>
    <row r="639" spans="2:9" s="65" customFormat="1" ht="28.5">
      <c r="B639" s="65" t="s">
        <v>132</v>
      </c>
      <c r="C639" s="65" t="s">
        <v>133</v>
      </c>
      <c r="D639" s="65" t="s">
        <v>6</v>
      </c>
      <c r="E639" s="65">
        <v>3.0282</v>
      </c>
      <c r="F639" s="66">
        <f>TRUNC(16.55,2)</f>
        <v>16.55</v>
      </c>
      <c r="G639" s="62">
        <f t="shared" si="15"/>
        <v>50.11</v>
      </c>
      <c r="H639" s="62"/>
      <c r="I639" s="63"/>
    </row>
    <row r="640" spans="2:9" s="65" customFormat="1" ht="28.5">
      <c r="B640" s="65" t="s">
        <v>143</v>
      </c>
      <c r="C640" s="65" t="s">
        <v>144</v>
      </c>
      <c r="D640" s="65" t="s">
        <v>6</v>
      </c>
      <c r="E640" s="65">
        <v>0.515</v>
      </c>
      <c r="F640" s="66">
        <f>TRUNC(22.86,2)</f>
        <v>22.86</v>
      </c>
      <c r="G640" s="62">
        <f t="shared" si="15"/>
        <v>11.77</v>
      </c>
      <c r="H640" s="62"/>
      <c r="I640" s="63"/>
    </row>
    <row r="641" spans="2:9" s="65" customFormat="1" ht="14.25">
      <c r="B641" s="65" t="s">
        <v>145</v>
      </c>
      <c r="C641" s="65" t="s">
        <v>146</v>
      </c>
      <c r="D641" s="65" t="s">
        <v>6</v>
      </c>
      <c r="E641" s="65">
        <v>5.0882000000000005</v>
      </c>
      <c r="F641" s="66">
        <f>TRUNC(22.86,2)</f>
        <v>22.86</v>
      </c>
      <c r="G641" s="62">
        <f t="shared" si="15"/>
        <v>116.31</v>
      </c>
      <c r="H641" s="62"/>
      <c r="I641" s="63"/>
    </row>
    <row r="642" spans="2:9" s="65" customFormat="1" ht="14.25">
      <c r="B642" s="65" t="s">
        <v>676</v>
      </c>
      <c r="C642" s="65" t="s">
        <v>677</v>
      </c>
      <c r="D642" s="65" t="s">
        <v>0</v>
      </c>
      <c r="E642" s="65">
        <v>2.52</v>
      </c>
      <c r="F642" s="66">
        <f>TRUNC(28.0612,2)</f>
        <v>28.06</v>
      </c>
      <c r="G642" s="62">
        <f t="shared" si="15"/>
        <v>70.71</v>
      </c>
      <c r="H642" s="62"/>
      <c r="I642" s="63"/>
    </row>
    <row r="643" spans="3:9" s="65" customFormat="1" ht="14.25">
      <c r="C643" s="65" t="s">
        <v>678</v>
      </c>
      <c r="D643" s="65" t="s">
        <v>0</v>
      </c>
      <c r="E643" s="65">
        <v>3.2</v>
      </c>
      <c r="F643" s="66">
        <f>TRUNC(G652,2)</f>
        <v>122.54</v>
      </c>
      <c r="G643" s="62">
        <f t="shared" si="15"/>
        <v>392.12</v>
      </c>
      <c r="H643" s="62"/>
      <c r="I643" s="63"/>
    </row>
    <row r="644" spans="2:9" s="65" customFormat="1" ht="14.25">
      <c r="B644" s="65" t="s">
        <v>679</v>
      </c>
      <c r="C644" s="65" t="s">
        <v>680</v>
      </c>
      <c r="D644" s="65" t="s">
        <v>1</v>
      </c>
      <c r="E644" s="65">
        <v>0.17</v>
      </c>
      <c r="F644" s="66">
        <f>TRUNC(258.9348,2)</f>
        <v>258.93</v>
      </c>
      <c r="G644" s="62">
        <f t="shared" si="15"/>
        <v>44.01</v>
      </c>
      <c r="H644" s="62"/>
      <c r="I644" s="63"/>
    </row>
    <row r="645" spans="5:9" s="65" customFormat="1" ht="14.25">
      <c r="E645" s="65" t="s">
        <v>7</v>
      </c>
      <c r="F645" s="66"/>
      <c r="G645" s="62">
        <f>TRUNC(SUM(G638:G644),2)</f>
        <v>697.95</v>
      </c>
      <c r="H645" s="62"/>
      <c r="I645" s="63"/>
    </row>
    <row r="646" spans="2:9" s="65" customFormat="1" ht="57">
      <c r="B646" s="65" t="s">
        <v>682</v>
      </c>
      <c r="C646" s="65" t="s">
        <v>683</v>
      </c>
      <c r="D646" s="65" t="s">
        <v>0</v>
      </c>
      <c r="E646" s="65">
        <v>1</v>
      </c>
      <c r="F646" s="66">
        <f>TRUNC(122.560827,2)</f>
        <v>122.56</v>
      </c>
      <c r="G646" s="62">
        <f aca="true" t="shared" si="16" ref="G646:G651">TRUNC(E646*F646,2)</f>
        <v>122.56</v>
      </c>
      <c r="H646" s="62"/>
      <c r="I646" s="63"/>
    </row>
    <row r="647" spans="2:9" s="65" customFormat="1" ht="14.25">
      <c r="B647" s="65" t="s">
        <v>684</v>
      </c>
      <c r="C647" s="65" t="s">
        <v>685</v>
      </c>
      <c r="D647" s="65" t="s">
        <v>12</v>
      </c>
      <c r="E647" s="65">
        <v>13</v>
      </c>
      <c r="F647" s="66">
        <f>TRUNC(3.25,2)</f>
        <v>3.25</v>
      </c>
      <c r="G647" s="62">
        <f t="shared" si="16"/>
        <v>42.25</v>
      </c>
      <c r="H647" s="62"/>
      <c r="I647" s="63"/>
    </row>
    <row r="648" spans="2:9" s="65" customFormat="1" ht="28.5">
      <c r="B648" s="65" t="s">
        <v>132</v>
      </c>
      <c r="C648" s="65" t="s">
        <v>133</v>
      </c>
      <c r="D648" s="65" t="s">
        <v>6</v>
      </c>
      <c r="E648" s="65">
        <v>1.03</v>
      </c>
      <c r="F648" s="66">
        <f>TRUNC(16.55,2)</f>
        <v>16.55</v>
      </c>
      <c r="G648" s="62">
        <f t="shared" si="16"/>
        <v>17.04</v>
      </c>
      <c r="H648" s="62"/>
      <c r="I648" s="63"/>
    </row>
    <row r="649" spans="2:9" s="65" customFormat="1" ht="14.25">
      <c r="B649" s="65" t="s">
        <v>145</v>
      </c>
      <c r="C649" s="65" t="s">
        <v>146</v>
      </c>
      <c r="D649" s="65" t="s">
        <v>6</v>
      </c>
      <c r="E649" s="65">
        <v>1.03</v>
      </c>
      <c r="F649" s="66">
        <f>TRUNC(22.86,2)</f>
        <v>22.86</v>
      </c>
      <c r="G649" s="62">
        <f t="shared" si="16"/>
        <v>23.54</v>
      </c>
      <c r="H649" s="62"/>
      <c r="I649" s="63"/>
    </row>
    <row r="650" spans="2:9" s="65" customFormat="1" ht="14.25">
      <c r="B650" s="65" t="s">
        <v>686</v>
      </c>
      <c r="C650" s="65" t="s">
        <v>687</v>
      </c>
      <c r="D650" s="65" t="s">
        <v>1</v>
      </c>
      <c r="E650" s="65">
        <v>0.11</v>
      </c>
      <c r="F650" s="66">
        <f>TRUNC(297.6517,2)</f>
        <v>297.65</v>
      </c>
      <c r="G650" s="62">
        <f t="shared" si="16"/>
        <v>32.74</v>
      </c>
      <c r="H650" s="62"/>
      <c r="I650" s="63"/>
    </row>
    <row r="651" spans="2:9" s="65" customFormat="1" ht="14.25">
      <c r="B651" s="65" t="s">
        <v>688</v>
      </c>
      <c r="C651" s="65" t="s">
        <v>689</v>
      </c>
      <c r="D651" s="65" t="s">
        <v>1</v>
      </c>
      <c r="E651" s="65">
        <v>0.02</v>
      </c>
      <c r="F651" s="66">
        <f>TRUNC(348.842,2)</f>
        <v>348.84</v>
      </c>
      <c r="G651" s="62">
        <f t="shared" si="16"/>
        <v>6.97</v>
      </c>
      <c r="H651" s="62"/>
      <c r="I651" s="63"/>
    </row>
    <row r="652" spans="5:9" s="65" customFormat="1" ht="14.25">
      <c r="E652" s="65" t="s">
        <v>7</v>
      </c>
      <c r="F652" s="66"/>
      <c r="G652" s="62">
        <f>TRUNC(SUM(G647:G651),2)</f>
        <v>122.54</v>
      </c>
      <c r="H652" s="62"/>
      <c r="I652" s="63"/>
    </row>
    <row r="653" spans="1:9" s="105" customFormat="1" ht="42.75">
      <c r="A653" s="105" t="s">
        <v>750</v>
      </c>
      <c r="B653" s="105" t="s">
        <v>690</v>
      </c>
      <c r="C653" s="105" t="s">
        <v>691</v>
      </c>
      <c r="D653" s="105" t="s">
        <v>3</v>
      </c>
      <c r="E653" s="105">
        <v>43.74</v>
      </c>
      <c r="F653" s="107">
        <f>TRUNC(G659,2)</f>
        <v>50.92</v>
      </c>
      <c r="G653" s="128">
        <f>TRUNC(F653*1.2338,2)</f>
        <v>62.82</v>
      </c>
      <c r="H653" s="128">
        <f>TRUNC(F653*E653,2)</f>
        <v>2227.24</v>
      </c>
      <c r="I653" s="129">
        <f>TRUNC(E653*G653,2)</f>
        <v>2747.74</v>
      </c>
    </row>
    <row r="654" spans="2:9" s="65" customFormat="1" ht="28.5">
      <c r="B654" s="65" t="s">
        <v>692</v>
      </c>
      <c r="C654" s="65" t="s">
        <v>693</v>
      </c>
      <c r="D654" s="65" t="s">
        <v>3</v>
      </c>
      <c r="E654" s="65">
        <v>1</v>
      </c>
      <c r="F654" s="66">
        <f>TRUNC(28.5,2)</f>
        <v>28.5</v>
      </c>
      <c r="G654" s="62">
        <f>TRUNC(E654*F654,2)</f>
        <v>28.5</v>
      </c>
      <c r="H654" s="62"/>
      <c r="I654" s="63"/>
    </row>
    <row r="655" spans="2:9" s="65" customFormat="1" ht="28.5">
      <c r="B655" s="65" t="s">
        <v>132</v>
      </c>
      <c r="C655" s="65" t="s">
        <v>133</v>
      </c>
      <c r="D655" s="65" t="s">
        <v>6</v>
      </c>
      <c r="E655" s="65">
        <v>0.41200000000000003</v>
      </c>
      <c r="F655" s="66">
        <f>TRUNC(16.55,2)</f>
        <v>16.55</v>
      </c>
      <c r="G655" s="62">
        <f>TRUNC(E655*F655,2)</f>
        <v>6.81</v>
      </c>
      <c r="H655" s="62"/>
      <c r="I655" s="63"/>
    </row>
    <row r="656" spans="2:9" s="65" customFormat="1" ht="14.25">
      <c r="B656" s="65" t="s">
        <v>145</v>
      </c>
      <c r="C656" s="65" t="s">
        <v>146</v>
      </c>
      <c r="D656" s="65" t="s">
        <v>6</v>
      </c>
      <c r="E656" s="65">
        <v>0.41200000000000003</v>
      </c>
      <c r="F656" s="66">
        <f>TRUNC(22.86,2)</f>
        <v>22.86</v>
      </c>
      <c r="G656" s="62">
        <f>TRUNC(E656*F656,2)</f>
        <v>9.41</v>
      </c>
      <c r="H656" s="62"/>
      <c r="I656" s="63"/>
    </row>
    <row r="657" spans="2:9" s="65" customFormat="1" ht="28.5">
      <c r="B657" s="65" t="s">
        <v>694</v>
      </c>
      <c r="C657" s="65" t="s">
        <v>695</v>
      </c>
      <c r="D657" s="65" t="s">
        <v>6</v>
      </c>
      <c r="E657" s="65">
        <v>0.0824</v>
      </c>
      <c r="F657" s="66">
        <f>TRUNC(24.61,2)</f>
        <v>24.61</v>
      </c>
      <c r="G657" s="62">
        <f>TRUNC(E657*F657,2)</f>
        <v>2.02</v>
      </c>
      <c r="H657" s="62"/>
      <c r="I657" s="63"/>
    </row>
    <row r="658" spans="2:9" s="65" customFormat="1" ht="14.25">
      <c r="B658" s="65" t="s">
        <v>688</v>
      </c>
      <c r="C658" s="65" t="s">
        <v>689</v>
      </c>
      <c r="D658" s="65" t="s">
        <v>1</v>
      </c>
      <c r="E658" s="65">
        <v>0.012</v>
      </c>
      <c r="F658" s="66">
        <f>TRUNC(348.842,2)</f>
        <v>348.84</v>
      </c>
      <c r="G658" s="62">
        <f>TRUNC(E658*F658,2)</f>
        <v>4.18</v>
      </c>
      <c r="H658" s="62"/>
      <c r="I658" s="63"/>
    </row>
    <row r="659" spans="5:9" s="65" customFormat="1" ht="14.25">
      <c r="E659" s="65" t="s">
        <v>7</v>
      </c>
      <c r="F659" s="66"/>
      <c r="G659" s="62">
        <f>TRUNC(SUM(G654:G658),2)</f>
        <v>50.92</v>
      </c>
      <c r="H659" s="62"/>
      <c r="I659" s="63"/>
    </row>
    <row r="660" spans="1:10" s="86" customFormat="1" ht="15.75">
      <c r="A660" s="80" t="s">
        <v>52</v>
      </c>
      <c r="B660" s="81"/>
      <c r="C660" s="82"/>
      <c r="D660" s="81"/>
      <c r="E660" s="81"/>
      <c r="F660" s="81"/>
      <c r="G660" s="80" t="s">
        <v>751</v>
      </c>
      <c r="H660" s="83">
        <f>H653+H637+H629+H623+H617+H614</f>
        <v>18510.65</v>
      </c>
      <c r="I660" s="83">
        <f>I653+I637+I629+I623+I617+I614</f>
        <v>22837.59</v>
      </c>
      <c r="J660" s="86">
        <v>4371.55</v>
      </c>
    </row>
    <row r="661" spans="1:9" s="43" customFormat="1" ht="15.75">
      <c r="A661" s="43">
        <v>10</v>
      </c>
      <c r="B661" s="51"/>
      <c r="C661" s="52" t="s">
        <v>68</v>
      </c>
      <c r="D661" s="52"/>
      <c r="E661" s="52"/>
      <c r="F661" s="52"/>
      <c r="G661" s="52"/>
      <c r="H661" s="52"/>
      <c r="I661" s="50"/>
    </row>
    <row r="662" spans="1:9" s="105" customFormat="1" ht="71.25">
      <c r="A662" s="105" t="s">
        <v>752</v>
      </c>
      <c r="B662" s="105" t="s">
        <v>211</v>
      </c>
      <c r="C662" s="105" t="s">
        <v>197</v>
      </c>
      <c r="D662" s="105" t="s">
        <v>12</v>
      </c>
      <c r="E662" s="105">
        <v>9</v>
      </c>
      <c r="F662" s="107">
        <f>TRUNC(G665,2)</f>
        <v>260.22</v>
      </c>
      <c r="G662" s="101">
        <f>TRUNC(F662*1.2338,2)</f>
        <v>321.05</v>
      </c>
      <c r="H662" s="101">
        <f>TRUNC(F662*E662,2)</f>
        <v>2341.98</v>
      </c>
      <c r="I662" s="102">
        <f>TRUNC(E662*G662,2)</f>
        <v>2889.45</v>
      </c>
    </row>
    <row r="663" spans="2:9" s="65" customFormat="1" ht="28.5">
      <c r="B663" s="65" t="s">
        <v>132</v>
      </c>
      <c r="C663" s="65" t="s">
        <v>133</v>
      </c>
      <c r="D663" s="65" t="s">
        <v>6</v>
      </c>
      <c r="E663" s="65">
        <v>0.618</v>
      </c>
      <c r="F663" s="66">
        <f>TRUNC(16.55,2)</f>
        <v>16.55</v>
      </c>
      <c r="G663" s="62">
        <f>TRUNC(E663*F663,2)</f>
        <v>10.22</v>
      </c>
      <c r="H663" s="62"/>
      <c r="I663" s="63"/>
    </row>
    <row r="664" spans="2:9" s="65" customFormat="1" ht="28.5">
      <c r="B664" s="65" t="s">
        <v>198</v>
      </c>
      <c r="C664" s="65" t="s">
        <v>258</v>
      </c>
      <c r="D664" s="65" t="s">
        <v>12</v>
      </c>
      <c r="E664" s="65">
        <v>1</v>
      </c>
      <c r="F664" s="66">
        <f>TRUNC(250,2)</f>
        <v>250</v>
      </c>
      <c r="G664" s="62">
        <f>TRUNC(E664*F664,2)</f>
        <v>250</v>
      </c>
      <c r="H664" s="62"/>
      <c r="I664" s="63"/>
    </row>
    <row r="665" spans="5:9" s="65" customFormat="1" ht="14.25">
      <c r="E665" s="65" t="s">
        <v>7</v>
      </c>
      <c r="F665" s="66"/>
      <c r="G665" s="62">
        <f>TRUNC(SUM(G663:G664),2)</f>
        <v>260.22</v>
      </c>
      <c r="H665" s="62"/>
      <c r="I665" s="63"/>
    </row>
    <row r="666" spans="1:10" s="44" customFormat="1" ht="15.75">
      <c r="A666" s="53" t="s">
        <v>52</v>
      </c>
      <c r="B666" s="55"/>
      <c r="C666" s="54"/>
      <c r="D666" s="55"/>
      <c r="E666" s="55"/>
      <c r="F666" s="55"/>
      <c r="G666" s="53" t="s">
        <v>231</v>
      </c>
      <c r="H666" s="120">
        <f>H662</f>
        <v>2341.98</v>
      </c>
      <c r="I666" s="57">
        <f>I662</f>
        <v>2889.45</v>
      </c>
      <c r="J666" s="44">
        <v>1289.36</v>
      </c>
    </row>
    <row r="667" spans="1:9" s="44" customFormat="1" ht="15.75">
      <c r="A667" s="53" t="s">
        <v>52</v>
      </c>
      <c r="B667" s="55"/>
      <c r="C667" s="54"/>
      <c r="D667" s="55"/>
      <c r="E667" s="55"/>
      <c r="F667" s="53" t="s">
        <v>62</v>
      </c>
      <c r="G667" s="55"/>
      <c r="H667" s="57">
        <f>H666+H660+H612+H596+H590+H551+H502+H453+H394+H71</f>
        <v>927520.7000000001</v>
      </c>
      <c r="I667" s="57">
        <f>I666+I660+I612+I596+I590+I551+I502+I453+I394+I71</f>
        <v>1144287.22</v>
      </c>
    </row>
    <row r="668" spans="1:9" s="44" customFormat="1" ht="15.75">
      <c r="A668" s="53"/>
      <c r="B668" s="55"/>
      <c r="C668" s="54"/>
      <c r="D668" s="55"/>
      <c r="E668" s="55"/>
      <c r="F668" s="55"/>
      <c r="G668" s="55"/>
      <c r="H668" s="56"/>
      <c r="I668" s="57"/>
    </row>
    <row r="670" ht="15">
      <c r="J670">
        <v>1289.36</v>
      </c>
    </row>
    <row r="671" ht="15">
      <c r="J671">
        <v>127706.14000000001</v>
      </c>
    </row>
    <row r="672" s="116" customFormat="1" ht="15">
      <c r="C672" s="117"/>
    </row>
    <row r="676" spans="2:7" ht="15">
      <c r="B676" s="113"/>
      <c r="C676" s="114"/>
      <c r="D676" s="114"/>
      <c r="E676" s="114"/>
      <c r="F676" s="115"/>
      <c r="G676" s="62"/>
    </row>
    <row r="677" spans="2:7" ht="15">
      <c r="B677" s="113"/>
      <c r="C677" s="114"/>
      <c r="D677" s="114"/>
      <c r="E677" s="114"/>
      <c r="F677" s="115"/>
      <c r="G677" s="62"/>
    </row>
    <row r="678" spans="2:7" ht="15">
      <c r="B678" s="113"/>
      <c r="C678" s="114"/>
      <c r="D678" s="114"/>
      <c r="E678" s="114"/>
      <c r="F678" s="115"/>
      <c r="G678" s="62"/>
    </row>
    <row r="679" spans="2:7" ht="15">
      <c r="B679" s="113"/>
      <c r="C679" s="114"/>
      <c r="D679" s="114"/>
      <c r="E679" s="114"/>
      <c r="F679" s="115"/>
      <c r="G679" s="62"/>
    </row>
    <row r="682" spans="6:9" s="105" customFormat="1" ht="14.25">
      <c r="F682" s="107"/>
      <c r="G682" s="101"/>
      <c r="H682" s="101"/>
      <c r="I682" s="102"/>
    </row>
    <row r="683" spans="6:9" s="109" customFormat="1" ht="14.25">
      <c r="F683" s="110"/>
      <c r="G683" s="111"/>
      <c r="H683" s="111"/>
      <c r="I683" s="112"/>
    </row>
    <row r="684" spans="6:9" s="109" customFormat="1" ht="14.25">
      <c r="F684" s="110"/>
      <c r="G684" s="111"/>
      <c r="H684" s="111"/>
      <c r="I684" s="112"/>
    </row>
    <row r="685" spans="6:9" s="109" customFormat="1" ht="14.25">
      <c r="F685" s="110"/>
      <c r="G685" s="111"/>
      <c r="H685" s="111"/>
      <c r="I685" s="112"/>
    </row>
    <row r="686" spans="6:9" s="109" customFormat="1" ht="14.25">
      <c r="F686" s="110"/>
      <c r="G686" s="111"/>
      <c r="H686" s="111"/>
      <c r="I686" s="112"/>
    </row>
    <row r="687" spans="6:9" s="109" customFormat="1" ht="14.25">
      <c r="F687" s="110"/>
      <c r="G687" s="111"/>
      <c r="H687" s="111"/>
      <c r="I687" s="112"/>
    </row>
    <row r="688" spans="6:9" s="109" customFormat="1" ht="14.25">
      <c r="F688" s="110"/>
      <c r="G688" s="111"/>
      <c r="H688" s="111"/>
      <c r="I688" s="112"/>
    </row>
  </sheetData>
  <sheetProtection/>
  <mergeCells count="13">
    <mergeCell ref="D3:G3"/>
    <mergeCell ref="D4:G4"/>
    <mergeCell ref="D5:G5"/>
    <mergeCell ref="D6:G6"/>
    <mergeCell ref="D7:G7"/>
    <mergeCell ref="D8:G8"/>
    <mergeCell ref="A9:G9"/>
    <mergeCell ref="A10:A11"/>
    <mergeCell ref="B10:B11"/>
    <mergeCell ref="C10:C11"/>
    <mergeCell ref="D10:D11"/>
    <mergeCell ref="E10:E11"/>
    <mergeCell ref="F10:I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39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zoomScale="70" zoomScaleSheetLayoutView="70" zoomScalePageLayoutView="0" workbookViewId="0" topLeftCell="A127">
      <selection activeCell="I131" sqref="I131"/>
    </sheetView>
  </sheetViews>
  <sheetFormatPr defaultColWidth="9.140625" defaultRowHeight="15"/>
  <cols>
    <col min="2" max="2" width="23.421875" style="0" customWidth="1"/>
    <col min="3" max="3" width="90.42187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0" max="10" width="32.8515625" style="0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46" t="s">
        <v>221</v>
      </c>
      <c r="E3" s="147"/>
      <c r="F3" s="147"/>
      <c r="G3" s="148"/>
    </row>
    <row r="4" spans="1:7" ht="15.75" customHeight="1">
      <c r="A4" s="9"/>
      <c r="B4" s="10"/>
      <c r="C4" s="16" t="s">
        <v>336</v>
      </c>
      <c r="D4" s="149" t="s">
        <v>761</v>
      </c>
      <c r="E4" s="150"/>
      <c r="F4" s="150"/>
      <c r="G4" s="151"/>
    </row>
    <row r="5" spans="1:7" ht="30" customHeight="1">
      <c r="A5" s="9"/>
      <c r="B5" s="10"/>
      <c r="C5" s="45" t="s">
        <v>373</v>
      </c>
      <c r="D5" s="152" t="s">
        <v>126</v>
      </c>
      <c r="E5" s="153"/>
      <c r="F5" s="153"/>
      <c r="G5" s="154"/>
    </row>
    <row r="6" spans="1:7" ht="15.75">
      <c r="A6" s="9"/>
      <c r="B6" s="10"/>
      <c r="C6" s="17" t="s">
        <v>758</v>
      </c>
      <c r="D6" s="155" t="s">
        <v>127</v>
      </c>
      <c r="E6" s="156"/>
      <c r="F6" s="156"/>
      <c r="G6" s="157"/>
    </row>
    <row r="7" spans="1:7" ht="15.75">
      <c r="A7" s="9"/>
      <c r="B7" s="10"/>
      <c r="C7" s="46"/>
      <c r="D7" s="155" t="s">
        <v>233</v>
      </c>
      <c r="E7" s="156"/>
      <c r="F7" s="156"/>
      <c r="G7" s="157"/>
    </row>
    <row r="8" spans="1:7" ht="15.75">
      <c r="A8" s="18"/>
      <c r="B8" s="19"/>
      <c r="C8" s="20"/>
      <c r="D8" s="158" t="s">
        <v>63</v>
      </c>
      <c r="E8" s="159"/>
      <c r="F8" s="159"/>
      <c r="G8" s="160"/>
    </row>
    <row r="9" spans="1:7" ht="15">
      <c r="A9" s="140" t="s">
        <v>762</v>
      </c>
      <c r="B9" s="141"/>
      <c r="C9" s="141"/>
      <c r="D9" s="141"/>
      <c r="E9" s="141"/>
      <c r="F9" s="141"/>
      <c r="G9" s="141"/>
    </row>
    <row r="10" spans="1:9" s="48" customFormat="1" ht="12.75" customHeight="1">
      <c r="A10" s="142" t="s">
        <v>30</v>
      </c>
      <c r="B10" s="143" t="s">
        <v>64</v>
      </c>
      <c r="C10" s="143" t="s">
        <v>31</v>
      </c>
      <c r="D10" s="142" t="s">
        <v>12</v>
      </c>
      <c r="E10" s="144" t="s">
        <v>32</v>
      </c>
      <c r="F10" s="145" t="s">
        <v>33</v>
      </c>
      <c r="G10" s="145"/>
      <c r="H10" s="145"/>
      <c r="I10" s="145"/>
    </row>
    <row r="11" spans="1:10" s="48" customFormat="1" ht="12.75" customHeight="1">
      <c r="A11" s="142"/>
      <c r="B11" s="143"/>
      <c r="C11" s="143"/>
      <c r="D11" s="142"/>
      <c r="E11" s="144"/>
      <c r="F11" s="49" t="s">
        <v>89</v>
      </c>
      <c r="G11" s="49" t="s">
        <v>90</v>
      </c>
      <c r="H11" s="49" t="s">
        <v>91</v>
      </c>
      <c r="I11" s="47" t="s">
        <v>92</v>
      </c>
      <c r="J11" s="48" t="s">
        <v>92</v>
      </c>
    </row>
    <row r="12" spans="1:9" s="124" customFormat="1" ht="15.75">
      <c r="A12" s="124" t="s">
        <v>18</v>
      </c>
      <c r="B12" s="126"/>
      <c r="C12" s="127" t="s">
        <v>19</v>
      </c>
      <c r="D12" s="127"/>
      <c r="E12" s="127"/>
      <c r="F12" s="127"/>
      <c r="G12" s="127"/>
      <c r="H12" s="127"/>
      <c r="I12" s="125"/>
    </row>
    <row r="13" spans="1:10" s="130" customFormat="1" ht="57">
      <c r="A13" s="95" t="s">
        <v>8</v>
      </c>
      <c r="B13" s="96" t="s">
        <v>131</v>
      </c>
      <c r="C13" s="97" t="s">
        <v>86</v>
      </c>
      <c r="D13" s="98" t="s">
        <v>0</v>
      </c>
      <c r="E13" s="99">
        <v>6</v>
      </c>
      <c r="F13" s="100">
        <f>TRUNC('NÃO DESONERADA'!F13,2)</f>
        <v>211.28</v>
      </c>
      <c r="G13" s="128">
        <f aca="true" t="shared" si="0" ref="G13:G22">TRUNC(F13*1.2338,2)</f>
        <v>260.67</v>
      </c>
      <c r="H13" s="128">
        <f aca="true" t="shared" si="1" ref="H13:H22">TRUNC(F13*E13,2)</f>
        <v>1267.68</v>
      </c>
      <c r="I13" s="129">
        <f aca="true" t="shared" si="2" ref="I13:I22">TRUNC(E13*G13,2)</f>
        <v>1564.02</v>
      </c>
      <c r="J13" s="130">
        <v>1390.02</v>
      </c>
    </row>
    <row r="14" spans="1:10" s="130" customFormat="1" ht="57">
      <c r="A14" s="95" t="s">
        <v>9</v>
      </c>
      <c r="B14" s="96" t="s">
        <v>136</v>
      </c>
      <c r="C14" s="97" t="s">
        <v>128</v>
      </c>
      <c r="D14" s="98" t="s">
        <v>0</v>
      </c>
      <c r="E14" s="99">
        <v>68.75</v>
      </c>
      <c r="F14" s="100">
        <f>TRUNC('NÃO DESONERADA'!F20,2)</f>
        <v>22.24</v>
      </c>
      <c r="G14" s="128">
        <f t="shared" si="0"/>
        <v>27.43</v>
      </c>
      <c r="H14" s="128">
        <f t="shared" si="1"/>
        <v>1529</v>
      </c>
      <c r="I14" s="129">
        <f t="shared" si="2"/>
        <v>1885.81</v>
      </c>
      <c r="J14" s="130">
        <v>407.55</v>
      </c>
    </row>
    <row r="15" spans="1:10" s="130" customFormat="1" ht="57">
      <c r="A15" s="95" t="s">
        <v>10</v>
      </c>
      <c r="B15" s="96" t="s">
        <v>137</v>
      </c>
      <c r="C15" s="97" t="s">
        <v>101</v>
      </c>
      <c r="D15" s="98" t="s">
        <v>0</v>
      </c>
      <c r="E15" s="99">
        <v>8</v>
      </c>
      <c r="F15" s="100">
        <f>TRUNC('NÃO DESONERADA'!F27,2)</f>
        <v>441.08</v>
      </c>
      <c r="G15" s="128">
        <f t="shared" si="0"/>
        <v>544.2</v>
      </c>
      <c r="H15" s="128">
        <f t="shared" si="1"/>
        <v>3528.64</v>
      </c>
      <c r="I15" s="129">
        <f t="shared" si="2"/>
        <v>4353.6</v>
      </c>
      <c r="J15" s="130">
        <v>3717.12</v>
      </c>
    </row>
    <row r="16" spans="1:10" s="130" customFormat="1" ht="28.5">
      <c r="A16" s="95" t="s">
        <v>11</v>
      </c>
      <c r="B16" s="96" t="s">
        <v>261</v>
      </c>
      <c r="C16" s="97" t="s">
        <v>245</v>
      </c>
      <c r="D16" s="98" t="s">
        <v>0</v>
      </c>
      <c r="E16" s="99">
        <v>123.2</v>
      </c>
      <c r="F16" s="100">
        <f>TRUNC('NÃO DESONERADA'!F46,2)</f>
        <v>17.04</v>
      </c>
      <c r="G16" s="128">
        <f t="shared" si="0"/>
        <v>21.02</v>
      </c>
      <c r="H16" s="128">
        <f t="shared" si="1"/>
        <v>2099.32</v>
      </c>
      <c r="I16" s="129">
        <f t="shared" si="2"/>
        <v>2589.66</v>
      </c>
      <c r="J16" s="130">
        <v>2237.31</v>
      </c>
    </row>
    <row r="17" spans="1:10" s="130" customFormat="1" ht="28.5">
      <c r="A17" s="95" t="s">
        <v>168</v>
      </c>
      <c r="B17" s="96" t="s">
        <v>268</v>
      </c>
      <c r="C17" s="97" t="s">
        <v>267</v>
      </c>
      <c r="D17" s="98" t="s">
        <v>12</v>
      </c>
      <c r="E17" s="99">
        <v>5</v>
      </c>
      <c r="F17" s="100">
        <f>TRUNC('NÃO DESONERADA'!F49,2)</f>
        <v>24.1</v>
      </c>
      <c r="G17" s="128">
        <f t="shared" si="0"/>
        <v>29.73</v>
      </c>
      <c r="H17" s="128">
        <f t="shared" si="1"/>
        <v>120.5</v>
      </c>
      <c r="I17" s="129">
        <f t="shared" si="2"/>
        <v>148.65</v>
      </c>
      <c r="J17" s="130">
        <v>128.4</v>
      </c>
    </row>
    <row r="18" spans="1:10" s="130" customFormat="1" ht="14.25">
      <c r="A18" s="95" t="s">
        <v>190</v>
      </c>
      <c r="B18" s="96" t="s">
        <v>277</v>
      </c>
      <c r="C18" s="97" t="s">
        <v>275</v>
      </c>
      <c r="D18" s="98" t="s">
        <v>0</v>
      </c>
      <c r="E18" s="99">
        <v>310.48</v>
      </c>
      <c r="F18" s="100">
        <f>TRUNC('NÃO DESONERADA'!F53,2)</f>
        <v>3.75</v>
      </c>
      <c r="G18" s="128">
        <f t="shared" si="0"/>
        <v>4.62</v>
      </c>
      <c r="H18" s="128">
        <f t="shared" si="1"/>
        <v>1164.3</v>
      </c>
      <c r="I18" s="129">
        <f t="shared" si="2"/>
        <v>1434.41</v>
      </c>
      <c r="J18" s="130">
        <v>1304.01</v>
      </c>
    </row>
    <row r="19" spans="1:10" s="130" customFormat="1" ht="28.5">
      <c r="A19" s="95" t="s">
        <v>367</v>
      </c>
      <c r="B19" s="96" t="s">
        <v>324</v>
      </c>
      <c r="C19" s="97" t="s">
        <v>244</v>
      </c>
      <c r="D19" s="98" t="s">
        <v>1</v>
      </c>
      <c r="E19" s="99">
        <v>0.19</v>
      </c>
      <c r="F19" s="100">
        <f>TRUNC('NÃO DESONERADA'!F57,2)</f>
        <v>232.8</v>
      </c>
      <c r="G19" s="128">
        <f t="shared" si="0"/>
        <v>287.22</v>
      </c>
      <c r="H19" s="128">
        <f t="shared" si="1"/>
        <v>44.23</v>
      </c>
      <c r="I19" s="129">
        <f t="shared" si="2"/>
        <v>54.57</v>
      </c>
      <c r="J19" s="130">
        <v>47.16</v>
      </c>
    </row>
    <row r="20" spans="1:10" s="130" customFormat="1" ht="28.5">
      <c r="A20" s="95" t="s">
        <v>323</v>
      </c>
      <c r="B20" s="96" t="s">
        <v>325</v>
      </c>
      <c r="C20" s="97" t="s">
        <v>326</v>
      </c>
      <c r="D20" s="98" t="s">
        <v>12</v>
      </c>
      <c r="E20" s="99">
        <v>4</v>
      </c>
      <c r="F20" s="100">
        <f>TRUNC('NÃO DESONERADA'!F61,2)</f>
        <v>105.71</v>
      </c>
      <c r="G20" s="128">
        <f t="shared" si="0"/>
        <v>130.42</v>
      </c>
      <c r="H20" s="128">
        <f t="shared" si="1"/>
        <v>422.84</v>
      </c>
      <c r="I20" s="129">
        <f t="shared" si="2"/>
        <v>521.68</v>
      </c>
      <c r="J20" s="130">
        <v>475.56</v>
      </c>
    </row>
    <row r="21" spans="1:9" s="130" customFormat="1" ht="42.75">
      <c r="A21" s="95" t="s">
        <v>327</v>
      </c>
      <c r="B21" s="96" t="s">
        <v>443</v>
      </c>
      <c r="C21" s="97" t="s">
        <v>441</v>
      </c>
      <c r="D21" s="98" t="s">
        <v>0</v>
      </c>
      <c r="E21" s="99">
        <v>67.85</v>
      </c>
      <c r="F21" s="100">
        <f>TRUNC('NÃO DESONERADA'!F64,2)</f>
        <v>11.93</v>
      </c>
      <c r="G21" s="128">
        <f t="shared" si="0"/>
        <v>14.71</v>
      </c>
      <c r="H21" s="128">
        <f t="shared" si="1"/>
        <v>809.45</v>
      </c>
      <c r="I21" s="129">
        <f t="shared" si="2"/>
        <v>998.07</v>
      </c>
    </row>
    <row r="22" spans="1:9" s="130" customFormat="1" ht="42.75">
      <c r="A22" s="95" t="s">
        <v>445</v>
      </c>
      <c r="B22" s="96" t="s">
        <v>444</v>
      </c>
      <c r="C22" s="97" t="s">
        <v>442</v>
      </c>
      <c r="D22" s="98" t="s">
        <v>1</v>
      </c>
      <c r="E22" s="99">
        <v>0.42</v>
      </c>
      <c r="F22" s="100">
        <f>TRUNC('NÃO DESONERADA'!F67,2)</f>
        <v>87.29</v>
      </c>
      <c r="G22" s="128">
        <f t="shared" si="0"/>
        <v>107.69</v>
      </c>
      <c r="H22" s="128">
        <f t="shared" si="1"/>
        <v>36.66</v>
      </c>
      <c r="I22" s="129">
        <f t="shared" si="2"/>
        <v>45.22</v>
      </c>
    </row>
    <row r="23" spans="1:10" s="44" customFormat="1" ht="15.75">
      <c r="A23" s="53" t="s">
        <v>52</v>
      </c>
      <c r="B23" s="55"/>
      <c r="C23" s="54"/>
      <c r="D23" s="55"/>
      <c r="E23" s="55"/>
      <c r="F23" s="55"/>
      <c r="G23" s="53" t="s">
        <v>56</v>
      </c>
      <c r="H23" s="57">
        <f>H17+H16+H15+H14+H13+H18+H19+H20+H21+H22</f>
        <v>11022.619999999999</v>
      </c>
      <c r="I23" s="57">
        <f>I17+I16+I15+I14+I13+I18+I19+I20+I21+I22</f>
        <v>13595.689999999999</v>
      </c>
      <c r="J23" s="44">
        <v>9707.13</v>
      </c>
    </row>
    <row r="24" spans="1:9" s="124" customFormat="1" ht="15.75">
      <c r="A24" s="124" t="s">
        <v>20</v>
      </c>
      <c r="B24" s="126"/>
      <c r="C24" s="127" t="s">
        <v>189</v>
      </c>
      <c r="D24" s="127"/>
      <c r="E24" s="127"/>
      <c r="F24" s="127"/>
      <c r="G24" s="127"/>
      <c r="H24" s="127"/>
      <c r="I24" s="125"/>
    </row>
    <row r="25" spans="1:9" s="131" customFormat="1" ht="15.75">
      <c r="A25" s="124" t="s">
        <v>439</v>
      </c>
      <c r="B25" s="126"/>
      <c r="C25" s="127" t="s">
        <v>438</v>
      </c>
      <c r="D25" s="127"/>
      <c r="E25" s="127"/>
      <c r="F25" s="127"/>
      <c r="G25" s="127"/>
      <c r="H25" s="127"/>
      <c r="I25" s="125"/>
    </row>
    <row r="26" spans="1:9" s="130" customFormat="1" ht="57">
      <c r="A26" s="95" t="s">
        <v>53</v>
      </c>
      <c r="B26" s="96" t="s">
        <v>446</v>
      </c>
      <c r="C26" s="97" t="s">
        <v>388</v>
      </c>
      <c r="D26" s="98" t="s">
        <v>3</v>
      </c>
      <c r="E26" s="99">
        <v>256</v>
      </c>
      <c r="F26" s="100">
        <f>TRUNC('NÃO DESONERADA'!F74,2)</f>
        <v>363.67</v>
      </c>
      <c r="G26" s="128">
        <f aca="true" t="shared" si="3" ref="G26:G38">TRUNC(F26*1.2338,2)</f>
        <v>448.69</v>
      </c>
      <c r="H26" s="128">
        <f aca="true" t="shared" si="4" ref="H26:H38">TRUNC(F26*E26,2)</f>
        <v>93099.52</v>
      </c>
      <c r="I26" s="129">
        <f aca="true" t="shared" si="5" ref="I26:I38">TRUNC(E26*G26,2)</f>
        <v>114864.64</v>
      </c>
    </row>
    <row r="27" spans="1:9" s="130" customFormat="1" ht="42.75">
      <c r="A27" s="95" t="s">
        <v>191</v>
      </c>
      <c r="B27" s="96" t="s">
        <v>465</v>
      </c>
      <c r="C27" s="97" t="s">
        <v>393</v>
      </c>
      <c r="D27" s="98" t="s">
        <v>12</v>
      </c>
      <c r="E27" s="99">
        <v>1</v>
      </c>
      <c r="F27" s="100">
        <f>TRUNC('NÃO DESONERADA'!F88,2)</f>
        <v>10642.51</v>
      </c>
      <c r="G27" s="128">
        <f t="shared" si="3"/>
        <v>13130.72</v>
      </c>
      <c r="H27" s="128">
        <f t="shared" si="4"/>
        <v>10642.51</v>
      </c>
      <c r="I27" s="129">
        <f t="shared" si="5"/>
        <v>13130.72</v>
      </c>
    </row>
    <row r="28" spans="1:9" s="130" customFormat="1" ht="36.75" customHeight="1">
      <c r="A28" s="95" t="s">
        <v>192</v>
      </c>
      <c r="B28" s="96" t="s">
        <v>476</v>
      </c>
      <c r="C28" s="97" t="s">
        <v>398</v>
      </c>
      <c r="D28" s="98" t="s">
        <v>1</v>
      </c>
      <c r="E28" s="99">
        <v>77.76</v>
      </c>
      <c r="F28" s="100">
        <f>TRUNC('NÃO DESONERADA'!F98,2)</f>
        <v>40.97</v>
      </c>
      <c r="G28" s="128">
        <f t="shared" si="3"/>
        <v>50.54</v>
      </c>
      <c r="H28" s="128">
        <f t="shared" si="4"/>
        <v>3185.82</v>
      </c>
      <c r="I28" s="129">
        <f t="shared" si="5"/>
        <v>3929.99</v>
      </c>
    </row>
    <row r="29" spans="1:9" s="130" customFormat="1" ht="42.75">
      <c r="A29" s="95" t="s">
        <v>696</v>
      </c>
      <c r="B29" s="96" t="s">
        <v>399</v>
      </c>
      <c r="C29" s="97" t="s">
        <v>400</v>
      </c>
      <c r="D29" s="98" t="s">
        <v>1</v>
      </c>
      <c r="E29" s="99">
        <v>56</v>
      </c>
      <c r="F29" s="100">
        <f>TRUNC('NÃO DESONERADA'!F104,2)</f>
        <v>19.76</v>
      </c>
      <c r="G29" s="128">
        <f t="shared" si="3"/>
        <v>24.37</v>
      </c>
      <c r="H29" s="128">
        <f t="shared" si="4"/>
        <v>1106.56</v>
      </c>
      <c r="I29" s="129">
        <f t="shared" si="5"/>
        <v>1364.72</v>
      </c>
    </row>
    <row r="30" spans="1:9" s="130" customFormat="1" ht="28.5">
      <c r="A30" s="95" t="s">
        <v>697</v>
      </c>
      <c r="B30" s="96" t="s">
        <v>481</v>
      </c>
      <c r="C30" s="97" t="s">
        <v>403</v>
      </c>
      <c r="D30" s="98" t="s">
        <v>0</v>
      </c>
      <c r="E30" s="99">
        <v>25.6</v>
      </c>
      <c r="F30" s="100">
        <f>TRUNC('NÃO DESONERADA'!F110,2)</f>
        <v>27.42</v>
      </c>
      <c r="G30" s="128">
        <f t="shared" si="3"/>
        <v>33.83</v>
      </c>
      <c r="H30" s="128">
        <f t="shared" si="4"/>
        <v>701.95</v>
      </c>
      <c r="I30" s="129">
        <f t="shared" si="5"/>
        <v>866.04</v>
      </c>
    </row>
    <row r="31" spans="1:9" s="130" customFormat="1" ht="28.5">
      <c r="A31" s="95" t="s">
        <v>698</v>
      </c>
      <c r="B31" s="96" t="s">
        <v>484</v>
      </c>
      <c r="C31" s="97" t="s">
        <v>404</v>
      </c>
      <c r="D31" s="98" t="s">
        <v>0</v>
      </c>
      <c r="E31" s="99">
        <v>71.68</v>
      </c>
      <c r="F31" s="100">
        <f>TRUNC('NÃO DESONERADA'!F115,2)</f>
        <v>130.83</v>
      </c>
      <c r="G31" s="128">
        <f t="shared" si="3"/>
        <v>161.41</v>
      </c>
      <c r="H31" s="128">
        <f t="shared" si="4"/>
        <v>9377.89</v>
      </c>
      <c r="I31" s="129">
        <f t="shared" si="5"/>
        <v>11569.86</v>
      </c>
    </row>
    <row r="32" spans="1:9" s="130" customFormat="1" ht="28.5">
      <c r="A32" s="95" t="s">
        <v>699</v>
      </c>
      <c r="B32" s="96" t="s">
        <v>496</v>
      </c>
      <c r="C32" s="97" t="s">
        <v>413</v>
      </c>
      <c r="D32" s="98" t="s">
        <v>1</v>
      </c>
      <c r="E32" s="99">
        <v>20.48</v>
      </c>
      <c r="F32" s="100">
        <f>TRUNC('NÃO DESONERADA'!F127,2)</f>
        <v>402.56</v>
      </c>
      <c r="G32" s="128">
        <f t="shared" si="3"/>
        <v>496.67</v>
      </c>
      <c r="H32" s="128">
        <f t="shared" si="4"/>
        <v>8244.42</v>
      </c>
      <c r="I32" s="129">
        <f t="shared" si="5"/>
        <v>10171.8</v>
      </c>
    </row>
    <row r="33" spans="1:9" s="130" customFormat="1" ht="57">
      <c r="A33" s="95" t="s">
        <v>700</v>
      </c>
      <c r="B33" s="96" t="s">
        <v>416</v>
      </c>
      <c r="C33" s="97" t="s">
        <v>417</v>
      </c>
      <c r="D33" s="98" t="s">
        <v>5</v>
      </c>
      <c r="E33" s="99">
        <v>465</v>
      </c>
      <c r="F33" s="100">
        <f>TRUNC('NÃO DESONERADA'!F134,2)</f>
        <v>8.65</v>
      </c>
      <c r="G33" s="128">
        <f t="shared" si="3"/>
        <v>10.67</v>
      </c>
      <c r="H33" s="128">
        <f t="shared" si="4"/>
        <v>4022.25</v>
      </c>
      <c r="I33" s="129">
        <f t="shared" si="5"/>
        <v>4961.55</v>
      </c>
    </row>
    <row r="34" spans="1:9" s="130" customFormat="1" ht="28.5">
      <c r="A34" s="95" t="s">
        <v>701</v>
      </c>
      <c r="B34" s="96" t="s">
        <v>497</v>
      </c>
      <c r="C34" s="97" t="s">
        <v>426</v>
      </c>
      <c r="D34" s="98" t="s">
        <v>5</v>
      </c>
      <c r="E34" s="99">
        <v>465</v>
      </c>
      <c r="F34" s="100">
        <f>TRUNC('NÃO DESONERADA'!F140,2)</f>
        <v>17.98</v>
      </c>
      <c r="G34" s="128">
        <f t="shared" si="3"/>
        <v>22.18</v>
      </c>
      <c r="H34" s="128">
        <f t="shared" si="4"/>
        <v>8360.7</v>
      </c>
      <c r="I34" s="129">
        <f t="shared" si="5"/>
        <v>10313.7</v>
      </c>
    </row>
    <row r="35" spans="1:9" s="130" customFormat="1" ht="57">
      <c r="A35" s="95" t="s">
        <v>702</v>
      </c>
      <c r="B35" s="96" t="s">
        <v>502</v>
      </c>
      <c r="C35" s="97" t="s">
        <v>417</v>
      </c>
      <c r="D35" s="98" t="s">
        <v>5</v>
      </c>
      <c r="E35" s="99">
        <v>1094</v>
      </c>
      <c r="F35" s="100">
        <f>TRUNC('NÃO DESONERADA'!F147,2)</f>
        <v>8.65</v>
      </c>
      <c r="G35" s="128">
        <f t="shared" si="3"/>
        <v>10.67</v>
      </c>
      <c r="H35" s="128">
        <f t="shared" si="4"/>
        <v>9463.1</v>
      </c>
      <c r="I35" s="129">
        <f t="shared" si="5"/>
        <v>11672.98</v>
      </c>
    </row>
    <row r="36" spans="1:9" s="130" customFormat="1" ht="28.5">
      <c r="A36" s="95" t="s">
        <v>703</v>
      </c>
      <c r="B36" s="96" t="s">
        <v>503</v>
      </c>
      <c r="C36" s="97" t="s">
        <v>429</v>
      </c>
      <c r="D36" s="98" t="s">
        <v>5</v>
      </c>
      <c r="E36" s="99">
        <v>1094</v>
      </c>
      <c r="F36" s="100">
        <f>TRUNC('NÃO DESONERADA'!F153,2)</f>
        <v>15.12</v>
      </c>
      <c r="G36" s="128">
        <f t="shared" si="3"/>
        <v>18.65</v>
      </c>
      <c r="H36" s="128">
        <f t="shared" si="4"/>
        <v>16541.28</v>
      </c>
      <c r="I36" s="129">
        <f t="shared" si="5"/>
        <v>20403.1</v>
      </c>
    </row>
    <row r="37" spans="1:9" s="130" customFormat="1" ht="57">
      <c r="A37" s="95" t="s">
        <v>704</v>
      </c>
      <c r="B37" s="96" t="s">
        <v>506</v>
      </c>
      <c r="C37" s="97" t="s">
        <v>430</v>
      </c>
      <c r="D37" s="98" t="s">
        <v>5</v>
      </c>
      <c r="E37" s="99">
        <v>554</v>
      </c>
      <c r="F37" s="100">
        <f>TRUNC('NÃO DESONERADA'!F160,2)</f>
        <v>7.46</v>
      </c>
      <c r="G37" s="128">
        <f t="shared" si="3"/>
        <v>9.2</v>
      </c>
      <c r="H37" s="128">
        <f t="shared" si="4"/>
        <v>4132.84</v>
      </c>
      <c r="I37" s="129">
        <f t="shared" si="5"/>
        <v>5096.8</v>
      </c>
    </row>
    <row r="38" spans="1:9" s="130" customFormat="1" ht="28.5">
      <c r="A38" s="95" t="s">
        <v>705</v>
      </c>
      <c r="B38" s="96" t="s">
        <v>507</v>
      </c>
      <c r="C38" s="97" t="s">
        <v>437</v>
      </c>
      <c r="D38" s="98" t="s">
        <v>5</v>
      </c>
      <c r="E38" s="99">
        <v>554</v>
      </c>
      <c r="F38" s="100">
        <f>TRUNC('NÃO DESONERADA'!F166,2)</f>
        <v>14.29</v>
      </c>
      <c r="G38" s="128">
        <f t="shared" si="3"/>
        <v>17.63</v>
      </c>
      <c r="H38" s="128">
        <f t="shared" si="4"/>
        <v>7916.66</v>
      </c>
      <c r="I38" s="129">
        <f t="shared" si="5"/>
        <v>9767.02</v>
      </c>
    </row>
    <row r="39" spans="1:9" s="131" customFormat="1" ht="15.75">
      <c r="A39" s="124" t="s">
        <v>439</v>
      </c>
      <c r="B39" s="126"/>
      <c r="C39" s="127" t="s">
        <v>440</v>
      </c>
      <c r="D39" s="127"/>
      <c r="E39" s="127"/>
      <c r="F39" s="127"/>
      <c r="G39" s="127"/>
      <c r="H39" s="127"/>
      <c r="I39" s="125"/>
    </row>
    <row r="40" spans="1:9" s="130" customFormat="1" ht="28.5">
      <c r="A40" s="95" t="s">
        <v>706</v>
      </c>
      <c r="B40" s="96" t="s">
        <v>510</v>
      </c>
      <c r="C40" s="97" t="s">
        <v>511</v>
      </c>
      <c r="D40" s="98" t="s">
        <v>1</v>
      </c>
      <c r="E40" s="99">
        <v>21.16</v>
      </c>
      <c r="F40" s="100">
        <f>TRUNC('NÃO DESONERADA'!F174,2)</f>
        <v>35.93</v>
      </c>
      <c r="G40" s="128">
        <f aca="true" t="shared" si="6" ref="G40:G54">TRUNC(F40*1.2338,2)</f>
        <v>44.33</v>
      </c>
      <c r="H40" s="128">
        <f aca="true" t="shared" si="7" ref="H40:H54">TRUNC(F40*E40,2)</f>
        <v>760.27</v>
      </c>
      <c r="I40" s="129">
        <f aca="true" t="shared" si="8" ref="I40:I54">TRUNC(E40*G40,2)</f>
        <v>938.02</v>
      </c>
    </row>
    <row r="41" spans="1:9" s="130" customFormat="1" ht="42.75">
      <c r="A41" s="95" t="s">
        <v>707</v>
      </c>
      <c r="B41" s="96" t="s">
        <v>520</v>
      </c>
      <c r="C41" s="97" t="s">
        <v>400</v>
      </c>
      <c r="D41" s="98" t="s">
        <v>1</v>
      </c>
      <c r="E41" s="99">
        <v>12.7</v>
      </c>
      <c r="F41" s="100">
        <f>TRUNC('NÃO DESONERADA'!F180,2)</f>
        <v>22.66</v>
      </c>
      <c r="G41" s="128">
        <f t="shared" si="6"/>
        <v>27.95</v>
      </c>
      <c r="H41" s="128">
        <f t="shared" si="7"/>
        <v>287.78</v>
      </c>
      <c r="I41" s="129">
        <f t="shared" si="8"/>
        <v>354.96</v>
      </c>
    </row>
    <row r="42" spans="1:9" s="130" customFormat="1" ht="28.5">
      <c r="A42" s="95" t="s">
        <v>708</v>
      </c>
      <c r="B42" s="96" t="s">
        <v>516</v>
      </c>
      <c r="C42" s="97" t="s">
        <v>517</v>
      </c>
      <c r="D42" s="98" t="s">
        <v>0</v>
      </c>
      <c r="E42" s="99">
        <v>77</v>
      </c>
      <c r="F42" s="100">
        <f>TRUNC('NÃO DESONERADA'!F186,2)</f>
        <v>115.5</v>
      </c>
      <c r="G42" s="128">
        <f t="shared" si="6"/>
        <v>142.5</v>
      </c>
      <c r="H42" s="128">
        <f t="shared" si="7"/>
        <v>8893.5</v>
      </c>
      <c r="I42" s="129">
        <f t="shared" si="8"/>
        <v>10972.5</v>
      </c>
    </row>
    <row r="43" spans="1:9" s="130" customFormat="1" ht="28.5">
      <c r="A43" s="95" t="s">
        <v>709</v>
      </c>
      <c r="B43" s="96" t="s">
        <v>481</v>
      </c>
      <c r="C43" s="97" t="s">
        <v>403</v>
      </c>
      <c r="D43" s="98" t="s">
        <v>0</v>
      </c>
      <c r="E43" s="99">
        <v>15.6</v>
      </c>
      <c r="F43" s="100">
        <f>TRUNC('NÃO DESONERADA'!F198,2)</f>
        <v>27.42</v>
      </c>
      <c r="G43" s="128">
        <f t="shared" si="6"/>
        <v>33.83</v>
      </c>
      <c r="H43" s="128">
        <f t="shared" si="7"/>
        <v>427.75</v>
      </c>
      <c r="I43" s="129">
        <f t="shared" si="8"/>
        <v>527.74</v>
      </c>
    </row>
    <row r="44" spans="1:9" s="130" customFormat="1" ht="28.5">
      <c r="A44" s="95" t="s">
        <v>710</v>
      </c>
      <c r="B44" s="96" t="s">
        <v>496</v>
      </c>
      <c r="C44" s="97" t="s">
        <v>413</v>
      </c>
      <c r="D44" s="98" t="s">
        <v>1</v>
      </c>
      <c r="E44" s="99">
        <v>7.7</v>
      </c>
      <c r="F44" s="100">
        <f>TRUNC('NÃO DESONERADA'!F203,2)</f>
        <v>402.56</v>
      </c>
      <c r="G44" s="128">
        <f t="shared" si="6"/>
        <v>496.67</v>
      </c>
      <c r="H44" s="128">
        <f t="shared" si="7"/>
        <v>3099.71</v>
      </c>
      <c r="I44" s="129">
        <f t="shared" si="8"/>
        <v>3824.35</v>
      </c>
    </row>
    <row r="45" spans="1:9" s="130" customFormat="1" ht="71.25">
      <c r="A45" s="95" t="s">
        <v>711</v>
      </c>
      <c r="B45" s="96" t="s">
        <v>523</v>
      </c>
      <c r="C45" s="97" t="s">
        <v>524</v>
      </c>
      <c r="D45" s="98" t="s">
        <v>5</v>
      </c>
      <c r="E45" s="99">
        <v>85</v>
      </c>
      <c r="F45" s="100">
        <f>TRUNC('NÃO DESONERADA'!F210,2)</f>
        <v>9.24</v>
      </c>
      <c r="G45" s="128">
        <f t="shared" si="6"/>
        <v>11.4</v>
      </c>
      <c r="H45" s="128">
        <f t="shared" si="7"/>
        <v>785.4</v>
      </c>
      <c r="I45" s="129">
        <f t="shared" si="8"/>
        <v>969</v>
      </c>
    </row>
    <row r="46" spans="1:9" s="130" customFormat="1" ht="28.5">
      <c r="A46" s="95" t="s">
        <v>712</v>
      </c>
      <c r="B46" s="96" t="s">
        <v>529</v>
      </c>
      <c r="C46" s="97" t="s">
        <v>530</v>
      </c>
      <c r="D46" s="98" t="s">
        <v>5</v>
      </c>
      <c r="E46" s="99">
        <v>85</v>
      </c>
      <c r="F46" s="100">
        <f>TRUNC('NÃO DESONERADA'!F215,2)</f>
        <v>23.31</v>
      </c>
      <c r="G46" s="128">
        <f t="shared" si="6"/>
        <v>28.75</v>
      </c>
      <c r="H46" s="128">
        <f t="shared" si="7"/>
        <v>1981.35</v>
      </c>
      <c r="I46" s="129">
        <f t="shared" si="8"/>
        <v>2443.75</v>
      </c>
    </row>
    <row r="47" spans="1:9" s="130" customFormat="1" ht="57">
      <c r="A47" s="95" t="s">
        <v>713</v>
      </c>
      <c r="B47" s="96" t="s">
        <v>502</v>
      </c>
      <c r="C47" s="97" t="s">
        <v>417</v>
      </c>
      <c r="D47" s="98" t="s">
        <v>5</v>
      </c>
      <c r="E47" s="99">
        <v>113.65</v>
      </c>
      <c r="F47" s="100">
        <f>TRUNC('NÃO DESONERADA'!F222,2)</f>
        <v>8.65</v>
      </c>
      <c r="G47" s="128">
        <f t="shared" si="6"/>
        <v>10.67</v>
      </c>
      <c r="H47" s="128">
        <f t="shared" si="7"/>
        <v>983.07</v>
      </c>
      <c r="I47" s="129">
        <f t="shared" si="8"/>
        <v>1212.64</v>
      </c>
    </row>
    <row r="48" spans="1:9" s="130" customFormat="1" ht="28.5">
      <c r="A48" s="95" t="s">
        <v>714</v>
      </c>
      <c r="B48" s="96" t="s">
        <v>497</v>
      </c>
      <c r="C48" s="97" t="s">
        <v>426</v>
      </c>
      <c r="D48" s="98" t="s">
        <v>5</v>
      </c>
      <c r="E48" s="99">
        <v>113.65</v>
      </c>
      <c r="F48" s="100">
        <f>TRUNC('NÃO DESONERADA'!F228,2)</f>
        <v>17.98</v>
      </c>
      <c r="G48" s="128">
        <f t="shared" si="6"/>
        <v>22.18</v>
      </c>
      <c r="H48" s="128">
        <f t="shared" si="7"/>
        <v>2043.42</v>
      </c>
      <c r="I48" s="129">
        <f t="shared" si="8"/>
        <v>2520.75</v>
      </c>
    </row>
    <row r="49" spans="1:9" s="130" customFormat="1" ht="57">
      <c r="A49" s="95" t="s">
        <v>715</v>
      </c>
      <c r="B49" s="96" t="s">
        <v>502</v>
      </c>
      <c r="C49" s="97" t="s">
        <v>417</v>
      </c>
      <c r="D49" s="98" t="s">
        <v>5</v>
      </c>
      <c r="E49" s="99">
        <v>189.86</v>
      </c>
      <c r="F49" s="100">
        <f>TRUNC('NÃO DESONERADA'!F235,2)</f>
        <v>8.65</v>
      </c>
      <c r="G49" s="128">
        <f t="shared" si="6"/>
        <v>10.67</v>
      </c>
      <c r="H49" s="128">
        <f t="shared" si="7"/>
        <v>1642.28</v>
      </c>
      <c r="I49" s="129">
        <f t="shared" si="8"/>
        <v>2025.8</v>
      </c>
    </row>
    <row r="50" spans="1:9" s="130" customFormat="1" ht="28.5">
      <c r="A50" s="95" t="s">
        <v>716</v>
      </c>
      <c r="B50" s="96" t="s">
        <v>503</v>
      </c>
      <c r="C50" s="97" t="s">
        <v>429</v>
      </c>
      <c r="D50" s="98" t="s">
        <v>5</v>
      </c>
      <c r="E50" s="99">
        <v>189.86</v>
      </c>
      <c r="F50" s="100">
        <f>TRUNC('NÃO DESONERADA'!F241,2)</f>
        <v>15.12</v>
      </c>
      <c r="G50" s="128">
        <f t="shared" si="6"/>
        <v>18.65</v>
      </c>
      <c r="H50" s="128">
        <f t="shared" si="7"/>
        <v>2870.68</v>
      </c>
      <c r="I50" s="129">
        <f t="shared" si="8"/>
        <v>3540.88</v>
      </c>
    </row>
    <row r="51" spans="1:9" s="130" customFormat="1" ht="57">
      <c r="A51" s="95" t="s">
        <v>717</v>
      </c>
      <c r="B51" s="96" t="s">
        <v>506</v>
      </c>
      <c r="C51" s="97" t="s">
        <v>430</v>
      </c>
      <c r="D51" s="98" t="s">
        <v>5</v>
      </c>
      <c r="E51" s="99">
        <v>149.25</v>
      </c>
      <c r="F51" s="100">
        <f>TRUNC('NÃO DESONERADA'!F248,2)</f>
        <v>7.46</v>
      </c>
      <c r="G51" s="128">
        <f t="shared" si="6"/>
        <v>9.2</v>
      </c>
      <c r="H51" s="128">
        <f t="shared" si="7"/>
        <v>1113.4</v>
      </c>
      <c r="I51" s="129">
        <f t="shared" si="8"/>
        <v>1373.1</v>
      </c>
    </row>
    <row r="52" spans="1:9" s="130" customFormat="1" ht="28.5">
      <c r="A52" s="95" t="s">
        <v>718</v>
      </c>
      <c r="B52" s="96" t="s">
        <v>507</v>
      </c>
      <c r="C52" s="97" t="s">
        <v>437</v>
      </c>
      <c r="D52" s="98" t="s">
        <v>5</v>
      </c>
      <c r="E52" s="99">
        <v>149.25</v>
      </c>
      <c r="F52" s="100">
        <f>TRUNC('NÃO DESONERADA'!F254,2)</f>
        <v>14.29</v>
      </c>
      <c r="G52" s="128">
        <f t="shared" si="6"/>
        <v>17.63</v>
      </c>
      <c r="H52" s="128">
        <f t="shared" si="7"/>
        <v>2132.78</v>
      </c>
      <c r="I52" s="129">
        <f t="shared" si="8"/>
        <v>2631.27</v>
      </c>
    </row>
    <row r="53" spans="1:9" s="130" customFormat="1" ht="57">
      <c r="A53" s="95" t="s">
        <v>719</v>
      </c>
      <c r="B53" s="96" t="s">
        <v>506</v>
      </c>
      <c r="C53" s="97" t="s">
        <v>430</v>
      </c>
      <c r="D53" s="98" t="s">
        <v>5</v>
      </c>
      <c r="E53" s="99">
        <v>127.6</v>
      </c>
      <c r="F53" s="100">
        <f>TRUNC('NÃO DESONERADA'!F261,2)</f>
        <v>7.46</v>
      </c>
      <c r="G53" s="128">
        <f t="shared" si="6"/>
        <v>9.2</v>
      </c>
      <c r="H53" s="128">
        <f t="shared" si="7"/>
        <v>951.89</v>
      </c>
      <c r="I53" s="129">
        <f t="shared" si="8"/>
        <v>1173.92</v>
      </c>
    </row>
    <row r="54" spans="1:9" s="130" customFormat="1" ht="28.5">
      <c r="A54" s="95" t="s">
        <v>720</v>
      </c>
      <c r="B54" s="96" t="s">
        <v>533</v>
      </c>
      <c r="C54" s="97" t="s">
        <v>534</v>
      </c>
      <c r="D54" s="98" t="s">
        <v>5</v>
      </c>
      <c r="E54" s="99">
        <v>127.6</v>
      </c>
      <c r="F54" s="100">
        <f>TRUNC('NÃO DESONERADA'!F267,2)</f>
        <v>15.91</v>
      </c>
      <c r="G54" s="128">
        <f t="shared" si="6"/>
        <v>19.62</v>
      </c>
      <c r="H54" s="128">
        <f t="shared" si="7"/>
        <v>2030.11</v>
      </c>
      <c r="I54" s="129">
        <f t="shared" si="8"/>
        <v>2503.51</v>
      </c>
    </row>
    <row r="55" spans="1:9" s="131" customFormat="1" ht="15.75">
      <c r="A55" s="124" t="s">
        <v>439</v>
      </c>
      <c r="B55" s="126"/>
      <c r="C55" s="127" t="s">
        <v>537</v>
      </c>
      <c r="D55" s="127"/>
      <c r="E55" s="127"/>
      <c r="F55" s="127"/>
      <c r="G55" s="127"/>
      <c r="H55" s="127"/>
      <c r="I55" s="125"/>
    </row>
    <row r="56" spans="1:9" s="130" customFormat="1" ht="28.5">
      <c r="A56" s="95" t="s">
        <v>721</v>
      </c>
      <c r="B56" s="96" t="s">
        <v>510</v>
      </c>
      <c r="C56" s="97" t="s">
        <v>511</v>
      </c>
      <c r="D56" s="98" t="s">
        <v>1</v>
      </c>
      <c r="E56" s="99">
        <v>35.73</v>
      </c>
      <c r="F56" s="100">
        <f>TRUNC('NÃO DESONERADA'!F275,2)</f>
        <v>35.93</v>
      </c>
      <c r="G56" s="128">
        <f aca="true" t="shared" si="9" ref="G56:G63">TRUNC(F56*1.2338,2)</f>
        <v>44.33</v>
      </c>
      <c r="H56" s="128">
        <f aca="true" t="shared" si="10" ref="H56:H63">TRUNC(F56*E56,2)</f>
        <v>1283.77</v>
      </c>
      <c r="I56" s="129">
        <f aca="true" t="shared" si="11" ref="I56:I63">TRUNC(E56*G56,2)</f>
        <v>1583.91</v>
      </c>
    </row>
    <row r="57" spans="1:9" s="130" customFormat="1" ht="42.75">
      <c r="A57" s="95" t="s">
        <v>722</v>
      </c>
      <c r="B57" s="96" t="s">
        <v>520</v>
      </c>
      <c r="C57" s="97" t="s">
        <v>400</v>
      </c>
      <c r="D57" s="98" t="s">
        <v>1</v>
      </c>
      <c r="E57" s="99">
        <v>29.9</v>
      </c>
      <c r="F57" s="100">
        <f>TRUNC('NÃO DESONERADA'!F281,2)</f>
        <v>22.66</v>
      </c>
      <c r="G57" s="128">
        <f t="shared" si="9"/>
        <v>27.95</v>
      </c>
      <c r="H57" s="128">
        <f t="shared" si="10"/>
        <v>677.53</v>
      </c>
      <c r="I57" s="129">
        <f t="shared" si="11"/>
        <v>835.7</v>
      </c>
    </row>
    <row r="58" spans="1:9" s="130" customFormat="1" ht="28.5">
      <c r="A58" s="95" t="s">
        <v>723</v>
      </c>
      <c r="B58" s="96" t="s">
        <v>538</v>
      </c>
      <c r="C58" s="97" t="s">
        <v>539</v>
      </c>
      <c r="D58" s="98" t="s">
        <v>0</v>
      </c>
      <c r="E58" s="99">
        <v>54.4</v>
      </c>
      <c r="F58" s="100">
        <f>TRUNC('NÃO DESONERADA'!F287,2)</f>
        <v>214.32</v>
      </c>
      <c r="G58" s="128">
        <f t="shared" si="9"/>
        <v>264.42</v>
      </c>
      <c r="H58" s="128">
        <f t="shared" si="10"/>
        <v>11659</v>
      </c>
      <c r="I58" s="129">
        <f t="shared" si="11"/>
        <v>14384.44</v>
      </c>
    </row>
    <row r="59" spans="1:9" s="130" customFormat="1" ht="42.75">
      <c r="A59" s="95" t="s">
        <v>724</v>
      </c>
      <c r="B59" s="96" t="s">
        <v>542</v>
      </c>
      <c r="C59" s="97" t="s">
        <v>543</v>
      </c>
      <c r="D59" s="98" t="s">
        <v>1</v>
      </c>
      <c r="E59" s="99">
        <v>5.76</v>
      </c>
      <c r="F59" s="100">
        <f>TRUNC('NÃO DESONERADA'!F296,2)</f>
        <v>398.26</v>
      </c>
      <c r="G59" s="128">
        <f t="shared" si="9"/>
        <v>491.37</v>
      </c>
      <c r="H59" s="128">
        <f t="shared" si="10"/>
        <v>2293.97</v>
      </c>
      <c r="I59" s="129">
        <f t="shared" si="11"/>
        <v>2830.29</v>
      </c>
    </row>
    <row r="60" spans="1:9" s="130" customFormat="1" ht="57">
      <c r="A60" s="95" t="s">
        <v>725</v>
      </c>
      <c r="B60" s="96" t="s">
        <v>544</v>
      </c>
      <c r="C60" s="97" t="s">
        <v>545</v>
      </c>
      <c r="D60" s="98" t="s">
        <v>5</v>
      </c>
      <c r="E60" s="99">
        <v>176</v>
      </c>
      <c r="F60" s="100">
        <f>TRUNC('NÃO DESONERADA'!F304,2)</f>
        <v>8.97</v>
      </c>
      <c r="G60" s="128">
        <f t="shared" si="9"/>
        <v>11.06</v>
      </c>
      <c r="H60" s="128">
        <f t="shared" si="10"/>
        <v>1578.72</v>
      </c>
      <c r="I60" s="129">
        <f t="shared" si="11"/>
        <v>1946.56</v>
      </c>
    </row>
    <row r="61" spans="1:9" s="130" customFormat="1" ht="42.75">
      <c r="A61" s="95" t="s">
        <v>726</v>
      </c>
      <c r="B61" s="96" t="s">
        <v>548</v>
      </c>
      <c r="C61" s="97" t="s">
        <v>549</v>
      </c>
      <c r="D61" s="98" t="s">
        <v>5</v>
      </c>
      <c r="E61" s="99">
        <v>176</v>
      </c>
      <c r="F61" s="100">
        <f>TRUNC('NÃO DESONERADA'!F308,2)</f>
        <v>21.77</v>
      </c>
      <c r="G61" s="128">
        <f t="shared" si="9"/>
        <v>26.85</v>
      </c>
      <c r="H61" s="128">
        <f t="shared" si="10"/>
        <v>3831.52</v>
      </c>
      <c r="I61" s="129">
        <f t="shared" si="11"/>
        <v>4725.6</v>
      </c>
    </row>
    <row r="62" spans="1:9" s="130" customFormat="1" ht="57">
      <c r="A62" s="95" t="s">
        <v>727</v>
      </c>
      <c r="B62" s="96" t="s">
        <v>506</v>
      </c>
      <c r="C62" s="97" t="s">
        <v>430</v>
      </c>
      <c r="D62" s="98" t="s">
        <v>5</v>
      </c>
      <c r="E62" s="99">
        <v>925.76</v>
      </c>
      <c r="F62" s="100">
        <f>TRUNC('NÃO DESONERADA'!F315,2)</f>
        <v>7.46</v>
      </c>
      <c r="G62" s="128">
        <f t="shared" si="9"/>
        <v>9.2</v>
      </c>
      <c r="H62" s="128">
        <f t="shared" si="10"/>
        <v>6906.16</v>
      </c>
      <c r="I62" s="129">
        <f t="shared" si="11"/>
        <v>8516.99</v>
      </c>
    </row>
    <row r="63" spans="1:9" s="130" customFormat="1" ht="42.75">
      <c r="A63" s="95" t="s">
        <v>728</v>
      </c>
      <c r="B63" s="96" t="s">
        <v>551</v>
      </c>
      <c r="C63" s="97" t="s">
        <v>552</v>
      </c>
      <c r="D63" s="98" t="s">
        <v>5</v>
      </c>
      <c r="E63" s="99">
        <v>925.76</v>
      </c>
      <c r="F63" s="100">
        <f>TRUNC('NÃO DESONERADA'!F321,2)</f>
        <v>14.03</v>
      </c>
      <c r="G63" s="128">
        <f t="shared" si="9"/>
        <v>17.31</v>
      </c>
      <c r="H63" s="128">
        <f t="shared" si="10"/>
        <v>12988.41</v>
      </c>
      <c r="I63" s="129">
        <f t="shared" si="11"/>
        <v>16024.9</v>
      </c>
    </row>
    <row r="64" spans="1:9" s="131" customFormat="1" ht="15.75">
      <c r="A64" s="124" t="s">
        <v>439</v>
      </c>
      <c r="B64" s="126"/>
      <c r="C64" s="127" t="s">
        <v>553</v>
      </c>
      <c r="D64" s="127"/>
      <c r="E64" s="127"/>
      <c r="F64" s="127"/>
      <c r="G64" s="127"/>
      <c r="H64" s="127"/>
      <c r="I64" s="125"/>
    </row>
    <row r="65" spans="1:9" s="130" customFormat="1" ht="71.25">
      <c r="A65" s="95" t="s">
        <v>729</v>
      </c>
      <c r="B65" s="96" t="s">
        <v>554</v>
      </c>
      <c r="C65" s="97" t="s">
        <v>555</v>
      </c>
      <c r="D65" s="98" t="s">
        <v>5</v>
      </c>
      <c r="E65" s="99">
        <v>11521.92</v>
      </c>
      <c r="F65" s="100">
        <f>TRUNC('NÃO DESONERADA'!F329,2)</f>
        <v>26.1</v>
      </c>
      <c r="G65" s="128">
        <f>TRUNC(F65*1.2338,2)</f>
        <v>32.2</v>
      </c>
      <c r="H65" s="128">
        <f>TRUNC(F65*E65,2)</f>
        <v>300722.11</v>
      </c>
      <c r="I65" s="129">
        <f>TRUNC(E65*G65,2)</f>
        <v>371005.82</v>
      </c>
    </row>
    <row r="66" spans="1:9" s="131" customFormat="1" ht="15.75">
      <c r="A66" s="124" t="s">
        <v>439</v>
      </c>
      <c r="B66" s="126"/>
      <c r="C66" s="127" t="s">
        <v>580</v>
      </c>
      <c r="D66" s="127"/>
      <c r="E66" s="127"/>
      <c r="F66" s="127"/>
      <c r="G66" s="127"/>
      <c r="H66" s="127"/>
      <c r="I66" s="125"/>
    </row>
    <row r="67" spans="1:10" s="130" customFormat="1" ht="85.5">
      <c r="A67" s="95" t="s">
        <v>730</v>
      </c>
      <c r="B67" s="96" t="s">
        <v>387</v>
      </c>
      <c r="C67" s="97" t="s">
        <v>581</v>
      </c>
      <c r="D67" s="98" t="s">
        <v>0</v>
      </c>
      <c r="E67" s="99">
        <v>649.06</v>
      </c>
      <c r="F67" s="100">
        <f>TRUNC('NÃO DESONERADA'!F344,2)</f>
        <v>98.97</v>
      </c>
      <c r="G67" s="128">
        <f>TRUNC(F67*1.2338,2)</f>
        <v>122.1</v>
      </c>
      <c r="H67" s="128">
        <f>TRUNC(F67*E67,2)</f>
        <v>64237.46</v>
      </c>
      <c r="I67" s="129">
        <f>TRUNC(E67*G67,2)</f>
        <v>79250.22</v>
      </c>
      <c r="J67" s="130">
        <v>103.99</v>
      </c>
    </row>
    <row r="68" spans="1:9" s="130" customFormat="1" ht="99.75">
      <c r="A68" s="95" t="s">
        <v>731</v>
      </c>
      <c r="B68" s="96" t="s">
        <v>582</v>
      </c>
      <c r="C68" s="97" t="s">
        <v>374</v>
      </c>
      <c r="D68" s="98" t="s">
        <v>0</v>
      </c>
      <c r="E68" s="99">
        <v>163.41</v>
      </c>
      <c r="F68" s="100">
        <f>TRUNC('NÃO DESONERADA'!F360,2)</f>
        <v>99.2</v>
      </c>
      <c r="G68" s="128">
        <f>TRUNC(F68*1.2338,2)</f>
        <v>122.39</v>
      </c>
      <c r="H68" s="128">
        <f>TRUNC(F68*E68,2)</f>
        <v>16210.27</v>
      </c>
      <c r="I68" s="129">
        <f>TRUNC(E68*G68,2)</f>
        <v>19999.74</v>
      </c>
    </row>
    <row r="69" spans="1:10" s="130" customFormat="1" ht="28.5">
      <c r="A69" s="95" t="s">
        <v>732</v>
      </c>
      <c r="B69" s="96" t="s">
        <v>269</v>
      </c>
      <c r="C69" s="97" t="s">
        <v>270</v>
      </c>
      <c r="D69" s="98" t="s">
        <v>1</v>
      </c>
      <c r="E69" s="99">
        <v>81.25</v>
      </c>
      <c r="F69" s="100">
        <f>TRUNC('NÃO DESONERADA'!F376,2)</f>
        <v>39.95</v>
      </c>
      <c r="G69" s="128">
        <f>TRUNC(F69*1.2338,2)</f>
        <v>49.29</v>
      </c>
      <c r="H69" s="128">
        <f>TRUNC(F69*E69,2)</f>
        <v>3245.93</v>
      </c>
      <c r="I69" s="129">
        <f>TRUNC(E69*G69,2)</f>
        <v>4004.81</v>
      </c>
      <c r="J69" s="130">
        <v>3648.12</v>
      </c>
    </row>
    <row r="70" spans="1:11" s="130" customFormat="1" ht="42.75">
      <c r="A70" s="95" t="s">
        <v>733</v>
      </c>
      <c r="B70" s="96" t="s">
        <v>585</v>
      </c>
      <c r="C70" s="97" t="s">
        <v>182</v>
      </c>
      <c r="D70" s="98" t="s">
        <v>0</v>
      </c>
      <c r="E70" s="99">
        <v>152.67</v>
      </c>
      <c r="F70" s="100">
        <f>TRUNC('NÃO DESONERADA'!F383,2)</f>
        <v>46.17</v>
      </c>
      <c r="G70" s="128">
        <f>TRUNC(F70*1.2338,2)</f>
        <v>56.96</v>
      </c>
      <c r="H70" s="128">
        <f>TRUNC(F70*E70,2)</f>
        <v>7048.77</v>
      </c>
      <c r="I70" s="129">
        <f>TRUNC(E70*G70,2)</f>
        <v>8696.08</v>
      </c>
      <c r="J70" s="130">
        <v>5373.98</v>
      </c>
      <c r="K70" s="99"/>
    </row>
    <row r="71" spans="1:10" s="44" customFormat="1" ht="15.75">
      <c r="A71" s="53" t="s">
        <v>52</v>
      </c>
      <c r="B71" s="55"/>
      <c r="C71" s="54"/>
      <c r="D71" s="55"/>
      <c r="E71" s="55"/>
      <c r="F71" s="55"/>
      <c r="G71" s="53" t="s">
        <v>125</v>
      </c>
      <c r="H71" s="57">
        <f>H67+H70+H69+H68+H65+H63+H62+H61+H60+H59+H58+H57+H56+H54+H53+H52+H51+H50+H49+H48+H47+H46+H45+H44+H43+H42+H41+H40+H38+H37+H36+H35+H34+H33+H32+H31+H30+H29+H28+H27+H26</f>
        <v>639482.51</v>
      </c>
      <c r="I71" s="57">
        <f>I67+I70+I69+I68+I65+I63+I62+I61+I60+I59+I58+I57+I56+I54+I53+I52+I51+I50+I49+I48+I47+I46+I45+I44+I43+I42+I41+I40+I38+I37+I36+I35+I34+I33+I32+I31+I30+I29+I28+I27+I26</f>
        <v>788930.17</v>
      </c>
      <c r="J71" s="44">
        <v>9126.09</v>
      </c>
    </row>
    <row r="72" spans="1:9" s="124" customFormat="1" ht="15.75">
      <c r="A72" s="124" t="s">
        <v>21</v>
      </c>
      <c r="B72" s="126"/>
      <c r="C72" s="127" t="s">
        <v>65</v>
      </c>
      <c r="D72" s="127"/>
      <c r="E72" s="127"/>
      <c r="F72" s="127"/>
      <c r="G72" s="127"/>
      <c r="H72" s="127"/>
      <c r="I72" s="125"/>
    </row>
    <row r="73" spans="1:10" s="105" customFormat="1" ht="57">
      <c r="A73" s="105" t="s">
        <v>54</v>
      </c>
      <c r="B73" s="106" t="s">
        <v>386</v>
      </c>
      <c r="C73" s="105" t="s">
        <v>375</v>
      </c>
      <c r="D73" s="105" t="s">
        <v>0</v>
      </c>
      <c r="E73" s="105">
        <v>210.17</v>
      </c>
      <c r="F73" s="107">
        <f>TRUNC('NÃO DESONERADA'!F396,2)</f>
        <v>240.28</v>
      </c>
      <c r="G73" s="128">
        <f aca="true" t="shared" si="12" ref="G73:G80">TRUNC(F73*1.2338,2)</f>
        <v>296.45</v>
      </c>
      <c r="H73" s="128">
        <f aca="true" t="shared" si="13" ref="H73:H80">TRUNC(F73*E73,2)</f>
        <v>50499.64</v>
      </c>
      <c r="I73" s="129">
        <f aca="true" t="shared" si="14" ref="I73:I80">TRUNC(E73*G73,2)</f>
        <v>62304.89</v>
      </c>
      <c r="J73" s="105">
        <v>30780.28</v>
      </c>
    </row>
    <row r="74" spans="1:9" s="105" customFormat="1" ht="57">
      <c r="A74" s="105" t="s">
        <v>314</v>
      </c>
      <c r="B74" s="106" t="s">
        <v>586</v>
      </c>
      <c r="C74" s="105" t="s">
        <v>587</v>
      </c>
      <c r="D74" s="105" t="s">
        <v>0</v>
      </c>
      <c r="E74" s="105">
        <v>19.36</v>
      </c>
      <c r="F74" s="107">
        <f>TRUNC('NÃO DESONERADA'!F406,2)</f>
        <v>58.98</v>
      </c>
      <c r="G74" s="128">
        <f t="shared" si="12"/>
        <v>72.76</v>
      </c>
      <c r="H74" s="128">
        <f t="shared" si="13"/>
        <v>1141.85</v>
      </c>
      <c r="I74" s="129">
        <f t="shared" si="14"/>
        <v>1408.63</v>
      </c>
    </row>
    <row r="75" spans="1:9" s="105" customFormat="1" ht="42.75">
      <c r="A75" s="105" t="s">
        <v>315</v>
      </c>
      <c r="B75" s="106" t="s">
        <v>592</v>
      </c>
      <c r="C75" s="105" t="s">
        <v>593</v>
      </c>
      <c r="D75" s="105" t="s">
        <v>0</v>
      </c>
      <c r="E75" s="105">
        <v>38.72</v>
      </c>
      <c r="F75" s="107">
        <f>TRUNC('NÃO DESONERADA'!F412,2)</f>
        <v>29.62</v>
      </c>
      <c r="G75" s="128">
        <f t="shared" si="12"/>
        <v>36.54</v>
      </c>
      <c r="H75" s="128">
        <f t="shared" si="13"/>
        <v>1146.88</v>
      </c>
      <c r="I75" s="129">
        <f t="shared" si="14"/>
        <v>1414.82</v>
      </c>
    </row>
    <row r="76" spans="1:10" s="105" customFormat="1" ht="57">
      <c r="A76" s="105" t="s">
        <v>316</v>
      </c>
      <c r="B76" s="106" t="s">
        <v>282</v>
      </c>
      <c r="C76" s="105" t="s">
        <v>283</v>
      </c>
      <c r="D76" s="105" t="s">
        <v>12</v>
      </c>
      <c r="E76" s="105">
        <v>2</v>
      </c>
      <c r="F76" s="107">
        <f>TRUNC('NÃO DESONERADA'!F418,2)</f>
        <v>567.43</v>
      </c>
      <c r="G76" s="128">
        <f t="shared" si="12"/>
        <v>700.09</v>
      </c>
      <c r="H76" s="128">
        <f t="shared" si="13"/>
        <v>1134.86</v>
      </c>
      <c r="I76" s="129">
        <f t="shared" si="14"/>
        <v>1400.18</v>
      </c>
      <c r="J76" s="105">
        <v>1217.1</v>
      </c>
    </row>
    <row r="77" spans="1:10" s="105" customFormat="1" ht="71.25">
      <c r="A77" s="105" t="s">
        <v>317</v>
      </c>
      <c r="B77" s="106" t="s">
        <v>292</v>
      </c>
      <c r="C77" s="105" t="s">
        <v>293</v>
      </c>
      <c r="D77" s="105" t="s">
        <v>12</v>
      </c>
      <c r="E77" s="105">
        <v>2</v>
      </c>
      <c r="F77" s="107">
        <f>TRUNC('NÃO DESONERADA'!F427,2)</f>
        <v>186.39</v>
      </c>
      <c r="G77" s="128">
        <f t="shared" si="12"/>
        <v>229.96</v>
      </c>
      <c r="H77" s="128">
        <f t="shared" si="13"/>
        <v>372.78</v>
      </c>
      <c r="I77" s="129">
        <f t="shared" si="14"/>
        <v>459.92</v>
      </c>
      <c r="J77" s="105">
        <v>455.8</v>
      </c>
    </row>
    <row r="78" spans="1:10" s="105" customFormat="1" ht="57">
      <c r="A78" s="105" t="s">
        <v>318</v>
      </c>
      <c r="B78" s="106" t="s">
        <v>298</v>
      </c>
      <c r="C78" s="105" t="s">
        <v>299</v>
      </c>
      <c r="D78" s="105" t="s">
        <v>0</v>
      </c>
      <c r="E78" s="105">
        <v>3</v>
      </c>
      <c r="F78" s="107">
        <f>TRUNC('NÃO DESONERADA'!F431,2)</f>
        <v>515.17</v>
      </c>
      <c r="G78" s="128">
        <f t="shared" si="12"/>
        <v>635.61</v>
      </c>
      <c r="H78" s="128">
        <f t="shared" si="13"/>
        <v>1545.51</v>
      </c>
      <c r="I78" s="129">
        <f t="shared" si="14"/>
        <v>1906.83</v>
      </c>
      <c r="J78" s="105">
        <v>1740.54</v>
      </c>
    </row>
    <row r="79" spans="1:10" s="105" customFormat="1" ht="99.75">
      <c r="A79" s="105" t="s">
        <v>734</v>
      </c>
      <c r="B79" s="106" t="s">
        <v>304</v>
      </c>
      <c r="C79" s="105" t="s">
        <v>305</v>
      </c>
      <c r="D79" s="105" t="s">
        <v>0</v>
      </c>
      <c r="E79" s="105">
        <v>4.17</v>
      </c>
      <c r="F79" s="107">
        <f>TRUNC('NÃO DESONERADA'!F436,2)</f>
        <v>1284.33</v>
      </c>
      <c r="G79" s="128">
        <f t="shared" si="12"/>
        <v>1584.6</v>
      </c>
      <c r="H79" s="128">
        <f t="shared" si="13"/>
        <v>5355.65</v>
      </c>
      <c r="I79" s="129">
        <f t="shared" si="14"/>
        <v>6607.78</v>
      </c>
      <c r="J79" s="105">
        <v>5613.02</v>
      </c>
    </row>
    <row r="80" spans="1:10" s="105" customFormat="1" ht="85.5">
      <c r="A80" s="105" t="s">
        <v>735</v>
      </c>
      <c r="B80" s="106" t="s">
        <v>313</v>
      </c>
      <c r="C80" s="105" t="s">
        <v>310</v>
      </c>
      <c r="D80" s="105" t="s">
        <v>0</v>
      </c>
      <c r="E80" s="105">
        <v>2.1</v>
      </c>
      <c r="F80" s="107">
        <f>TRUNC('NÃO DESONERADA'!F442,2)</f>
        <v>1537.58</v>
      </c>
      <c r="G80" s="128">
        <f t="shared" si="12"/>
        <v>1897.06</v>
      </c>
      <c r="H80" s="128">
        <f t="shared" si="13"/>
        <v>3228.91</v>
      </c>
      <c r="I80" s="129">
        <f t="shared" si="14"/>
        <v>3983.82</v>
      </c>
      <c r="J80" s="129">
        <v>3111.48</v>
      </c>
    </row>
    <row r="81" spans="1:10" s="105" customFormat="1" ht="99.75">
      <c r="A81" s="105" t="s">
        <v>766</v>
      </c>
      <c r="B81" s="106" t="s">
        <v>764</v>
      </c>
      <c r="C81" s="105" t="s">
        <v>765</v>
      </c>
      <c r="D81" s="105" t="s">
        <v>3</v>
      </c>
      <c r="E81" s="105">
        <v>28.7</v>
      </c>
      <c r="F81" s="107">
        <v>852.11</v>
      </c>
      <c r="G81" s="128">
        <v>1051.33</v>
      </c>
      <c r="H81" s="128">
        <v>24455.55</v>
      </c>
      <c r="I81" s="129">
        <v>30173.17</v>
      </c>
      <c r="J81" s="129"/>
    </row>
    <row r="82" spans="1:10" s="44" customFormat="1" ht="15.75">
      <c r="A82" s="53" t="s">
        <v>52</v>
      </c>
      <c r="B82" s="55"/>
      <c r="C82" s="54"/>
      <c r="D82" s="55"/>
      <c r="E82" s="55"/>
      <c r="F82" s="55"/>
      <c r="G82" s="53" t="s">
        <v>55</v>
      </c>
      <c r="H82" s="121">
        <f>H80+H79+H78+H77+H76+H75+H74+H73</f>
        <v>64426.08</v>
      </c>
      <c r="I82" s="121">
        <f>I80+I79+I78+I77+I76+I75+I74+I73+I81</f>
        <v>109660.04</v>
      </c>
      <c r="J82" s="44">
        <v>42918.22</v>
      </c>
    </row>
    <row r="83" spans="1:9" s="124" customFormat="1" ht="15.75">
      <c r="A83" s="124" t="s">
        <v>22</v>
      </c>
      <c r="B83" s="126"/>
      <c r="C83" s="127" t="s">
        <v>66</v>
      </c>
      <c r="D83" s="127"/>
      <c r="E83" s="127"/>
      <c r="F83" s="127"/>
      <c r="G83" s="127"/>
      <c r="H83" s="127"/>
      <c r="I83" s="125"/>
    </row>
    <row r="84" spans="1:10" s="130" customFormat="1" ht="42.75">
      <c r="A84" s="95" t="s">
        <v>13</v>
      </c>
      <c r="B84" s="96" t="s">
        <v>335</v>
      </c>
      <c r="C84" s="97" t="s">
        <v>279</v>
      </c>
      <c r="D84" s="98" t="s">
        <v>0</v>
      </c>
      <c r="E84" s="99">
        <v>649.06</v>
      </c>
      <c r="F84" s="100">
        <f>TRUNC('NÃO DESONERADA'!F455,2)</f>
        <v>90.03</v>
      </c>
      <c r="G84" s="128">
        <f aca="true" t="shared" si="15" ref="G84:G89">TRUNC(F84*1.2338,2)</f>
        <v>111.07</v>
      </c>
      <c r="H84" s="128">
        <f aca="true" t="shared" si="16" ref="H84:H89">TRUNC(F84*E84,2)</f>
        <v>58434.87</v>
      </c>
      <c r="I84" s="129">
        <f aca="true" t="shared" si="17" ref="I84:I89">TRUNC(E84*G84,2)</f>
        <v>72091.09</v>
      </c>
      <c r="J84" s="99">
        <v>31480.17</v>
      </c>
    </row>
    <row r="85" spans="1:10" s="130" customFormat="1" ht="57">
      <c r="A85" s="95" t="s">
        <v>14</v>
      </c>
      <c r="B85" s="96" t="s">
        <v>328</v>
      </c>
      <c r="C85" s="97" t="s">
        <v>123</v>
      </c>
      <c r="D85" s="98" t="s">
        <v>0</v>
      </c>
      <c r="E85" s="99">
        <v>15.93</v>
      </c>
      <c r="F85" s="100">
        <f>TRUNC('NÃO DESONERADA'!F461,2)</f>
        <v>61.08</v>
      </c>
      <c r="G85" s="128">
        <f t="shared" si="15"/>
        <v>75.36</v>
      </c>
      <c r="H85" s="128">
        <f t="shared" si="16"/>
        <v>973</v>
      </c>
      <c r="I85" s="129">
        <f t="shared" si="17"/>
        <v>1200.48</v>
      </c>
      <c r="J85" s="99">
        <v>1059.66</v>
      </c>
    </row>
    <row r="86" spans="1:10" s="105" customFormat="1" ht="71.25">
      <c r="A86" s="105" t="s">
        <v>15</v>
      </c>
      <c r="B86" s="108" t="s">
        <v>159</v>
      </c>
      <c r="C86" s="105" t="s">
        <v>121</v>
      </c>
      <c r="D86" s="105" t="s">
        <v>0</v>
      </c>
      <c r="E86" s="105">
        <v>212.48</v>
      </c>
      <c r="F86" s="107">
        <f>TRUNC('NÃO DESONERADA'!F470,2)</f>
        <v>18.06</v>
      </c>
      <c r="G86" s="128">
        <f t="shared" si="15"/>
        <v>22.28</v>
      </c>
      <c r="H86" s="128">
        <f t="shared" si="16"/>
        <v>3837.38</v>
      </c>
      <c r="I86" s="129">
        <f t="shared" si="17"/>
        <v>4734.05</v>
      </c>
      <c r="J86" s="99">
        <v>2791.37</v>
      </c>
    </row>
    <row r="87" spans="1:10" s="105" customFormat="1" ht="42.75">
      <c r="A87" s="105" t="s">
        <v>193</v>
      </c>
      <c r="B87" s="105" t="s">
        <v>206</v>
      </c>
      <c r="C87" s="105" t="s">
        <v>177</v>
      </c>
      <c r="D87" s="105" t="s">
        <v>12</v>
      </c>
      <c r="E87" s="105">
        <v>2</v>
      </c>
      <c r="F87" s="107">
        <f>TRUNC('NÃO DESONERADA'!F477,2)</f>
        <v>34.42</v>
      </c>
      <c r="G87" s="128">
        <f t="shared" si="15"/>
        <v>42.46</v>
      </c>
      <c r="H87" s="128">
        <f t="shared" si="16"/>
        <v>68.84</v>
      </c>
      <c r="I87" s="129">
        <f t="shared" si="17"/>
        <v>84.92</v>
      </c>
      <c r="J87" s="99">
        <v>252</v>
      </c>
    </row>
    <row r="88" spans="1:9" s="105" customFormat="1" ht="85.5">
      <c r="A88" s="105" t="s">
        <v>194</v>
      </c>
      <c r="B88" s="105" t="s">
        <v>209</v>
      </c>
      <c r="C88" s="105" t="s">
        <v>378</v>
      </c>
      <c r="D88" s="105" t="s">
        <v>0</v>
      </c>
      <c r="E88" s="105">
        <v>172.03</v>
      </c>
      <c r="F88" s="107">
        <f>TRUNC('NÃO DESONERADA'!F482,2)</f>
        <v>17.19</v>
      </c>
      <c r="G88" s="128">
        <f t="shared" si="15"/>
        <v>21.2</v>
      </c>
      <c r="H88" s="128">
        <f t="shared" si="16"/>
        <v>2957.19</v>
      </c>
      <c r="I88" s="129">
        <f t="shared" si="17"/>
        <v>3647.03</v>
      </c>
    </row>
    <row r="89" spans="1:9" s="105" customFormat="1" ht="42.75">
      <c r="A89" s="105" t="s">
        <v>224</v>
      </c>
      <c r="B89" s="105" t="s">
        <v>322</v>
      </c>
      <c r="C89" s="105" t="s">
        <v>319</v>
      </c>
      <c r="D89" s="105" t="s">
        <v>0</v>
      </c>
      <c r="E89" s="105">
        <v>195.51</v>
      </c>
      <c r="F89" s="107">
        <f>TRUNC('NÃO DESONERADA'!F489,2)</f>
        <v>11.08</v>
      </c>
      <c r="G89" s="128">
        <f t="shared" si="15"/>
        <v>13.67</v>
      </c>
      <c r="H89" s="128">
        <f t="shared" si="16"/>
        <v>2166.25</v>
      </c>
      <c r="I89" s="129">
        <f t="shared" si="17"/>
        <v>2672.62</v>
      </c>
    </row>
    <row r="90" spans="1:9" s="105" customFormat="1" ht="71.25">
      <c r="A90" s="105" t="s">
        <v>767</v>
      </c>
      <c r="B90" s="105" t="s">
        <v>159</v>
      </c>
      <c r="C90" s="105" t="s">
        <v>768</v>
      </c>
      <c r="D90" s="105" t="s">
        <v>0</v>
      </c>
      <c r="E90" s="105">
        <v>1290.81</v>
      </c>
      <c r="F90" s="107">
        <v>18.06</v>
      </c>
      <c r="G90" s="128">
        <v>22.28</v>
      </c>
      <c r="H90" s="128">
        <v>23312.02</v>
      </c>
      <c r="I90" s="129">
        <v>28759.24</v>
      </c>
    </row>
    <row r="91" spans="1:9" s="44" customFormat="1" ht="15.75">
      <c r="A91" s="195" t="s">
        <v>52</v>
      </c>
      <c r="B91" s="196"/>
      <c r="C91" s="197"/>
      <c r="D91" s="196"/>
      <c r="E91" s="196"/>
      <c r="F91" s="196"/>
      <c r="G91" s="195" t="s">
        <v>57</v>
      </c>
      <c r="H91" s="198">
        <f>H86+H87+H88+H84+H85+H89</f>
        <v>68437.53</v>
      </c>
      <c r="I91" s="198">
        <f>I86+I87+I88+I84+I85+I89+I90</f>
        <v>113189.43</v>
      </c>
    </row>
    <row r="92" spans="1:9" s="124" customFormat="1" ht="15.75">
      <c r="A92" s="124" t="s">
        <v>23</v>
      </c>
      <c r="B92" s="126"/>
      <c r="C92" s="127" t="s">
        <v>173</v>
      </c>
      <c r="D92" s="127"/>
      <c r="E92" s="127"/>
      <c r="F92" s="127"/>
      <c r="G92" s="127"/>
      <c r="H92" s="127"/>
      <c r="I92" s="125"/>
    </row>
    <row r="93" spans="1:9" s="105" customFormat="1" ht="71.25">
      <c r="A93" s="105" t="s">
        <v>736</v>
      </c>
      <c r="B93" s="105" t="s">
        <v>596</v>
      </c>
      <c r="C93" s="105" t="s">
        <v>597</v>
      </c>
      <c r="D93" s="105" t="s">
        <v>12</v>
      </c>
      <c r="E93" s="105">
        <v>1</v>
      </c>
      <c r="F93" s="107">
        <f>TRUNC('NÃO DESONERADA'!F504,2)</f>
        <v>364.83</v>
      </c>
      <c r="G93" s="128">
        <f aca="true" t="shared" si="18" ref="G93:G100">TRUNC(F93*1.2338,2)</f>
        <v>450.12</v>
      </c>
      <c r="H93" s="128">
        <f aca="true" t="shared" si="19" ref="H93:H100">TRUNC(F93*E93,2)</f>
        <v>364.83</v>
      </c>
      <c r="I93" s="129">
        <f aca="true" t="shared" si="20" ref="I93:I100">TRUNC(E93*G93,2)</f>
        <v>450.12</v>
      </c>
    </row>
    <row r="94" spans="1:9" s="105" customFormat="1" ht="28.5">
      <c r="A94" s="105" t="s">
        <v>737</v>
      </c>
      <c r="B94" s="105" t="s">
        <v>600</v>
      </c>
      <c r="C94" s="105" t="s">
        <v>601</v>
      </c>
      <c r="D94" s="105" t="s">
        <v>12</v>
      </c>
      <c r="E94" s="105">
        <v>5</v>
      </c>
      <c r="F94" s="107">
        <f>TRUNC('NÃO DESONERADA'!F509,2)</f>
        <v>40.12</v>
      </c>
      <c r="G94" s="128">
        <f t="shared" si="18"/>
        <v>49.5</v>
      </c>
      <c r="H94" s="128">
        <f t="shared" si="19"/>
        <v>200.6</v>
      </c>
      <c r="I94" s="129">
        <f t="shared" si="20"/>
        <v>247.5</v>
      </c>
    </row>
    <row r="95" spans="1:9" s="105" customFormat="1" ht="57">
      <c r="A95" s="105" t="s">
        <v>212</v>
      </c>
      <c r="B95" s="105" t="s">
        <v>604</v>
      </c>
      <c r="C95" s="105" t="s">
        <v>605</v>
      </c>
      <c r="D95" s="105" t="s">
        <v>12</v>
      </c>
      <c r="E95" s="105">
        <v>5</v>
      </c>
      <c r="F95" s="107">
        <f>TRUNC('NÃO DESONERADA'!F514,2)</f>
        <v>84.46</v>
      </c>
      <c r="G95" s="128">
        <f t="shared" si="18"/>
        <v>104.2</v>
      </c>
      <c r="H95" s="128">
        <f t="shared" si="19"/>
        <v>422.3</v>
      </c>
      <c r="I95" s="129">
        <f t="shared" si="20"/>
        <v>521</v>
      </c>
    </row>
    <row r="96" spans="1:9" s="105" customFormat="1" ht="42.75">
      <c r="A96" s="105" t="s">
        <v>738</v>
      </c>
      <c r="B96" s="105" t="s">
        <v>608</v>
      </c>
      <c r="C96" s="105" t="s">
        <v>609</v>
      </c>
      <c r="D96" s="105" t="s">
        <v>12</v>
      </c>
      <c r="E96" s="105">
        <v>1</v>
      </c>
      <c r="F96" s="107">
        <f>TRUNC('NÃO DESONERADA'!F519,2)</f>
        <v>121.56</v>
      </c>
      <c r="G96" s="128">
        <f t="shared" si="18"/>
        <v>149.98</v>
      </c>
      <c r="H96" s="128">
        <f t="shared" si="19"/>
        <v>121.56</v>
      </c>
      <c r="I96" s="129">
        <f t="shared" si="20"/>
        <v>149.98</v>
      </c>
    </row>
    <row r="97" spans="1:9" s="105" customFormat="1" ht="42.75">
      <c r="A97" s="105" t="s">
        <v>739</v>
      </c>
      <c r="B97" s="105" t="s">
        <v>612</v>
      </c>
      <c r="C97" s="105" t="s">
        <v>613</v>
      </c>
      <c r="D97" s="105" t="s">
        <v>3</v>
      </c>
      <c r="E97" s="105">
        <v>119.68</v>
      </c>
      <c r="F97" s="107">
        <f>TRUNC('NÃO DESONERADA'!F524,2)</f>
        <v>9.5</v>
      </c>
      <c r="G97" s="128">
        <f t="shared" si="18"/>
        <v>11.72</v>
      </c>
      <c r="H97" s="128">
        <f t="shared" si="19"/>
        <v>1136.96</v>
      </c>
      <c r="I97" s="129">
        <f t="shared" si="20"/>
        <v>1402.64</v>
      </c>
    </row>
    <row r="98" spans="1:9" s="105" customFormat="1" ht="57">
      <c r="A98" s="105" t="s">
        <v>740</v>
      </c>
      <c r="B98" s="105" t="s">
        <v>616</v>
      </c>
      <c r="C98" s="105" t="s">
        <v>617</v>
      </c>
      <c r="D98" s="105" t="s">
        <v>3</v>
      </c>
      <c r="E98" s="105">
        <v>396.88</v>
      </c>
      <c r="F98" s="107">
        <f>TRUNC('NÃO DESONERADA'!F529,2)</f>
        <v>5.52</v>
      </c>
      <c r="G98" s="128">
        <f t="shared" si="18"/>
        <v>6.81</v>
      </c>
      <c r="H98" s="128">
        <f t="shared" si="19"/>
        <v>2190.77</v>
      </c>
      <c r="I98" s="129">
        <f t="shared" si="20"/>
        <v>2702.75</v>
      </c>
    </row>
    <row r="99" spans="1:9" s="105" customFormat="1" ht="57">
      <c r="A99" s="105" t="s">
        <v>741</v>
      </c>
      <c r="B99" s="105" t="s">
        <v>620</v>
      </c>
      <c r="C99" s="105" t="s">
        <v>621</v>
      </c>
      <c r="D99" s="105" t="s">
        <v>3</v>
      </c>
      <c r="E99" s="105">
        <v>100</v>
      </c>
      <c r="F99" s="107">
        <f>TRUNC('NÃO DESONERADA'!F535,2)</f>
        <v>10.69</v>
      </c>
      <c r="G99" s="128">
        <f t="shared" si="18"/>
        <v>13.18</v>
      </c>
      <c r="H99" s="128">
        <f t="shared" si="19"/>
        <v>1069</v>
      </c>
      <c r="I99" s="129">
        <f t="shared" si="20"/>
        <v>1318</v>
      </c>
    </row>
    <row r="100" spans="1:9" s="105" customFormat="1" ht="99.75">
      <c r="A100" s="105" t="s">
        <v>742</v>
      </c>
      <c r="B100" s="105" t="s">
        <v>210</v>
      </c>
      <c r="C100" s="105" t="s">
        <v>169</v>
      </c>
      <c r="D100" s="105" t="s">
        <v>12</v>
      </c>
      <c r="E100" s="105">
        <v>15</v>
      </c>
      <c r="F100" s="107">
        <f>TRUNC('NÃO DESONERADA'!F541,2)</f>
        <v>190.06</v>
      </c>
      <c r="G100" s="128">
        <f t="shared" si="18"/>
        <v>234.49</v>
      </c>
      <c r="H100" s="128">
        <f t="shared" si="19"/>
        <v>2850.9</v>
      </c>
      <c r="I100" s="129">
        <f t="shared" si="20"/>
        <v>3517.35</v>
      </c>
    </row>
    <row r="101" spans="1:9" s="44" customFormat="1" ht="15.75">
      <c r="A101" s="53" t="s">
        <v>52</v>
      </c>
      <c r="B101" s="55"/>
      <c r="C101" s="54"/>
      <c r="D101" s="55"/>
      <c r="E101" s="55"/>
      <c r="F101" s="55"/>
      <c r="G101" s="53" t="s">
        <v>213</v>
      </c>
      <c r="H101" s="57">
        <f>H100+H99+H98+H97+H96+H95+H94+H93</f>
        <v>8356.920000000002</v>
      </c>
      <c r="I101" s="57">
        <f>I100+I99+I98+I97+I96+I95+I94+I93</f>
        <v>10309.34</v>
      </c>
    </row>
    <row r="102" spans="1:9" s="124" customFormat="1" ht="15.75">
      <c r="A102" s="124" t="s">
        <v>24</v>
      </c>
      <c r="B102" s="126"/>
      <c r="C102" s="127" t="s">
        <v>67</v>
      </c>
      <c r="D102" s="127"/>
      <c r="E102" s="127"/>
      <c r="F102" s="127"/>
      <c r="G102" s="127"/>
      <c r="H102" s="127"/>
      <c r="I102" s="125"/>
    </row>
    <row r="103" spans="1:9" s="105" customFormat="1" ht="28.5">
      <c r="A103" s="105" t="s">
        <v>164</v>
      </c>
      <c r="B103" s="105" t="s">
        <v>162</v>
      </c>
      <c r="C103" s="105" t="s">
        <v>79</v>
      </c>
      <c r="D103" s="105" t="s">
        <v>16</v>
      </c>
      <c r="E103" s="105">
        <v>1</v>
      </c>
      <c r="F103" s="107">
        <f>TRUNC('NÃO DESONERADA'!F553,2)</f>
        <v>2781</v>
      </c>
      <c r="G103" s="128">
        <f aca="true" t="shared" si="21" ref="G103:G111">TRUNC(F103*1.2338,2)</f>
        <v>3431.19</v>
      </c>
      <c r="H103" s="128">
        <f aca="true" t="shared" si="22" ref="H103:H111">TRUNC(F103*E103,2)</f>
        <v>2781</v>
      </c>
      <c r="I103" s="129">
        <f aca="true" t="shared" si="23" ref="I103:I111">TRUNC(E103*G103,2)</f>
        <v>3431.19</v>
      </c>
    </row>
    <row r="104" spans="1:9" s="105" customFormat="1" ht="28.5">
      <c r="A104" s="105" t="s">
        <v>165</v>
      </c>
      <c r="B104" s="105" t="s">
        <v>263</v>
      </c>
      <c r="C104" s="105" t="s">
        <v>248</v>
      </c>
      <c r="D104" s="105" t="s">
        <v>16</v>
      </c>
      <c r="E104" s="105">
        <v>1</v>
      </c>
      <c r="F104" s="107">
        <f>TRUNC('NÃO DESONERADA'!F556,2)</f>
        <v>757.13</v>
      </c>
      <c r="G104" s="128">
        <f t="shared" si="21"/>
        <v>934.14</v>
      </c>
      <c r="H104" s="128">
        <f t="shared" si="22"/>
        <v>757.13</v>
      </c>
      <c r="I104" s="129">
        <f t="shared" si="23"/>
        <v>934.14</v>
      </c>
    </row>
    <row r="105" spans="1:9" s="105" customFormat="1" ht="14.25">
      <c r="A105" s="105" t="s">
        <v>225</v>
      </c>
      <c r="B105" s="105" t="s">
        <v>264</v>
      </c>
      <c r="C105" s="105" t="s">
        <v>251</v>
      </c>
      <c r="D105" s="105" t="s">
        <v>12</v>
      </c>
      <c r="E105" s="105">
        <v>1</v>
      </c>
      <c r="F105" s="107">
        <f>TRUNC('NÃO DESONERADA'!F559,2)</f>
        <v>129.95</v>
      </c>
      <c r="G105" s="128">
        <f t="shared" si="21"/>
        <v>160.33</v>
      </c>
      <c r="H105" s="128">
        <f t="shared" si="22"/>
        <v>129.95</v>
      </c>
      <c r="I105" s="129">
        <f t="shared" si="23"/>
        <v>160.33</v>
      </c>
    </row>
    <row r="106" spans="1:9" s="105" customFormat="1" ht="14.25">
      <c r="A106" s="105" t="s">
        <v>226</v>
      </c>
      <c r="B106" s="105" t="s">
        <v>163</v>
      </c>
      <c r="C106" s="105" t="s">
        <v>81</v>
      </c>
      <c r="D106" s="105" t="s">
        <v>16</v>
      </c>
      <c r="E106" s="105">
        <v>1</v>
      </c>
      <c r="F106" s="107">
        <f>TRUNC('NÃO DESONERADA'!F562,2)</f>
        <v>104.61</v>
      </c>
      <c r="G106" s="128">
        <f t="shared" si="21"/>
        <v>129.06</v>
      </c>
      <c r="H106" s="128">
        <f t="shared" si="22"/>
        <v>104.61</v>
      </c>
      <c r="I106" s="129">
        <f t="shared" si="23"/>
        <v>129.06</v>
      </c>
    </row>
    <row r="107" spans="1:9" s="105" customFormat="1" ht="28.5">
      <c r="A107" s="105" t="s">
        <v>227</v>
      </c>
      <c r="B107" s="105" t="s">
        <v>356</v>
      </c>
      <c r="C107" s="105" t="s">
        <v>364</v>
      </c>
      <c r="D107" s="105" t="s">
        <v>12</v>
      </c>
      <c r="E107" s="105">
        <v>2</v>
      </c>
      <c r="F107" s="107">
        <f>TRUNC('NÃO DESONERADA'!F565,2)</f>
        <v>1080</v>
      </c>
      <c r="G107" s="128">
        <f t="shared" si="21"/>
        <v>1332.5</v>
      </c>
      <c r="H107" s="128">
        <f t="shared" si="22"/>
        <v>2160</v>
      </c>
      <c r="I107" s="129">
        <f t="shared" si="23"/>
        <v>2665</v>
      </c>
    </row>
    <row r="108" spans="1:9" s="105" customFormat="1" ht="42.75">
      <c r="A108" s="105" t="s">
        <v>228</v>
      </c>
      <c r="B108" s="105" t="s">
        <v>379</v>
      </c>
      <c r="C108" s="105" t="s">
        <v>357</v>
      </c>
      <c r="D108" s="105" t="s">
        <v>12</v>
      </c>
      <c r="E108" s="105">
        <v>2</v>
      </c>
      <c r="F108" s="107">
        <f>TRUNC('NÃO DESONERADA'!F568,2)</f>
        <v>141.93</v>
      </c>
      <c r="G108" s="128">
        <f t="shared" si="21"/>
        <v>175.11</v>
      </c>
      <c r="H108" s="128">
        <f t="shared" si="22"/>
        <v>283.86</v>
      </c>
      <c r="I108" s="129">
        <f t="shared" si="23"/>
        <v>350.22</v>
      </c>
    </row>
    <row r="109" spans="1:9" s="105" customFormat="1" ht="28.5">
      <c r="A109" s="105" t="s">
        <v>361</v>
      </c>
      <c r="B109" s="119" t="s">
        <v>368</v>
      </c>
      <c r="C109" s="105" t="s">
        <v>369</v>
      </c>
      <c r="D109" s="105" t="s">
        <v>0</v>
      </c>
      <c r="E109" s="105">
        <v>67.2</v>
      </c>
      <c r="F109" s="107">
        <f>TRUNC('NÃO DESONERADA'!F574,2)</f>
        <v>4.97</v>
      </c>
      <c r="G109" s="128">
        <f t="shared" si="21"/>
        <v>6.13</v>
      </c>
      <c r="H109" s="128">
        <f t="shared" si="22"/>
        <v>333.98</v>
      </c>
      <c r="I109" s="129">
        <f t="shared" si="23"/>
        <v>411.93</v>
      </c>
    </row>
    <row r="110" spans="1:9" s="105" customFormat="1" ht="57">
      <c r="A110" s="105" t="s">
        <v>362</v>
      </c>
      <c r="B110" s="105" t="s">
        <v>343</v>
      </c>
      <c r="C110" s="105" t="s">
        <v>337</v>
      </c>
      <c r="D110" s="105" t="s">
        <v>16</v>
      </c>
      <c r="E110" s="105">
        <v>1</v>
      </c>
      <c r="F110" s="107">
        <f>TRUNC('NÃO DESONERADA'!F579,2)</f>
        <v>3007.52</v>
      </c>
      <c r="G110" s="128">
        <f t="shared" si="21"/>
        <v>3710.67</v>
      </c>
      <c r="H110" s="128">
        <f t="shared" si="22"/>
        <v>3007.52</v>
      </c>
      <c r="I110" s="129">
        <f t="shared" si="23"/>
        <v>3710.67</v>
      </c>
    </row>
    <row r="111" spans="1:9" s="105" customFormat="1" ht="42.75">
      <c r="A111" s="105" t="s">
        <v>363</v>
      </c>
      <c r="B111" s="105" t="s">
        <v>346</v>
      </c>
      <c r="C111" s="105" t="s">
        <v>340</v>
      </c>
      <c r="D111" s="105" t="s">
        <v>16</v>
      </c>
      <c r="E111" s="105">
        <v>1</v>
      </c>
      <c r="F111" s="107">
        <f>TRUNC('NÃO DESONERADA'!F585,2)</f>
        <v>1522.28</v>
      </c>
      <c r="G111" s="128">
        <f t="shared" si="21"/>
        <v>1878.18</v>
      </c>
      <c r="H111" s="128">
        <f t="shared" si="22"/>
        <v>1522.28</v>
      </c>
      <c r="I111" s="129">
        <f t="shared" si="23"/>
        <v>1878.18</v>
      </c>
    </row>
    <row r="112" spans="1:9" s="44" customFormat="1" ht="16.5" customHeight="1">
      <c r="A112" s="53" t="s">
        <v>52</v>
      </c>
      <c r="B112" s="55"/>
      <c r="C112" s="54"/>
      <c r="D112" s="55"/>
      <c r="E112" s="55"/>
      <c r="F112" s="55"/>
      <c r="G112" s="53" t="s">
        <v>176</v>
      </c>
      <c r="H112" s="57">
        <f>H106+H105+H104+H103+H109+H107+H108+H110+H111</f>
        <v>11080.33</v>
      </c>
      <c r="I112" s="57">
        <f>I106+I105+I104+I103+I109+I107+I108+I110+I111</f>
        <v>13670.720000000001</v>
      </c>
    </row>
    <row r="113" spans="1:9" s="124" customFormat="1" ht="15.75">
      <c r="A113" s="124" t="s">
        <v>174</v>
      </c>
      <c r="B113" s="126"/>
      <c r="C113" s="127" t="s">
        <v>222</v>
      </c>
      <c r="D113" s="127"/>
      <c r="E113" s="127"/>
      <c r="F113" s="127"/>
      <c r="G113" s="127"/>
      <c r="H113" s="127"/>
      <c r="I113" s="125"/>
    </row>
    <row r="114" spans="1:9" s="105" customFormat="1" ht="57">
      <c r="A114" s="105" t="s">
        <v>175</v>
      </c>
      <c r="B114" s="105" t="s">
        <v>243</v>
      </c>
      <c r="C114" s="105" t="s">
        <v>223</v>
      </c>
      <c r="D114" s="105" t="s">
        <v>0</v>
      </c>
      <c r="E114" s="105">
        <v>310.48</v>
      </c>
      <c r="F114" s="107">
        <f>TRUNC('NÃO DESONERADA'!F592,2)</f>
        <v>13.04</v>
      </c>
      <c r="G114" s="128">
        <f>TRUNC(F114*1.2338,2)</f>
        <v>16.08</v>
      </c>
      <c r="H114" s="128">
        <f>TRUNC(F114*E114,2)</f>
        <v>4048.65</v>
      </c>
      <c r="I114" s="129">
        <f>TRUNC(E114*G114,2)</f>
        <v>4992.51</v>
      </c>
    </row>
    <row r="115" spans="1:10" s="86" customFormat="1" ht="15.75">
      <c r="A115" s="80" t="s">
        <v>52</v>
      </c>
      <c r="B115" s="81"/>
      <c r="C115" s="82"/>
      <c r="D115" s="81"/>
      <c r="E115" s="81"/>
      <c r="F115" s="81"/>
      <c r="G115" s="80" t="s">
        <v>61</v>
      </c>
      <c r="H115" s="122">
        <f>H114</f>
        <v>4048.65</v>
      </c>
      <c r="I115" s="83">
        <f>I114</f>
        <v>4992.51</v>
      </c>
      <c r="J115" s="86">
        <v>4371.55</v>
      </c>
    </row>
    <row r="116" spans="1:9" s="124" customFormat="1" ht="15.75">
      <c r="A116" s="124" t="s">
        <v>229</v>
      </c>
      <c r="B116" s="126"/>
      <c r="C116" s="127" t="s">
        <v>624</v>
      </c>
      <c r="D116" s="127"/>
      <c r="E116" s="127"/>
      <c r="F116" s="127"/>
      <c r="G116" s="127"/>
      <c r="H116" s="127"/>
      <c r="I116" s="125"/>
    </row>
    <row r="117" spans="1:9" s="105" customFormat="1" ht="28.5">
      <c r="A117" s="105" t="s">
        <v>230</v>
      </c>
      <c r="B117" s="105" t="s">
        <v>625</v>
      </c>
      <c r="C117" s="105" t="s">
        <v>626</v>
      </c>
      <c r="D117" s="105" t="s">
        <v>0</v>
      </c>
      <c r="E117" s="105">
        <v>837.67</v>
      </c>
      <c r="F117" s="107">
        <f>TRUNC('NÃO DESONERADA'!F598,2)</f>
        <v>58.99</v>
      </c>
      <c r="G117" s="128">
        <f>TRUNC(F117*1.2338,2)</f>
        <v>72.78</v>
      </c>
      <c r="H117" s="128">
        <f>TRUNC(F117*E117,2)</f>
        <v>49414.15</v>
      </c>
      <c r="I117" s="129">
        <f>TRUNC(E117*G117,2)</f>
        <v>60965.62</v>
      </c>
    </row>
    <row r="118" spans="1:9" s="105" customFormat="1" ht="42.75">
      <c r="A118" s="105" t="s">
        <v>743</v>
      </c>
      <c r="B118" s="105" t="s">
        <v>638</v>
      </c>
      <c r="C118" s="105" t="s">
        <v>639</v>
      </c>
      <c r="D118" s="105" t="s">
        <v>3</v>
      </c>
      <c r="E118" s="105">
        <v>39.7</v>
      </c>
      <c r="F118" s="107">
        <f>TRUNC('NÃO DESONERADA'!F606,2)</f>
        <v>66.29</v>
      </c>
      <c r="G118" s="128">
        <f>TRUNC(F118*1.2338,2)</f>
        <v>81.78</v>
      </c>
      <c r="H118" s="128">
        <f>TRUNC(F118*E118,2)</f>
        <v>2631.71</v>
      </c>
      <c r="I118" s="129">
        <f>TRUNC(E118*G118,2)</f>
        <v>3246.66</v>
      </c>
    </row>
    <row r="119" spans="1:10" s="86" customFormat="1" ht="15.75">
      <c r="A119" s="80" t="s">
        <v>52</v>
      </c>
      <c r="B119" s="81"/>
      <c r="C119" s="82"/>
      <c r="D119" s="81"/>
      <c r="E119" s="81"/>
      <c r="F119" s="81"/>
      <c r="G119" s="80" t="s">
        <v>61</v>
      </c>
      <c r="H119" s="83">
        <f>H118+H117</f>
        <v>52045.86</v>
      </c>
      <c r="I119" s="83">
        <f>I118+I117</f>
        <v>64212.28</v>
      </c>
      <c r="J119" s="86">
        <v>4371.55</v>
      </c>
    </row>
    <row r="120" spans="1:9" s="124" customFormat="1" ht="15.75">
      <c r="A120" s="124" t="s">
        <v>744</v>
      </c>
      <c r="B120" s="126"/>
      <c r="C120" s="127" t="s">
        <v>644</v>
      </c>
      <c r="D120" s="127"/>
      <c r="E120" s="127"/>
      <c r="F120" s="127"/>
      <c r="G120" s="127"/>
      <c r="H120" s="127"/>
      <c r="I120" s="125"/>
    </row>
    <row r="121" spans="1:9" s="105" customFormat="1" ht="42.75">
      <c r="A121" s="105" t="s">
        <v>745</v>
      </c>
      <c r="B121" s="105" t="s">
        <v>645</v>
      </c>
      <c r="C121" s="105" t="s">
        <v>646</v>
      </c>
      <c r="D121" s="105" t="s">
        <v>1</v>
      </c>
      <c r="E121" s="105">
        <v>13.08</v>
      </c>
      <c r="F121" s="107">
        <f>TRUNC('NÃO DESONERADA'!F614,2)</f>
        <v>57.95</v>
      </c>
      <c r="G121" s="128">
        <f aca="true" t="shared" si="24" ref="G121:G126">TRUNC(F121*1.2338,2)</f>
        <v>71.49</v>
      </c>
      <c r="H121" s="128">
        <f aca="true" t="shared" si="25" ref="H121:H126">TRUNC(F121*E121,2)</f>
        <v>757.98</v>
      </c>
      <c r="I121" s="129">
        <f aca="true" t="shared" si="26" ref="I121:I126">TRUNC(E121*G121,2)</f>
        <v>935.08</v>
      </c>
    </row>
    <row r="122" spans="1:9" s="105" customFormat="1" ht="28.5">
      <c r="A122" s="105" t="s">
        <v>746</v>
      </c>
      <c r="B122" s="105" t="s">
        <v>647</v>
      </c>
      <c r="C122" s="105" t="s">
        <v>648</v>
      </c>
      <c r="D122" s="105" t="s">
        <v>3</v>
      </c>
      <c r="E122" s="105">
        <v>25.92</v>
      </c>
      <c r="F122" s="107">
        <f>TRUNC('NÃO DESONERADA'!F617,2)</f>
        <v>139.03</v>
      </c>
      <c r="G122" s="128">
        <f t="shared" si="24"/>
        <v>171.53</v>
      </c>
      <c r="H122" s="128">
        <f t="shared" si="25"/>
        <v>3603.65</v>
      </c>
      <c r="I122" s="129">
        <f t="shared" si="26"/>
        <v>4446.05</v>
      </c>
    </row>
    <row r="123" spans="1:9" s="105" customFormat="1" ht="28.5">
      <c r="A123" s="105" t="s">
        <v>747</v>
      </c>
      <c r="B123" s="105" t="s">
        <v>655</v>
      </c>
      <c r="C123" s="105" t="s">
        <v>656</v>
      </c>
      <c r="D123" s="105" t="s">
        <v>3</v>
      </c>
      <c r="E123" s="105">
        <v>48.61</v>
      </c>
      <c r="F123" s="107">
        <f>TRUNC('NÃO DESONERADA'!F623,2)</f>
        <v>93.82</v>
      </c>
      <c r="G123" s="128">
        <f t="shared" si="24"/>
        <v>115.75</v>
      </c>
      <c r="H123" s="128">
        <f t="shared" si="25"/>
        <v>4560.59</v>
      </c>
      <c r="I123" s="129">
        <f t="shared" si="26"/>
        <v>5626.6</v>
      </c>
    </row>
    <row r="124" spans="1:9" s="105" customFormat="1" ht="28.5">
      <c r="A124" s="105" t="s">
        <v>748</v>
      </c>
      <c r="B124" s="105" t="s">
        <v>659</v>
      </c>
      <c r="C124" s="105" t="s">
        <v>660</v>
      </c>
      <c r="D124" s="105" t="s">
        <v>3</v>
      </c>
      <c r="E124" s="105">
        <v>37</v>
      </c>
      <c r="F124" s="107">
        <f>TRUNC('NÃO DESONERADA'!F629,2)</f>
        <v>85.77</v>
      </c>
      <c r="G124" s="128">
        <f t="shared" si="24"/>
        <v>105.82</v>
      </c>
      <c r="H124" s="128">
        <f t="shared" si="25"/>
        <v>3173.49</v>
      </c>
      <c r="I124" s="129">
        <f t="shared" si="26"/>
        <v>3915.34</v>
      </c>
    </row>
    <row r="125" spans="1:9" s="105" customFormat="1" ht="85.5">
      <c r="A125" s="105" t="s">
        <v>749</v>
      </c>
      <c r="B125" s="105" t="s">
        <v>681</v>
      </c>
      <c r="C125" s="105" t="s">
        <v>673</v>
      </c>
      <c r="D125" s="105" t="s">
        <v>12</v>
      </c>
      <c r="E125" s="105">
        <v>6</v>
      </c>
      <c r="F125" s="107">
        <f>TRUNC('NÃO DESONERADA'!F637,2)</f>
        <v>697.95</v>
      </c>
      <c r="G125" s="128">
        <f t="shared" si="24"/>
        <v>861.13</v>
      </c>
      <c r="H125" s="128">
        <f t="shared" si="25"/>
        <v>4187.7</v>
      </c>
      <c r="I125" s="129">
        <f t="shared" si="26"/>
        <v>5166.78</v>
      </c>
    </row>
    <row r="126" spans="1:9" s="105" customFormat="1" ht="42.75">
      <c r="A126" s="105" t="s">
        <v>750</v>
      </c>
      <c r="B126" s="105" t="s">
        <v>690</v>
      </c>
      <c r="C126" s="105" t="s">
        <v>691</v>
      </c>
      <c r="D126" s="105" t="s">
        <v>3</v>
      </c>
      <c r="E126" s="105">
        <v>43.74</v>
      </c>
      <c r="F126" s="107">
        <f>TRUNC('NÃO DESONERADA'!F653,2)</f>
        <v>50.92</v>
      </c>
      <c r="G126" s="128">
        <f t="shared" si="24"/>
        <v>62.82</v>
      </c>
      <c r="H126" s="128">
        <f t="shared" si="25"/>
        <v>2227.24</v>
      </c>
      <c r="I126" s="129">
        <f t="shared" si="26"/>
        <v>2747.74</v>
      </c>
    </row>
    <row r="127" spans="1:10" s="86" customFormat="1" ht="15.75">
      <c r="A127" s="80" t="s">
        <v>52</v>
      </c>
      <c r="B127" s="81"/>
      <c r="C127" s="82"/>
      <c r="D127" s="81"/>
      <c r="E127" s="81"/>
      <c r="F127" s="81"/>
      <c r="G127" s="80" t="s">
        <v>751</v>
      </c>
      <c r="H127" s="83">
        <f>H126+H125+H124+H123+H122+H121</f>
        <v>18510.65</v>
      </c>
      <c r="I127" s="83">
        <f>I126+I125+I124+I123+I122+I121</f>
        <v>22837.59</v>
      </c>
      <c r="J127" s="86">
        <v>4371.55</v>
      </c>
    </row>
    <row r="128" spans="1:9" s="124" customFormat="1" ht="15.75">
      <c r="A128" s="124">
        <v>10</v>
      </c>
      <c r="B128" s="126"/>
      <c r="C128" s="127" t="s">
        <v>68</v>
      </c>
      <c r="D128" s="127"/>
      <c r="E128" s="127"/>
      <c r="F128" s="127"/>
      <c r="G128" s="127"/>
      <c r="H128" s="127"/>
      <c r="I128" s="125"/>
    </row>
    <row r="129" spans="1:9" s="105" customFormat="1" ht="71.25">
      <c r="A129" s="105" t="s">
        <v>752</v>
      </c>
      <c r="B129" s="105" t="s">
        <v>211</v>
      </c>
      <c r="C129" s="105" t="s">
        <v>197</v>
      </c>
      <c r="D129" s="105" t="s">
        <v>12</v>
      </c>
      <c r="E129" s="105">
        <v>9</v>
      </c>
      <c r="F129" s="107">
        <f>TRUNC('NÃO DESONERADA'!F662,2)</f>
        <v>260.22</v>
      </c>
      <c r="G129" s="128">
        <f>TRUNC(F129*1.2338,2)</f>
        <v>321.05</v>
      </c>
      <c r="H129" s="128">
        <f>TRUNC(F129*E129,2)</f>
        <v>2341.98</v>
      </c>
      <c r="I129" s="129">
        <f>TRUNC(E129*G129,2)</f>
        <v>2889.45</v>
      </c>
    </row>
    <row r="130" spans="1:10" s="44" customFormat="1" ht="15.75">
      <c r="A130" s="53" t="s">
        <v>52</v>
      </c>
      <c r="B130" s="55"/>
      <c r="C130" s="54"/>
      <c r="D130" s="55"/>
      <c r="E130" s="55"/>
      <c r="F130" s="55"/>
      <c r="G130" s="53" t="s">
        <v>231</v>
      </c>
      <c r="H130" s="120">
        <f>H129</f>
        <v>2341.98</v>
      </c>
      <c r="I130" s="57">
        <f>I129</f>
        <v>2889.45</v>
      </c>
      <c r="J130" s="44">
        <v>1289.36</v>
      </c>
    </row>
    <row r="131" spans="1:9" s="44" customFormat="1" ht="15.75">
      <c r="A131" s="53" t="s">
        <v>52</v>
      </c>
      <c r="B131" s="55"/>
      <c r="C131" s="54"/>
      <c r="D131" s="55"/>
      <c r="E131" s="55"/>
      <c r="F131" s="53" t="s">
        <v>62</v>
      </c>
      <c r="G131" s="55"/>
      <c r="H131" s="57">
        <f>H130+H127+H119+H115+H112+H101+H91+H82+H71+H23</f>
        <v>879753.13</v>
      </c>
      <c r="I131" s="57">
        <f>I130+I127+I119+I115+I112+I101+I91+I82+I71+I23</f>
        <v>1144287.22</v>
      </c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39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Zeros="0" tabSelected="1" view="pageBreakPreview" zoomScale="40" zoomScaleNormal="70" zoomScaleSheetLayoutView="40" zoomScalePageLayoutView="0" workbookViewId="0" topLeftCell="A7">
      <selection activeCell="K17" sqref="K17"/>
    </sheetView>
  </sheetViews>
  <sheetFormatPr defaultColWidth="8.8515625" defaultRowHeight="15"/>
  <cols>
    <col min="1" max="1" width="12.7109375" style="40" bestFit="1" customWidth="1"/>
    <col min="2" max="2" width="78.28125" style="40" bestFit="1" customWidth="1"/>
    <col min="3" max="3" width="18.00390625" style="40" bestFit="1" customWidth="1"/>
    <col min="4" max="4" width="31.57421875" style="40" bestFit="1" customWidth="1"/>
    <col min="5" max="5" width="18.00390625" style="40" bestFit="1" customWidth="1"/>
    <col min="6" max="6" width="31.57421875" style="40" bestFit="1" customWidth="1"/>
    <col min="7" max="7" width="29.421875" style="40" customWidth="1"/>
    <col min="8" max="8" width="31.57421875" style="40" bestFit="1" customWidth="1"/>
    <col min="9" max="9" width="29.421875" style="40" customWidth="1"/>
    <col min="10" max="10" width="31.57421875" style="40" bestFit="1" customWidth="1"/>
    <col min="11" max="11" width="33.140625" style="40" customWidth="1"/>
    <col min="12" max="12" width="21.28125" style="23" bestFit="1" customWidth="1"/>
    <col min="13" max="13" width="19.140625" style="32" bestFit="1" customWidth="1"/>
    <col min="14" max="16384" width="8.8515625" style="23" customWidth="1"/>
  </cols>
  <sheetData>
    <row r="1" spans="1:12" ht="39.75" customHeight="1">
      <c r="A1" s="178" t="s">
        <v>26</v>
      </c>
      <c r="B1" s="179"/>
      <c r="C1" s="179"/>
      <c r="D1" s="179"/>
      <c r="E1" s="179"/>
      <c r="F1" s="179"/>
      <c r="G1" s="179"/>
      <c r="H1" s="179"/>
      <c r="I1" s="134"/>
      <c r="J1" s="134"/>
      <c r="K1" s="21"/>
      <c r="L1" s="22"/>
    </row>
    <row r="2" spans="1:12" ht="39.75" customHeight="1">
      <c r="A2" s="180" t="s">
        <v>27</v>
      </c>
      <c r="B2" s="181"/>
      <c r="C2" s="181"/>
      <c r="D2" s="181"/>
      <c r="E2" s="181"/>
      <c r="F2" s="181"/>
      <c r="G2" s="181"/>
      <c r="H2" s="181"/>
      <c r="I2" s="135"/>
      <c r="J2" s="135"/>
      <c r="K2" s="24"/>
      <c r="L2" s="22"/>
    </row>
    <row r="3" spans="1:12" ht="39.75" customHeight="1">
      <c r="A3" s="180" t="s">
        <v>85</v>
      </c>
      <c r="B3" s="181"/>
      <c r="C3" s="181"/>
      <c r="D3" s="181"/>
      <c r="E3" s="181"/>
      <c r="F3" s="181"/>
      <c r="G3" s="181"/>
      <c r="H3" s="181"/>
      <c r="I3" s="135"/>
      <c r="J3" s="135"/>
      <c r="K3" s="24"/>
      <c r="L3" s="22"/>
    </row>
    <row r="4" spans="1:12" ht="39.75" customHeight="1">
      <c r="A4" s="182" t="s">
        <v>759</v>
      </c>
      <c r="B4" s="183"/>
      <c r="C4" s="183"/>
      <c r="D4" s="183"/>
      <c r="E4" s="183"/>
      <c r="F4" s="183"/>
      <c r="G4" s="183"/>
      <c r="H4" s="183"/>
      <c r="I4" s="136"/>
      <c r="J4" s="136"/>
      <c r="K4" s="24"/>
      <c r="L4" s="22"/>
    </row>
    <row r="5" spans="1:12" ht="39.75" customHeight="1">
      <c r="A5" s="184" t="s">
        <v>760</v>
      </c>
      <c r="B5" s="185"/>
      <c r="C5" s="185"/>
      <c r="D5" s="185"/>
      <c r="E5" s="185"/>
      <c r="F5" s="185"/>
      <c r="G5" s="185"/>
      <c r="H5" s="185"/>
      <c r="I5" s="137"/>
      <c r="J5" s="137"/>
      <c r="K5" s="24"/>
      <c r="L5" s="22"/>
    </row>
    <row r="6" spans="1:12" ht="25.5">
      <c r="A6" s="173"/>
      <c r="B6" s="174"/>
      <c r="C6" s="174"/>
      <c r="D6" s="174"/>
      <c r="E6" s="174"/>
      <c r="F6" s="174"/>
      <c r="G6" s="174"/>
      <c r="H6" s="174"/>
      <c r="I6" s="133"/>
      <c r="J6" s="133"/>
      <c r="K6" s="24"/>
      <c r="L6" s="22"/>
    </row>
    <row r="7" spans="1:12" ht="39.75" customHeight="1">
      <c r="A7" s="188" t="s">
        <v>763</v>
      </c>
      <c r="B7" s="189"/>
      <c r="C7" s="189"/>
      <c r="D7" s="189"/>
      <c r="E7" s="189"/>
      <c r="F7" s="189"/>
      <c r="G7" s="189"/>
      <c r="H7" s="189"/>
      <c r="I7" s="138"/>
      <c r="J7" s="138"/>
      <c r="K7" s="24"/>
      <c r="L7" s="22"/>
    </row>
    <row r="8" spans="1:12" ht="39.75" customHeight="1">
      <c r="A8" s="190"/>
      <c r="B8" s="191"/>
      <c r="C8" s="191"/>
      <c r="D8" s="191"/>
      <c r="E8" s="191"/>
      <c r="F8" s="191"/>
      <c r="G8" s="191"/>
      <c r="H8" s="191"/>
      <c r="I8" s="139"/>
      <c r="J8" s="139"/>
      <c r="K8" s="25"/>
      <c r="L8" s="22"/>
    </row>
    <row r="9" spans="1:12" ht="39.75" customHeight="1">
      <c r="A9" s="170" t="s">
        <v>34</v>
      </c>
      <c r="B9" s="171"/>
      <c r="C9" s="171"/>
      <c r="D9" s="171"/>
      <c r="E9" s="171"/>
      <c r="F9" s="171"/>
      <c r="G9" s="171"/>
      <c r="H9" s="171"/>
      <c r="I9" s="171"/>
      <c r="J9" s="171"/>
      <c r="K9" s="172"/>
      <c r="L9" s="22"/>
    </row>
    <row r="10" spans="1:14" ht="39.75" customHeight="1">
      <c r="A10" s="175" t="s">
        <v>30</v>
      </c>
      <c r="B10" s="175" t="s">
        <v>35</v>
      </c>
      <c r="C10" s="163" t="s">
        <v>36</v>
      </c>
      <c r="D10" s="164"/>
      <c r="E10" s="164"/>
      <c r="F10" s="164"/>
      <c r="G10" s="164"/>
      <c r="H10" s="164"/>
      <c r="I10" s="132"/>
      <c r="J10" s="132"/>
      <c r="K10" s="26"/>
      <c r="L10" s="22"/>
      <c r="M10" s="41"/>
      <c r="N10" s="27"/>
    </row>
    <row r="11" spans="1:14" ht="39.75" customHeight="1">
      <c r="A11" s="176"/>
      <c r="B11" s="176"/>
      <c r="C11" s="163" t="s">
        <v>37</v>
      </c>
      <c r="D11" s="165"/>
      <c r="E11" s="163" t="s">
        <v>38</v>
      </c>
      <c r="F11" s="165"/>
      <c r="G11" s="163" t="s">
        <v>215</v>
      </c>
      <c r="H11" s="165"/>
      <c r="I11" s="163" t="s">
        <v>753</v>
      </c>
      <c r="J11" s="165"/>
      <c r="K11" s="26" t="s">
        <v>39</v>
      </c>
      <c r="L11" s="22"/>
      <c r="M11" s="41"/>
      <c r="N11" s="27"/>
    </row>
    <row r="12" spans="1:12" ht="39.75" customHeight="1">
      <c r="A12" s="177"/>
      <c r="B12" s="177"/>
      <c r="C12" s="28" t="s">
        <v>40</v>
      </c>
      <c r="D12" s="29" t="s">
        <v>41</v>
      </c>
      <c r="E12" s="28" t="s">
        <v>40</v>
      </c>
      <c r="F12" s="29" t="s">
        <v>41</v>
      </c>
      <c r="G12" s="28" t="s">
        <v>40</v>
      </c>
      <c r="H12" s="29" t="s">
        <v>41</v>
      </c>
      <c r="I12" s="28" t="s">
        <v>40</v>
      </c>
      <c r="J12" s="29" t="s">
        <v>41</v>
      </c>
      <c r="K12" s="26" t="s">
        <v>42</v>
      </c>
      <c r="L12" s="22"/>
    </row>
    <row r="13" spans="1:12" ht="39.75" customHeight="1">
      <c r="A13" s="192"/>
      <c r="B13" s="192"/>
      <c r="C13" s="30"/>
      <c r="D13" s="30"/>
      <c r="E13" s="84"/>
      <c r="F13" s="30"/>
      <c r="G13" s="30"/>
      <c r="H13" s="30"/>
      <c r="I13" s="30"/>
      <c r="J13" s="30"/>
      <c r="K13" s="31"/>
      <c r="L13" s="32"/>
    </row>
    <row r="14" spans="1:13" ht="39.75" customHeight="1">
      <c r="A14" s="33" t="s">
        <v>18</v>
      </c>
      <c r="B14" s="34" t="s">
        <v>19</v>
      </c>
      <c r="C14" s="35">
        <v>1</v>
      </c>
      <c r="D14" s="67">
        <f aca="true" t="shared" si="0" ref="D14:D23">C14*K14</f>
        <v>13595.689999999999</v>
      </c>
      <c r="E14" s="85">
        <v>0</v>
      </c>
      <c r="F14" s="67">
        <f aca="true" t="shared" si="1" ref="F14:F23">E14*K14</f>
        <v>0</v>
      </c>
      <c r="G14" s="35"/>
      <c r="H14" s="67">
        <f aca="true" t="shared" si="2" ref="H14:H23">G14*K14</f>
        <v>0</v>
      </c>
      <c r="I14" s="35"/>
      <c r="J14" s="67">
        <f>I14*K14</f>
        <v>0</v>
      </c>
      <c r="K14" s="73">
        <v>13595.689999999999</v>
      </c>
      <c r="L14" s="36"/>
      <c r="M14" s="42"/>
    </row>
    <row r="15" spans="1:13" ht="54" customHeight="1">
      <c r="A15" s="33" t="s">
        <v>20</v>
      </c>
      <c r="B15" s="37" t="s">
        <v>754</v>
      </c>
      <c r="C15" s="35">
        <v>0.3</v>
      </c>
      <c r="D15" s="67">
        <f t="shared" si="0"/>
        <v>236679.051</v>
      </c>
      <c r="E15" s="85">
        <v>0.4</v>
      </c>
      <c r="F15" s="67">
        <f t="shared" si="1"/>
        <v>315572.068</v>
      </c>
      <c r="G15" s="35">
        <v>0.3</v>
      </c>
      <c r="H15" s="67">
        <f t="shared" si="2"/>
        <v>236679.051</v>
      </c>
      <c r="I15" s="35">
        <v>0</v>
      </c>
      <c r="J15" s="67">
        <f aca="true" t="shared" si="3" ref="J15:J23">I15*K15</f>
        <v>0</v>
      </c>
      <c r="K15" s="73">
        <v>788930.17</v>
      </c>
      <c r="L15" s="36"/>
      <c r="M15" s="42"/>
    </row>
    <row r="16" spans="1:13" ht="39.75" customHeight="1">
      <c r="A16" s="33" t="s">
        <v>21</v>
      </c>
      <c r="B16" s="34" t="s">
        <v>83</v>
      </c>
      <c r="C16" s="35">
        <v>0</v>
      </c>
      <c r="D16" s="67">
        <f t="shared" si="0"/>
        <v>0</v>
      </c>
      <c r="E16" s="85">
        <v>0</v>
      </c>
      <c r="F16" s="67">
        <f t="shared" si="1"/>
        <v>0</v>
      </c>
      <c r="G16" s="35">
        <v>0.5</v>
      </c>
      <c r="H16" s="67">
        <f t="shared" si="2"/>
        <v>54830.02</v>
      </c>
      <c r="I16" s="35">
        <v>0.5</v>
      </c>
      <c r="J16" s="67">
        <f t="shared" si="3"/>
        <v>54830.02</v>
      </c>
      <c r="K16" s="73">
        <v>109660.04</v>
      </c>
      <c r="L16" s="36"/>
      <c r="M16" s="42"/>
    </row>
    <row r="17" spans="1:13" ht="39.75" customHeight="1">
      <c r="A17" s="33" t="s">
        <v>22</v>
      </c>
      <c r="B17" s="34" t="s">
        <v>25</v>
      </c>
      <c r="C17" s="35">
        <v>0</v>
      </c>
      <c r="D17" s="67">
        <f t="shared" si="0"/>
        <v>0</v>
      </c>
      <c r="E17" s="85">
        <v>0</v>
      </c>
      <c r="F17" s="67">
        <f t="shared" si="1"/>
        <v>0</v>
      </c>
      <c r="G17" s="35">
        <v>0</v>
      </c>
      <c r="H17" s="67">
        <f t="shared" si="2"/>
        <v>0</v>
      </c>
      <c r="I17" s="35">
        <v>1</v>
      </c>
      <c r="J17" s="67">
        <f t="shared" si="3"/>
        <v>113189.43</v>
      </c>
      <c r="K17" s="73">
        <v>113189.43</v>
      </c>
      <c r="L17" s="36"/>
      <c r="M17" s="42"/>
    </row>
    <row r="18" spans="1:13" ht="39.75" customHeight="1">
      <c r="A18" s="33" t="s">
        <v>23</v>
      </c>
      <c r="B18" s="34" t="s">
        <v>214</v>
      </c>
      <c r="C18" s="35">
        <v>0</v>
      </c>
      <c r="D18" s="67">
        <f t="shared" si="0"/>
        <v>0</v>
      </c>
      <c r="E18" s="85">
        <v>0.3</v>
      </c>
      <c r="F18" s="67">
        <f t="shared" si="1"/>
        <v>3092.802</v>
      </c>
      <c r="G18" s="35">
        <v>0.7</v>
      </c>
      <c r="H18" s="67">
        <f t="shared" si="2"/>
        <v>7216.538</v>
      </c>
      <c r="I18" s="35">
        <v>0</v>
      </c>
      <c r="J18" s="67">
        <f t="shared" si="3"/>
        <v>0</v>
      </c>
      <c r="K18" s="73">
        <v>10309.34</v>
      </c>
      <c r="L18" s="36"/>
      <c r="M18" s="42"/>
    </row>
    <row r="19" spans="1:13" ht="39.75" customHeight="1">
      <c r="A19" s="33" t="s">
        <v>24</v>
      </c>
      <c r="B19" s="34" t="s">
        <v>84</v>
      </c>
      <c r="C19" s="35">
        <v>0</v>
      </c>
      <c r="D19" s="67">
        <f t="shared" si="0"/>
        <v>0</v>
      </c>
      <c r="E19" s="85">
        <v>0</v>
      </c>
      <c r="F19" s="67">
        <f t="shared" si="1"/>
        <v>0</v>
      </c>
      <c r="G19" s="35">
        <v>0</v>
      </c>
      <c r="H19" s="67">
        <f t="shared" si="2"/>
        <v>0</v>
      </c>
      <c r="I19" s="35">
        <v>1</v>
      </c>
      <c r="J19" s="67">
        <f t="shared" si="3"/>
        <v>13670.720000000001</v>
      </c>
      <c r="K19" s="73">
        <v>13670.720000000001</v>
      </c>
      <c r="L19" s="36"/>
      <c r="M19" s="42"/>
    </row>
    <row r="20" spans="1:13" ht="39.75" customHeight="1">
      <c r="A20" s="33" t="s">
        <v>174</v>
      </c>
      <c r="B20" s="34" t="s">
        <v>232</v>
      </c>
      <c r="C20" s="35">
        <v>0</v>
      </c>
      <c r="D20" s="67">
        <f t="shared" si="0"/>
        <v>0</v>
      </c>
      <c r="E20" s="85">
        <v>0</v>
      </c>
      <c r="F20" s="67">
        <f t="shared" si="1"/>
        <v>0</v>
      </c>
      <c r="G20" s="35">
        <v>0</v>
      </c>
      <c r="H20" s="67">
        <f t="shared" si="2"/>
        <v>0</v>
      </c>
      <c r="I20" s="35">
        <v>1</v>
      </c>
      <c r="J20" s="67">
        <f t="shared" si="3"/>
        <v>4992.51</v>
      </c>
      <c r="K20" s="73">
        <v>4992.51</v>
      </c>
      <c r="L20" s="36"/>
      <c r="M20" s="42"/>
    </row>
    <row r="21" spans="1:13" ht="39.75" customHeight="1">
      <c r="A21" s="33" t="s">
        <v>229</v>
      </c>
      <c r="B21" s="34" t="s">
        <v>755</v>
      </c>
      <c r="C21" s="35">
        <v>0</v>
      </c>
      <c r="D21" s="67">
        <f t="shared" si="0"/>
        <v>0</v>
      </c>
      <c r="E21" s="85">
        <v>0</v>
      </c>
      <c r="F21" s="67">
        <f t="shared" si="1"/>
        <v>0</v>
      </c>
      <c r="G21" s="35">
        <v>1</v>
      </c>
      <c r="H21" s="67">
        <f t="shared" si="2"/>
        <v>64212.28</v>
      </c>
      <c r="I21" s="35">
        <v>0</v>
      </c>
      <c r="J21" s="67">
        <f t="shared" si="3"/>
        <v>0</v>
      </c>
      <c r="K21" s="73">
        <v>64212.28</v>
      </c>
      <c r="L21" s="36"/>
      <c r="M21" s="42"/>
    </row>
    <row r="22" spans="1:13" ht="39.75" customHeight="1">
      <c r="A22" s="33" t="s">
        <v>744</v>
      </c>
      <c r="B22" s="34" t="s">
        <v>756</v>
      </c>
      <c r="C22" s="35"/>
      <c r="D22" s="67">
        <f t="shared" si="0"/>
        <v>0</v>
      </c>
      <c r="E22" s="85">
        <v>0.25</v>
      </c>
      <c r="F22" s="67">
        <f t="shared" si="1"/>
        <v>5709.3975</v>
      </c>
      <c r="G22" s="35">
        <v>0.75</v>
      </c>
      <c r="H22" s="67">
        <f t="shared" si="2"/>
        <v>17128.1925</v>
      </c>
      <c r="I22" s="35"/>
      <c r="J22" s="67">
        <f t="shared" si="3"/>
        <v>0</v>
      </c>
      <c r="K22" s="73">
        <v>22837.59</v>
      </c>
      <c r="L22" s="36"/>
      <c r="M22" s="42"/>
    </row>
    <row r="23" spans="1:13" ht="39.75" customHeight="1">
      <c r="A23" s="33" t="s">
        <v>757</v>
      </c>
      <c r="B23" s="34" t="s">
        <v>43</v>
      </c>
      <c r="C23" s="35">
        <v>0.5</v>
      </c>
      <c r="D23" s="67">
        <f t="shared" si="0"/>
        <v>1444.725</v>
      </c>
      <c r="E23" s="85">
        <v>0.2</v>
      </c>
      <c r="F23" s="67">
        <f t="shared" si="1"/>
        <v>577.89</v>
      </c>
      <c r="G23" s="35">
        <v>0.2</v>
      </c>
      <c r="H23" s="67">
        <f t="shared" si="2"/>
        <v>577.89</v>
      </c>
      <c r="I23" s="35">
        <v>0.1</v>
      </c>
      <c r="J23" s="67">
        <f t="shared" si="3"/>
        <v>288.945</v>
      </c>
      <c r="K23" s="73">
        <v>2889.45</v>
      </c>
      <c r="L23" s="36"/>
      <c r="M23" s="42"/>
    </row>
    <row r="24" spans="1:12" ht="39.75" customHeight="1">
      <c r="A24" s="38"/>
      <c r="B24" s="39"/>
      <c r="C24" s="68"/>
      <c r="D24" s="68"/>
      <c r="E24" s="68"/>
      <c r="F24" s="68"/>
      <c r="G24" s="68"/>
      <c r="H24" s="68"/>
      <c r="I24" s="68"/>
      <c r="J24" s="68"/>
      <c r="K24" s="73">
        <f>SUM(K14:K23)</f>
        <v>1144287.2200000002</v>
      </c>
      <c r="L24" s="36"/>
    </row>
    <row r="25" spans="1:12" ht="39.75" customHeight="1">
      <c r="A25" s="186" t="s">
        <v>44</v>
      </c>
      <c r="B25" s="187"/>
      <c r="C25" s="166">
        <f>SUM(D14:D23)</f>
        <v>251719.46600000001</v>
      </c>
      <c r="D25" s="167"/>
      <c r="E25" s="166">
        <f>SUM(F14:F23)</f>
        <v>324952.1575000001</v>
      </c>
      <c r="F25" s="167"/>
      <c r="G25" s="166">
        <f>SUM(H14:H23)</f>
        <v>380643.9715</v>
      </c>
      <c r="H25" s="167"/>
      <c r="I25" s="166">
        <f>SUM(J14:J23)</f>
        <v>186971.625</v>
      </c>
      <c r="J25" s="167"/>
      <c r="K25" s="69"/>
      <c r="L25" s="32"/>
    </row>
    <row r="26" spans="1:12" ht="39.75" customHeight="1">
      <c r="A26" s="186" t="s">
        <v>45</v>
      </c>
      <c r="B26" s="187"/>
      <c r="C26" s="168">
        <f>C25</f>
        <v>251719.46600000001</v>
      </c>
      <c r="D26" s="169"/>
      <c r="E26" s="168">
        <f>E25+C26</f>
        <v>576671.6235000001</v>
      </c>
      <c r="F26" s="169"/>
      <c r="G26" s="168">
        <f>G25+E26</f>
        <v>957315.5950000001</v>
      </c>
      <c r="H26" s="169"/>
      <c r="I26" s="168">
        <f>I25+G26</f>
        <v>1144287.2200000002</v>
      </c>
      <c r="J26" s="169"/>
      <c r="K26" s="70"/>
      <c r="L26" s="32"/>
    </row>
    <row r="27" spans="1:12" ht="39.75" customHeight="1">
      <c r="A27" s="193" t="s">
        <v>46</v>
      </c>
      <c r="B27" s="194"/>
      <c r="C27" s="161">
        <f>C25/K24</f>
        <v>0.2199792688412617</v>
      </c>
      <c r="D27" s="162"/>
      <c r="E27" s="161">
        <f>E25/K24</f>
        <v>0.2839777914324692</v>
      </c>
      <c r="F27" s="162"/>
      <c r="G27" s="161">
        <f>G25/K24</f>
        <v>0.332647227765071</v>
      </c>
      <c r="H27" s="162"/>
      <c r="I27" s="161">
        <f>I25/K24</f>
        <v>0.16339571196119795</v>
      </c>
      <c r="J27" s="162"/>
      <c r="K27" s="71"/>
      <c r="L27" s="32"/>
    </row>
    <row r="28" spans="1:12" ht="39.75" customHeight="1">
      <c r="A28" s="193" t="s">
        <v>47</v>
      </c>
      <c r="B28" s="194"/>
      <c r="C28" s="161">
        <f>C27</f>
        <v>0.2199792688412617</v>
      </c>
      <c r="D28" s="162"/>
      <c r="E28" s="161">
        <f>E27+C28</f>
        <v>0.5039570602737309</v>
      </c>
      <c r="F28" s="162"/>
      <c r="G28" s="161">
        <f>G27+E28</f>
        <v>0.8366042880388018</v>
      </c>
      <c r="H28" s="162"/>
      <c r="I28" s="161">
        <f>I27+G28</f>
        <v>0.9999999999999998</v>
      </c>
      <c r="J28" s="162"/>
      <c r="K28" s="72"/>
      <c r="L28" s="32"/>
    </row>
  </sheetData>
  <sheetProtection/>
  <mergeCells count="37">
    <mergeCell ref="E28:F28"/>
    <mergeCell ref="A13:B13"/>
    <mergeCell ref="A25:B25"/>
    <mergeCell ref="C25:D25"/>
    <mergeCell ref="A28:B28"/>
    <mergeCell ref="C28:D28"/>
    <mergeCell ref="A27:B27"/>
    <mergeCell ref="C27:D27"/>
    <mergeCell ref="G28:H28"/>
    <mergeCell ref="A1:H1"/>
    <mergeCell ref="A2:H2"/>
    <mergeCell ref="A3:H3"/>
    <mergeCell ref="A4:H4"/>
    <mergeCell ref="A5:H5"/>
    <mergeCell ref="A26:B26"/>
    <mergeCell ref="C26:D26"/>
    <mergeCell ref="A7:H7"/>
    <mergeCell ref="A8:H8"/>
    <mergeCell ref="A9:K9"/>
    <mergeCell ref="A6:H6"/>
    <mergeCell ref="A10:A12"/>
    <mergeCell ref="B10:B12"/>
    <mergeCell ref="E11:F11"/>
    <mergeCell ref="G26:H26"/>
    <mergeCell ref="I11:J11"/>
    <mergeCell ref="I25:J25"/>
    <mergeCell ref="I26:J26"/>
    <mergeCell ref="I27:J27"/>
    <mergeCell ref="I28:J28"/>
    <mergeCell ref="G27:H27"/>
    <mergeCell ref="C10:H10"/>
    <mergeCell ref="C11:D11"/>
    <mergeCell ref="G11:H11"/>
    <mergeCell ref="G25:H25"/>
    <mergeCell ref="E25:F25"/>
    <mergeCell ref="E26:F26"/>
    <mergeCell ref="E27:F27"/>
  </mergeCells>
  <printOptions horizontalCentered="1" verticalCentered="1"/>
  <pageMargins left="0.2362204724409449" right="0.2362204724409449" top="0.35433070866141736" bottom="0.35433070866141736" header="0.1968503937007874" footer="0.1968503937007874"/>
  <pageSetup fitToHeight="0" horizontalDpi="300" verticalDpi="300" orientation="landscape" paperSize="9" scale="40" r:id="rId2"/>
  <headerFooter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Patrick Araujo Suckow de Barros</cp:lastModifiedBy>
  <cp:lastPrinted>2021-10-28T14:41:57Z</cp:lastPrinted>
  <dcterms:created xsi:type="dcterms:W3CDTF">2017-11-22T13:14:51Z</dcterms:created>
  <dcterms:modified xsi:type="dcterms:W3CDTF">2021-10-28T15:34:39Z</dcterms:modified>
  <cp:category/>
  <cp:version/>
  <cp:contentType/>
  <cp:contentStatus/>
</cp:coreProperties>
</file>