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20115" windowHeight="6795" tabRatio="757" activeTab="2"/>
  </bookViews>
  <sheets>
    <sheet name="DESONERADA" sheetId="1" r:id="rId1"/>
    <sheet name="DESONERADA RESUMIDA" sheetId="2" r:id="rId2"/>
    <sheet name="Cronograma " sheetId="3" r:id="rId3"/>
    <sheet name="NAO DESONERADA " sheetId="4" r:id="rId4"/>
  </sheets>
  <externalReferences>
    <externalReference r:id="rId7"/>
  </externalReferences>
  <definedNames>
    <definedName name="EXTRACT" localSheetId="2">'Cronograma '!#REF!</definedName>
    <definedName name="_xlnm.Print_Area" localSheetId="2">'Cronograma '!$A$1:$I$25</definedName>
    <definedName name="_xlnm.Print_Area" localSheetId="0">'DESONERADA'!$A$1:$I$455</definedName>
    <definedName name="_xlnm.Print_Area" localSheetId="1">'DESONERADA RESUMIDA'!$A$1:$I$97</definedName>
    <definedName name="_xlnm.Print_Area" localSheetId="3">'NAO DESONERADA '!$A$1:$I$455</definedName>
    <definedName name="BDI" localSheetId="2">#REF!</definedName>
    <definedName name="BDI" localSheetId="0">#REF!</definedName>
    <definedName name="BDI" localSheetId="1">#REF!</definedName>
    <definedName name="BDI" localSheetId="3">#REF!</definedName>
    <definedName name="BDI">#REF!</definedName>
    <definedName name="CRITERIA" localSheetId="2">'Cronograma '!#REF!</definedName>
    <definedName name="_xlnm.Print_Titles" localSheetId="2">'Cronograma '!$10:$12</definedName>
    <definedName name="_xlnm.Print_Titles" localSheetId="0">'DESONERADA'!$9:$11</definedName>
    <definedName name="_xlnm.Print_Titles" localSheetId="1">'DESONERADA RESUMIDA'!$9:$11</definedName>
    <definedName name="_xlnm.Print_Titles" localSheetId="3">'NAO DESONERADA '!$9:$11</definedName>
  </definedNames>
  <calcPr fullCalcOnLoad="1"/>
</workbook>
</file>

<file path=xl/sharedStrings.xml><?xml version="1.0" encoding="utf-8"?>
<sst xmlns="http://schemas.openxmlformats.org/spreadsheetml/2006/main" count="2912" uniqueCount="715">
  <si>
    <t>M2</t>
  </si>
  <si>
    <t>M3</t>
  </si>
  <si>
    <t>00368</t>
  </si>
  <si>
    <t>M</t>
  </si>
  <si>
    <t>00453</t>
  </si>
  <si>
    <t>KG</t>
  </si>
  <si>
    <t>H</t>
  </si>
  <si>
    <t>TOTAL</t>
  </si>
  <si>
    <t>1.1</t>
  </si>
  <si>
    <t>1.2</t>
  </si>
  <si>
    <t>1.3</t>
  </si>
  <si>
    <t>1.4</t>
  </si>
  <si>
    <t>UN</t>
  </si>
  <si>
    <t>4.1</t>
  </si>
  <si>
    <t>1.0</t>
  </si>
  <si>
    <t>SERVIÇOS PRELIMINARES</t>
  </si>
  <si>
    <t>2.0</t>
  </si>
  <si>
    <t>3.0</t>
  </si>
  <si>
    <t>4.0</t>
  </si>
  <si>
    <t>5.0</t>
  </si>
  <si>
    <t>6.0</t>
  </si>
  <si>
    <t>PINTURA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</si>
  <si>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</si>
  <si>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</si>
  <si>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</si>
  <si>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 xml:space="preserve">MEMÓRIA DE CÁLCULO </t>
  </si>
  <si>
    <t>ITEM</t>
  </si>
  <si>
    <t>DISCRIMINAÇÃO</t>
  </si>
  <si>
    <t>QUANT.</t>
  </si>
  <si>
    <t>PREÇOS (R$)</t>
  </si>
  <si>
    <t xml:space="preserve">CRONOGRAMA  FÍSICO-FINANCEIRO </t>
  </si>
  <si>
    <t>DESCRIÇÃO</t>
  </si>
  <si>
    <t>PERÍODO</t>
  </si>
  <si>
    <t>30 DIAS</t>
  </si>
  <si>
    <t>60 DIAS</t>
  </si>
  <si>
    <t>TOTAL DOS</t>
  </si>
  <si>
    <t>FÍSICO</t>
  </si>
  <si>
    <t>FINANCEIRO</t>
  </si>
  <si>
    <t>SERVIÇOS</t>
  </si>
  <si>
    <t>TOTAL DA OBRA POR MEDIÇÃO</t>
  </si>
  <si>
    <t>TOTAL ACUMULADO DA OBRA</t>
  </si>
  <si>
    <t>Desembolso parcial por medição %</t>
  </si>
  <si>
    <t>Desembolso máximo acumulado %</t>
  </si>
  <si>
    <t>GL</t>
  </si>
  <si>
    <t>x</t>
  </si>
  <si>
    <t>3.1</t>
  </si>
  <si>
    <t>TOTAL 3.0</t>
  </si>
  <si>
    <t>TOTAL 1.0</t>
  </si>
  <si>
    <t>TOTAL 4.0</t>
  </si>
  <si>
    <t>TOTAL 7.0</t>
  </si>
  <si>
    <t>TOTAL GERAL=</t>
  </si>
  <si>
    <t>APROVAÇÃO: Eng. Eros dos Santos</t>
  </si>
  <si>
    <t>CÓDIGO</t>
  </si>
  <si>
    <t>Pintura</t>
  </si>
  <si>
    <t>Transporte e bota-fora</t>
  </si>
  <si>
    <t>PREGO COM OU SEM CABECA, EM CAIXAS DE 50KG, OU QUANTIDADES EQUIVALENTES, N§12X12A 18X30</t>
  </si>
  <si>
    <t>20132</t>
  </si>
  <si>
    <t>MAO-DE-OBRA DE SERVENTE DA CONSTRUCAO CIVIL, INCLUSIVE ENCARGOS SOCIAIS DESONERADOS</t>
  </si>
  <si>
    <t>20118</t>
  </si>
  <si>
    <t>MAO-DE-OBRA DE PINTOR, INCLUSIVE ENCARGOS SOCIAIS DESONERADOS</t>
  </si>
  <si>
    <t>20045</t>
  </si>
  <si>
    <t>MAO-DE-OBRA DE CARPINTEIRO DE ESQUADRIASDE MADEIRA, INCLUSIVE ENCARGOS SOCIAISDESONERADOS</t>
  </si>
  <si>
    <t>CORDAO PARALELO COM ISOLAMENTO TERMOPLASTICO, ATE 750V, DE 2X2,5MM2</t>
  </si>
  <si>
    <t>20060</t>
  </si>
  <si>
    <t>MAO-DE-OBRA DE ELETRICISTA DA CONSTRUCAOCIVIL, INCLUSIVE ENCARGOS SOCIAIS DESONERADOS</t>
  </si>
  <si>
    <t>20115</t>
  </si>
  <si>
    <t>MAO-DE-OBRA DE PEDREIRO, INCLUSIVE ENCARGOS SOCIAIS DESONERADOS</t>
  </si>
  <si>
    <r>
      <t>Secretaria Municipal de Planejamento Urbano</t>
    </r>
    <r>
      <rPr>
        <sz val="20"/>
        <rFont val="Arial"/>
        <family val="2"/>
      </rPr>
      <t xml:space="preserve"> </t>
    </r>
  </si>
  <si>
    <t>ORÇAMENTO Nº 001-19</t>
  </si>
  <si>
    <t>02.020.0002-A</t>
  </si>
  <si>
    <t>PLACA DE IDENTIFICACAO DE OBRA PUBLICA,TIPO BANNER/PLOTTER,CONSTITUIDA POR LONA E IMPRESSAO DIGITAL,INCLUSIVE SUPORTES D E MADEIRA.FORNECIMENTO E COLOCACAO (OBS.:3% - DESGASTE DE FERRAMENTAS E EPI).</t>
  </si>
  <si>
    <t>10806</t>
  </si>
  <si>
    <t>PLACA DE IDENTIFICACAO DE OBRA PUBLICA,TIPO BANNER/PLOTER, CONSTITUIDA POR LONAE IMPRESSAO DIGITAL</t>
  </si>
  <si>
    <t>UNIT s/ BDI</t>
  </si>
  <si>
    <t>UNITc/ BDI</t>
  </si>
  <si>
    <t>TOTAL s/ BDI</t>
  </si>
  <si>
    <t>TOTAL c/ BDI</t>
  </si>
  <si>
    <t>LIXA D'AGUA N§ 100</t>
  </si>
  <si>
    <t>SERVENTE COM ENCARGOS COMPLEMENTARES</t>
  </si>
  <si>
    <t>02316</t>
  </si>
  <si>
    <t>02317</t>
  </si>
  <si>
    <t>FITA ISOLANTE, ROLO DE 19MMX20M</t>
  </si>
  <si>
    <t>02385</t>
  </si>
  <si>
    <t>TOTAL 2.0</t>
  </si>
  <si>
    <t>5.1</t>
  </si>
  <si>
    <t>5.2</t>
  </si>
  <si>
    <t>PROJETO: Eng° Patrick Suckow</t>
  </si>
  <si>
    <t>LEVANTAMENTO: Eng° Patrick Suckow</t>
  </si>
  <si>
    <t>02.020.0002-0</t>
  </si>
  <si>
    <t>01999</t>
  </si>
  <si>
    <t>MAO-DE-OBRA DE SERVENTE DA CONSTRUCAO CIVIL, INCLUSIVE ENCARGOS SOCIAIS</t>
  </si>
  <si>
    <t>01967</t>
  </si>
  <si>
    <t>MAO-DE-OBRA DE CARPINTEIRO DE ESQUADRIASDE MADEIRA INCLUSIVE ENCARGOS SOCIAIS</t>
  </si>
  <si>
    <t>01968</t>
  </si>
  <si>
    <t>MAO-DE-OBRA DE PEDREIRO, INCLUSIVE ENCARGOS SOCIAIS</t>
  </si>
  <si>
    <t>01966</t>
  </si>
  <si>
    <t>MAO-DE-OBRA DE PINTOR, INCLUSIVE ENCARGOS SOCIAIS</t>
  </si>
  <si>
    <t>FIO DE COBRE COM ISOLAMENTO TERMOPLASTICO,ANTICHAMA,COMPREENDENDO:PREPARO,CORTE E ENFIACAO EM ELETRODUTOS,NA BITOLA DE 4 MM2,450/750V.FORNECIMENTO E COLOCACAO (OBS.:3%-DESGASTE DE FERRAMENTAS E EPI).</t>
  </si>
  <si>
    <t>15.008.0025-A</t>
  </si>
  <si>
    <t>00284</t>
  </si>
  <si>
    <t>FIO C/ISOLAMENTO TERMOPLASTICO ANTICHAMADE 750V, DE 04,0MM2</t>
  </si>
  <si>
    <t>30163</t>
  </si>
  <si>
    <t>07.002.0025-B ARGAMASSA CIM.,AREIA TRACO 1:3,PREPAROMECANICO</t>
  </si>
  <si>
    <t>ELETRICISTA COM ENCARGOS COMPLEMENTARES</t>
  </si>
  <si>
    <t>AUXILIAR DE ELETRICISTA COM ENCARGOS COMPLEMENTARES</t>
  </si>
  <si>
    <t>PEDREIRO COM ENCARGOS COMPLEMENTARES</t>
  </si>
  <si>
    <t>7.0</t>
  </si>
  <si>
    <t>5.4</t>
  </si>
  <si>
    <t>5.8</t>
  </si>
  <si>
    <t>5.9</t>
  </si>
  <si>
    <t>5.11</t>
  </si>
  <si>
    <t>TOTAL 6.0</t>
  </si>
  <si>
    <t>14496</t>
  </si>
  <si>
    <t>LIXA PARA MASSA</t>
  </si>
  <si>
    <t>06028</t>
  </si>
  <si>
    <t>SELADOR PIGMENTADO A BASE DE RESINA ACRILICA MODIFICADA, NA COR BRANCA</t>
  </si>
  <si>
    <t>17.018.0110-A</t>
  </si>
  <si>
    <t>PINTURA COM TINTA LATEX SEMIBRILHANTE,FOSCA OU ACETINADA,CLASSIFICACAO PREMIUM OU STANDARD (NBR 15079),PARA INTERIOR E E XTERIOR,BRANCA OU COLORIDA,SOBRE TIJOLO,CONCRETO LISO,CIMENTO SEM AMIANTO,E REVESTIMENTO,INCLUSIVE LIXAMENTO,UMA DEMAO D E SELADOR ACRILICO E DUAS DEMAOS DE ACABAMENTO (OBS.:3%-DESGASTE DE FERRAMENTAS E EPI).</t>
  </si>
  <si>
    <t>03876</t>
  </si>
  <si>
    <t>TINTA LATEX STANDARD PARA EXTERIOR/INTERIOR SEMIBRILHANTE BRANCA OU COLORIDA, EMBALDES DE 18 LITROS</t>
  </si>
  <si>
    <t>ESTRUTURA DE CONCRETO ARMADO/ ALVENARIA E REVESTIMENTO</t>
  </si>
  <si>
    <t>1.6</t>
  </si>
  <si>
    <t>1.8</t>
  </si>
  <si>
    <t>2.2</t>
  </si>
  <si>
    <t>2.3</t>
  </si>
  <si>
    <t>2.4</t>
  </si>
  <si>
    <t>PINUS, EM PECAS DE 7,50X7,50CM (3"X3")</t>
  </si>
  <si>
    <t>04.014.0095-A</t>
  </si>
  <si>
    <t>RETIRADA DE ENTULHO DE OBRA COM CACAMBA DE ACO TIPO CONTAINER COM 5M3 DE CAPACIDADE,INCLUSIVE CARREGAMENTO,TRANSPORTE E DESCARREGAMENTO.CUSTO POR UNIDADE DE CACAMBA E INCLUI A TAXA PARA DESCARGA EM LOCAIS AUTORIZADOS (OBS.:3%-DESGASTE DE FERRAMENTAS E EPI).</t>
  </si>
  <si>
    <t>10962</t>
  </si>
  <si>
    <t>ALUGUEL CACAMBA DE ACO TIPO CONTAINER C/5M3 CAPAC.P/RETIRADA ENTULHO OBRA,INCLUSIVE CARREGAM.,TRANSP.E DESCARREGAMENTO</t>
  </si>
  <si>
    <t>01605</t>
  </si>
  <si>
    <t>07.002.0025-1 ARGAMASSA CIM.,AREIA TRACO 1:3,PREPAROMECANICO</t>
  </si>
  <si>
    <t>20039</t>
  </si>
  <si>
    <t>MAO-DE-OBRA DE BOMBEIRO HIDRAULICO DA CONSTRUCAO CIVIL, INCLUSIVE ENCARGOS SOCIAIS DESONERADOS</t>
  </si>
  <si>
    <t>1.9</t>
  </si>
  <si>
    <t>1.10</t>
  </si>
  <si>
    <t>5.3</t>
  </si>
  <si>
    <t>5.10</t>
  </si>
  <si>
    <t>TOTAL 5.0</t>
  </si>
  <si>
    <t>01978</t>
  </si>
  <si>
    <t>MAO-DE-OBRA DE LADRILHEIRO, INCLUSIVE ENCARGOS SOCIAIS</t>
  </si>
  <si>
    <t>05.001.0023-0</t>
  </si>
  <si>
    <t>DEMOLICAO MANUAL DE ALVENARIA DE TIJOLOS FURADOS,INCLUSIVE EMPILHAMENTO LATERAL DENTRO DO CANTEIRO DE SERVICO (OBS.:3%- DESGASTE DE FERRAMENTAS E EPI).</t>
  </si>
  <si>
    <t>REMOÇÃO DE PORTAS, DE FORMA MANUAL, SEM REAPROVEITAMENTO. AF_12/2017</t>
  </si>
  <si>
    <t>05.001.0015-0</t>
  </si>
  <si>
    <t>DEMOLICAO DE PISO DE LADRILHO COM RESPECTIVA CAMADA DE ARGAMASSA DE ASSENTAMENTO,INCLUSIVE EMPILHAMENTO LATERAL DENTRO D O CANTEIRO DE SERVICO (OBS.:3%-DESGASTE DE FERRAMENTAS E EPI).</t>
  </si>
  <si>
    <t>05100</t>
  </si>
  <si>
    <t>FITA VEDA ROSCA, ROLO DE 18MMX50M</t>
  </si>
  <si>
    <t>02984</t>
  </si>
  <si>
    <t>RABICHO PLASTICO COM SAIDA DE 1/2" E COMCOMPRIMENTO DE 30CM</t>
  </si>
  <si>
    <t>00666</t>
  </si>
  <si>
    <t>BUCHA DE NYLON, TIPO S-12</t>
  </si>
  <si>
    <t>00665</t>
  </si>
  <si>
    <t>PARAFUSO DE LATAO, ROSCA SOBERBA, CABECACHATA, DE 5,5MMX2.1/2"</t>
  </si>
  <si>
    <t>01993</t>
  </si>
  <si>
    <t>MAO-DE-OBRA DE BOMBEIRO HIDRAULICO DA CONSTRUCAO CIVIL, INCLUSIVE ENCARGOS SOCIAIS</t>
  </si>
  <si>
    <t>02983</t>
  </si>
  <si>
    <t>00527</t>
  </si>
  <si>
    <t>SOLDA (ESTANHO E CHUMBO), DE 30X70</t>
  </si>
  <si>
    <t>00414</t>
  </si>
  <si>
    <t>MASSA P/BOMBEIRO C/ZARCAO</t>
  </si>
  <si>
    <t>00150</t>
  </si>
  <si>
    <t>CIMENTO BRANCO</t>
  </si>
  <si>
    <t>MONTADOR DE ESTRUTURA METÁLICA COM ENCARGOS COMPLEMENTARES</t>
  </si>
  <si>
    <t>03863</t>
  </si>
  <si>
    <t>CORANTE EM PO PARA CAIACAO, EM EMBALAGEMDE 250G</t>
  </si>
  <si>
    <t>03429</t>
  </si>
  <si>
    <t>07.001.0130-1 ARGAMASSA CIM.,SAIBRO,AREIA 1:3:3,PREPARO MANUAL</t>
  </si>
  <si>
    <t>03077</t>
  </si>
  <si>
    <t>07.001.0010-1 PASTA DE CIMENTO COMUM</t>
  </si>
  <si>
    <t>Esquadrias</t>
  </si>
  <si>
    <t>02259</t>
  </si>
  <si>
    <t>ALIZAR EM MADEIRA DE LEI, DE (5X2)CM, GRUPO V</t>
  </si>
  <si>
    <t>02258</t>
  </si>
  <si>
    <t>ADUELA EM MADEIRA DE LEI, DE (13X3)CM, GRUPO V</t>
  </si>
  <si>
    <t>04922</t>
  </si>
  <si>
    <t>DOBRADICA EM ACO LAMINADO C/PINOS, BOLASE ANEIS DE LATAO, DE 3"X2.1/2"X5/64"</t>
  </si>
  <si>
    <t>00022</t>
  </si>
  <si>
    <t>ALUMINIO EM PERFIL TUBULAR EXTRUDADO, LIGA COMUM</t>
  </si>
  <si>
    <t>11435</t>
  </si>
  <si>
    <t>VIDRO JATEADO COM 4MM DE ESPESSURA</t>
  </si>
  <si>
    <t>05953</t>
  </si>
  <si>
    <t>BOLSA DE LIGACAO PARA VASO SANITARIO</t>
  </si>
  <si>
    <t>VASO SANITARIO DE LOUCA BRANCA,TIPO MEDIO LUXO,COM CAIXA ACOPLADA,INCLUSIVE RABICHO CROMADO DE 40CM,COM SAIDA DE 1/2",BO LSA DE LIGACAO E ACESSORIOS DE FIXACAO.FORNECIMENTO</t>
  </si>
  <si>
    <t>13103</t>
  </si>
  <si>
    <t>02978</t>
  </si>
  <si>
    <t>RABICHO CROMADO COM SAIDA DE 1/2" E COMCOMPRIMENTO DE 40CM</t>
  </si>
  <si>
    <t>ASSENTAMENTO DE CHUVEIRO(EXCLUSIVE FORNECIMENTO DO APARELHO),INCLUSIVE MATERIAIS NECESSARIOS E BRACO CROMADO (OBS.:3%-DESGASTE DE FERRAMENTAS E EPI).</t>
  </si>
  <si>
    <t>INSTALACAO E ASSENTAMENTO DE MICTORIO(EXCLUSIVE FORNECIMENTO DO APARELHO),COMPREENDENDO:3,00M DE TUBO DE PVC DE 25MM,1,5 0M DE TUBOS DE PVC DE 40MM E 50MM,CADA,CONEXOES E RALO SIFONADO DE PVC COM 100X100X50MM COM TAMPA CEGA (OBS.:3%-DESGASTE DE FERRAMENTAS E EPI).</t>
  </si>
  <si>
    <t>07076</t>
  </si>
  <si>
    <t>RALO SIFONADO DE PVC RIGIDO, DE (100X100)MM, COM SAIDA DE 50MM, COM TAMPA CEGA</t>
  </si>
  <si>
    <t>05791</t>
  </si>
  <si>
    <t>JOELHO 90§ DE PVC, PARA ESGOTO, DE 040MM</t>
  </si>
  <si>
    <t>05780</t>
  </si>
  <si>
    <t>JOELHO 90§ DE PVC SOLDAVEL COM BUCHA DELATAO, DE 25MMX1/2"</t>
  </si>
  <si>
    <t>05734</t>
  </si>
  <si>
    <t>JOELHO 90§ DE PVC SOLDAVEL, DE 025MM</t>
  </si>
  <si>
    <t>05732</t>
  </si>
  <si>
    <t>TE 90§ DE PVC RIGIDO SOLDAVEL, DE 025MM</t>
  </si>
  <si>
    <t>05103</t>
  </si>
  <si>
    <t>SOLVENTE (SOLUCAO LIMPADORA) P/CONEXOESDE PVC, EM FRASCOS PLASTICOS DE 1000CM3</t>
  </si>
  <si>
    <t>05031</t>
  </si>
  <si>
    <t>TUBO DE PVC RIGIDO SOLDAVEL, PONTA/BOLSAC/VIROLA, EM BARRAS DE 6,00M, DE 025MM</t>
  </si>
  <si>
    <t>02615</t>
  </si>
  <si>
    <t>TUBO DE PVC RIGIDO, PONTA/BOLSA COM VIROLA, EM BARRAS DE 6,00M, DE 050MM</t>
  </si>
  <si>
    <t>02614</t>
  </si>
  <si>
    <t>TUBO DE PVC RIGIDO SOLDAVEL, PONTA/BOLSA, PARA ESGOTO, EM BARRAS DE 6,00M, DE 040MM</t>
  </si>
  <si>
    <t>02339</t>
  </si>
  <si>
    <t>ADESIVO PLASTICO PARA PVC RIGIDO, EM BISNAGA DE 75G</t>
  </si>
  <si>
    <t>03922</t>
  </si>
  <si>
    <t>MICTORIO DE LOUCA BRANCA, COM SIFAO INTEGRADO E MEDIDAS EM TORNO DE (33X28X53)CM</t>
  </si>
  <si>
    <t>02985</t>
  </si>
  <si>
    <t>RABICHO CROMADO COM SAIDA DE 1/2" E COMCOMPRIMENTO DE 30CM</t>
  </si>
  <si>
    <t>02571</t>
  </si>
  <si>
    <t>REGISTRO DE PRESSAO CROMADO, DE 1/2"</t>
  </si>
  <si>
    <t>03936</t>
  </si>
  <si>
    <t>VALVULA DE ESCOAMENTO, 1600, EM METAL CROMADO, DE 1"X2"</t>
  </si>
  <si>
    <t>03902</t>
  </si>
  <si>
    <t>03901</t>
  </si>
  <si>
    <t>SIFAO EM METAL CROMADO, DE 1"X1.1/4"</t>
  </si>
  <si>
    <t>Instalação Hidraulica e Mobiliário</t>
  </si>
  <si>
    <t>INSTALAÇÃO ELETRICA</t>
  </si>
  <si>
    <t>ABERTURA E FECHAMENTO MANUAL DE RASGO EM ALVENARIA,PARA PASSAGEM DE TUBOS E DUTOS,COM DIAMETRO DE 1/2" A 1" (OBS.:3%-DESGASTE DE FERRAMENTAS E EPI).</t>
  </si>
  <si>
    <t>13.348.0070-0</t>
  </si>
  <si>
    <t>SOLEIRA EM GRANITO CINZA ANDORINHA,ESPESSURA DE 3CM,COM 2 POLIMENTOS,LARGURA DE 13CM,ASSENTADO COM ARGAMASSA DE CIMENTO, SAIBRO E AREIA, NO TRACO 1:2:2, E REJUNTAMENTO COM CIMENTOBRANCO E CORANTE (OBS.:3%-DESGASTE DE FERRAMENTAS E EPI).</t>
  </si>
  <si>
    <t>11182</t>
  </si>
  <si>
    <t>SOLEIRA GRANITO CINZA ANDORINHA, 13X3CM,COM 2 POLIMENTOS</t>
  </si>
  <si>
    <t>01976</t>
  </si>
  <si>
    <t>MAO-DE-OBRA DE MARMORISTA DE MARMORE E GRANITO, INCLUSIVE ENCARGOS SOCIAIS</t>
  </si>
  <si>
    <t>01624</t>
  </si>
  <si>
    <t>07.007.0010-1 ARGAMASSA CIM.,SAIBRO,AREIA 1:2:2,PREPARO MECANICO</t>
  </si>
  <si>
    <t>IMPERMEABILIZACAO DE BANHEIRO OU PISOS FRIOS COM PAREDES DE ALVENARIA OU GESSO ACARTONADO,EMPREGANDO DUAS DEMAOS DE CIME NTO POLIMERICO,ATENDENDO A ABNT NBR 11905,CONSUMO DE 1KG/M2/DEMAO,IMPERM.BASE RESINA TERMOPLASTICA E CIMENTO C/ADIT.CONS UMO DE 3KG/M3,TELA DE POLIESTER 2X2MM ENTRE 1¦ E 2¦ DEMAOS (OBS.:3%-DESGASTE DE FERRAMENTAS E EPI).</t>
  </si>
  <si>
    <t>14319</t>
  </si>
  <si>
    <t>CIMENTO POLIMERICO</t>
  </si>
  <si>
    <t>14315</t>
  </si>
  <si>
    <t>IMPERMEABILIZANTE A BASE DE RESINA TERMOPLASTICA E CIMENTO COM ADITIVOS E INCORPORACAO DE FIBRAS SINT. DE POLIPROPILENO</t>
  </si>
  <si>
    <t>00988</t>
  </si>
  <si>
    <t>TELA DE POLIESTER</t>
  </si>
  <si>
    <t>TUBO DE PVC RIGIDO DE 25MM,SOLDAVEL,INCLUSIVE CONEXOES E EMENDAS,EXCLUSIVE ABERTURA E FECHAMENTO DE RASGO.FORNECIMENTO E ASSENTAMENTO (OBS.:3%-DESGASTE DE FERRAMENTAS E EPI 10%-CONEXOES E EMENDAS).</t>
  </si>
  <si>
    <t>TUBO DE PVC RIGIDO DE 20MM,SOLDAVEL,INCLUSIVE CONEXOES E EMENDAS,EXCLUSIVE ABERTURA E FECHAMENTO DE RASGO.FORNECIMENTO E ASSENTAMENTO (OBS.:3%-DESGASTE DE FERRAMENTAS E EPI 10%-CONEXOES E EMENDAS).</t>
  </si>
  <si>
    <t>05030</t>
  </si>
  <si>
    <t>TUBO DE PVC RIGIDO SOLDAVEL, PONTA/BOLSAC/VIROLA, EM BARRAS DE 6,00M, DE 020MM</t>
  </si>
  <si>
    <t>RALO SIFONADO, PVC, DN 100 X 40 MM, JUNTA SOLDÁVEL, FORNECIDO E INSTALADO EM RAMAL DE DESCARGA OU EM RAMAL DE ESGOTO SANITÁRIO. AF_12/2014</t>
  </si>
  <si>
    <t>LIXA D'AGUA EM FOLHA, GRAO 100</t>
  </si>
  <si>
    <t>SOLUCAO LIMPADORA PARA PVC, FRASCO COM 1000 CM3</t>
  </si>
  <si>
    <t>RALO SIFONADO PVC CILINDRICO, 100 X 40 MM,  COM GRELHA REDONDA BRANCA</t>
  </si>
  <si>
    <t>ADESIVO PLASTICO PARA PVC, FRASCO COM 850 GR</t>
  </si>
  <si>
    <t>ENCANADOR OU BOMBEIRO HIDRÁULICO COM ENCARGOS COMPLEMENTARES</t>
  </si>
  <si>
    <t>AUXILIAR DE ENCANADOR OU BOMBEIRO HIDRÁULICO COM ENCARGOS COMPLEMENTARES</t>
  </si>
  <si>
    <t>RALO SECO, PVC, DN 100 X 40 MM, JUNTA SOLDÁVEL, FORNECIDO E INSTALADO EM RAMAL DE DESCARGA OU EM RAMAL DE ESGOTO SANITÁRIO. AF_12/2014</t>
  </si>
  <si>
    <t>RALO SECO PVC CONICO, 100 X 40 MM,  COM GRELHA REDONDA BRANCA</t>
  </si>
  <si>
    <t>13.330.0075-0</t>
  </si>
  <si>
    <t>11205</t>
  </si>
  <si>
    <t>20087</t>
  </si>
  <si>
    <t>MAO-DE-OBRA DE LADRILHEIRO, INCLUSIVE ENCARGOS SOCIAIS DESONERADOS</t>
  </si>
  <si>
    <t>05.001.0023-A</t>
  </si>
  <si>
    <t>05.001.0015-A</t>
  </si>
  <si>
    <t>15.003.0361-A</t>
  </si>
  <si>
    <t>15.003.0375-A</t>
  </si>
  <si>
    <t>15.003.0410-A</t>
  </si>
  <si>
    <t>13.330.0075-A</t>
  </si>
  <si>
    <t>30153</t>
  </si>
  <si>
    <t>07.001.0130-B ARGAMASSA CIM.,SAIBRO,AREIA 1:3:3,PREPARO MANUAL</t>
  </si>
  <si>
    <t>30129</t>
  </si>
  <si>
    <t>07.001.0010-B PASTA DE CIMENTO COMUM</t>
  </si>
  <si>
    <t>13.025.0058-A</t>
  </si>
  <si>
    <t>13.348.0070-A</t>
  </si>
  <si>
    <t>20091</t>
  </si>
  <si>
    <t>MAO-DE-OBRA DE MARMORISTA DE MARMORE E GRANITO, INCLUSIVE ENCARGOS SOCIAIS DESONERADOS</t>
  </si>
  <si>
    <t>30180</t>
  </si>
  <si>
    <t>07.007.0010-B ARGAMASSA CIM.,SAIBRO,AREIA 1:2:2,PREPARO MECANICO</t>
  </si>
  <si>
    <t>30998</t>
  </si>
  <si>
    <t>58.002.0412-B TACO DE ALVENARIA (2,5 X 10 X 20)CM</t>
  </si>
  <si>
    <t>16.030.0030-A</t>
  </si>
  <si>
    <t>20083</t>
  </si>
  <si>
    <t>MAO-DE-OBRA DE IMPERMEABILIZADOR, INCLUSIVE ENCARGOS SOCIAIS DESONERADOS</t>
  </si>
  <si>
    <t>18.002.0070-A</t>
  </si>
  <si>
    <t>15.003.0380-A</t>
  </si>
  <si>
    <t>15.004.0050-A</t>
  </si>
  <si>
    <t>18.002.0055-A</t>
  </si>
  <si>
    <t>15.036.0037-A</t>
  </si>
  <si>
    <t>15.036.0036-A</t>
  </si>
  <si>
    <t>Local: Av. Pref. João Chiesse Filho, 1102 - Jardim Boa Vista, Barra Mansa - RJ, 27345-310</t>
  </si>
  <si>
    <t>ESQUADRIAS</t>
  </si>
  <si>
    <t>INSTALAÇÕES HIDRAULICAS E MOBILIARIO</t>
  </si>
  <si>
    <t>TRANSPORTE E BOTA FORA</t>
  </si>
  <si>
    <t>FIO DE COBRE COM ISOLAMENTO TERMOPLASTICO,ANTICHAMA,COMPREENDENDO:PREPARO,CORTE E ENFIACAO EM ELETRODUTOS,NA BITOLA DE 2 ,5MM2,450/750V.FORNECIMENTO E COLOCACAO (OBS.:3%-DESGASTE DE FERRAMENTAS E EPI).</t>
  </si>
  <si>
    <t>00285</t>
  </si>
  <si>
    <t>FIO C/ISOLAMENTO TERMOPLASTICO ANTICHAMADE 750V, DE 02,5MM2</t>
  </si>
  <si>
    <t>15.008.0020-A</t>
  </si>
  <si>
    <t>05.001.0134-A</t>
  </si>
  <si>
    <t>05.001.0065-A</t>
  </si>
  <si>
    <t>REMOCAO DE FORRO OU LAMBRI DE FRISOS DE MADEIRA OU PVC,PLACAS DE AGLOMERADO PRENSADO OU SEMELHANTES,INCLUSIVE O ENGRADAM AMENTO (OBS.:3%-DESGASTE DE FERRAMENTAS E EPI).</t>
  </si>
  <si>
    <t>1.11</t>
  </si>
  <si>
    <t>SI00000096111</t>
  </si>
  <si>
    <t>FORRO EM RÉGUAS DE PVC, FRISADO, PARA AMBIENTES RESIDENCIAIS, INCLUSIVE ESTRUTURA DE FIXAÇÃO. AF_05/2017_P</t>
  </si>
  <si>
    <t>0043131</t>
  </si>
  <si>
    <t>ARAME GALVANIZADO 6 BWG, D = 5,16 MM (0,157 KG/M), OU 8 BWG, D = 4,19 MM (0,101 KG/M), OU 10 BWG, D = 3,40 MM (0,0713 KG/M)</t>
  </si>
  <si>
    <t>0040552</t>
  </si>
  <si>
    <t>PARAFUSO, AUTO ATARRACHANTE, CABECA CHATA, FENDA SIMPLES, 1/4 (6,35 MM) X 25 MM</t>
  </si>
  <si>
    <t>CENTO</t>
  </si>
  <si>
    <t>0040547</t>
  </si>
  <si>
    <t>PARAFUSO ZINCADO, AUTOBROCANTE, FLANGEADO, 4,2 MM X 19 MM</t>
  </si>
  <si>
    <t>0039430</t>
  </si>
  <si>
    <t>PENDURAL OU PRESILHA REGULADORA, EM ACO GALVANIZADO, COM CORPO, MOLA E REBITE, PARA PERFIL TIPO CANALETA DE ESTRUTURA EM FORROS DRYWALL</t>
  </si>
  <si>
    <t>0039427</t>
  </si>
  <si>
    <t>PERFIL CANALETA, FORMATO C, EM ACO ZINCADO, PARA ESTRUTURA FORRO DRYWALL, E = 0,5 MM, *46 X 18* (L X H), COMPRIMENTO 3 M</t>
  </si>
  <si>
    <t>0036238</t>
  </si>
  <si>
    <t>FORRO DE PVC, FRISADO, BRANCO, REGUA DE 20 CM, ESPESSURA DE 8 MM A 10 MM E COMPRIMENTO 6 M (SEM COLOCACAO)</t>
  </si>
  <si>
    <t>SI00000088278</t>
  </si>
  <si>
    <t>14.006.0010-A</t>
  </si>
  <si>
    <t>PORTA DE MADEIRA DE LEI EM COMPENSADO DE 80X210X3,5CM FOLHEADA NAS 2 FACES,ADUELA DE 13X3CM E ALIZARES DE 5X2CM,EXCLUSIV E FERRAGENS.FORNECIMENTO E COLOCACAO (OBS.:3%-DESGASTE DE FERRAMENTAS E EPI).</t>
  </si>
  <si>
    <t>00760</t>
  </si>
  <si>
    <t>PORTA LISA, SEMI-OCA PARA PINTURA, DE (80X210X3,5)CM</t>
  </si>
  <si>
    <t>14.006.0005-A</t>
  </si>
  <si>
    <t>PORTA DE MADEIRA DE LEI EM COMPENSADO DE 100X210X3,5CM,FOLHEADA NAS 2 FACES,ADUELA DE 13X3CM E ALIZARES DE 5X2CM,EXCLUSI VE FERRAGENS.FORNECIMENTO E COLOCACAO (OBS.:3%-DESGASTE DE FERRAMENTAS E EPI).</t>
  </si>
  <si>
    <t>11438</t>
  </si>
  <si>
    <t>PORTA LISA, SEMI-OCA PARA PINTURA, DE (100X210X3,5)CM</t>
  </si>
  <si>
    <t>SI00000088316</t>
  </si>
  <si>
    <t>SI00000088309</t>
  </si>
  <si>
    <t>14.007.0040-A</t>
  </si>
  <si>
    <t>FERRAGENS P/PORTAS DE MADEIRA,1 FOLHA DE ABRIR,INTERNAS,SOCIAIS OU DE SERVICO,CONSTANDO DE FORNEC.S/COLOC.,DE:-FECHADURA TIPO GORGE,TRINCO REVERSIVEL,EM LATAO,ACABAMENTO CROMADO;-ENTRADA E ROSETA CIRCULARES,LATAO LAMINADO,ACABAMENTO CROMADO ;-MACANETA TIPO ALAVANCA,EM LATAO,ACABAMENTO CROMADO;-3 DOBRADICAS FERRO GALVANIZADO 3"X2.1/2",COM PINO E BOLAS DE FERRO</t>
  </si>
  <si>
    <t>07803</t>
  </si>
  <si>
    <t>FECHADURA DE EMBUTIR EM LATAO CROMADO, P/PORTA INT., MACANETA TIPO ALAVANCA EM ZAMAK, DIST. 55MM E PROFUND. 80MM</t>
  </si>
  <si>
    <t>0002678</t>
  </si>
  <si>
    <t>ELETRODUTO DE PVC RIGIDO SOLDAVEL, CLASSE B, DE 25 MM</t>
  </si>
  <si>
    <t>SI00000088264</t>
  </si>
  <si>
    <t>SI00000088247</t>
  </si>
  <si>
    <t>SI00000091170</t>
  </si>
  <si>
    <t>SI00000091170 FIXAÇÃO DE TUBOS HORIZONTAIS DE PVC, CPVC OU COBRE DIÂMETROS MENORES OU IGUAIS A 40 MM OU ELETROCALHAS ATÉ 150MM DE LARGURA, COM ABRAÇADEIRA METÁLICA RÍGIDA TIPO D 1/2, FIXADA EM PERFILADO EM LAJE. AF_05/2015</t>
  </si>
  <si>
    <t>SI00000093009</t>
  </si>
  <si>
    <t>ELETRODUTO RÍGIDO ROSCÁVEL, PVC, DN 60 MM (2") - FORNECIMENTO E INSTALAÇÃO. AF_12/2015</t>
  </si>
  <si>
    <t>0002681</t>
  </si>
  <si>
    <t>ELETRODUTO DE PVC RIGIDO ROSCAVEL DE 2 ", SEM LUVA</t>
  </si>
  <si>
    <t>SI00000095730</t>
  </si>
  <si>
    <t>ELETRODUTO RÍGIDO SOLDÁVEL, PVC, DN 25 MM (3/4), APARENTE, INSTALADO EM PAREDE - FORNECIMENTO E INSTALAÇÃO. AF_11/2016_P</t>
  </si>
  <si>
    <t>SI00000091173</t>
  </si>
  <si>
    <t>SI00000091173 FIXAÇÃO DE TUBOS VERTICAIS DE PPR DIÂMETROS MENORES OU IGUAIS A 40 MM COM ABRAÇADEIRA METÁLICA RÍGIDA TIPO D 1/2", FIXADA EM PERFILADO EM ALVENARIA. AF_05/2015</t>
  </si>
  <si>
    <t>SI00000093654</t>
  </si>
  <si>
    <t>DISJUNTOR MONOPOLAR TIPO DIN, CORRENTE NOMINAL DE 16A - FORNECIMENTO E INSTALAÇÃO. AF_04/2016</t>
  </si>
  <si>
    <t>0034653</t>
  </si>
  <si>
    <t>DISJUNTOR TIPO DIN/IEC, MONOPOLAR DE 6  ATE  32A</t>
  </si>
  <si>
    <t>0001570</t>
  </si>
  <si>
    <t>TERMINAL A COMPRESSAO EM COBRE ESTANHADO PARA CABO 2,5 MM2, 1 FURO E 1 COMPRESSAO, PARA PARAFUSO DE FIXACAO M5</t>
  </si>
  <si>
    <t>SI00000093662</t>
  </si>
  <si>
    <t>DISJUNTOR BIPOLAR TIPO DIN, CORRENTE NOMINAL DE 20A - FORNECIMENTO E INSTALAÇÃO. AF_04/2016</t>
  </si>
  <si>
    <t>0034616</t>
  </si>
  <si>
    <t>DISJUNTOR TIPO DIN/IEC, BIPOLAR DE 6 ATE 32A</t>
  </si>
  <si>
    <t>0001571</t>
  </si>
  <si>
    <t>TERMINAL A COMPRESSAO EM COBRE ESTANHADO PARA CABO 4 MM2, 1 FURO E 1 COMPRESSAO, PARA PARAFUSO DE FIXACAO M5</t>
  </si>
  <si>
    <t>SI00000093664</t>
  </si>
  <si>
    <t>DISJUNTOR BIPOLAR TIPO DIN, CORRENTE NOMINAL DE 32A - FORNECIMENTO E INSTALAÇÃO. AF_04/2016</t>
  </si>
  <si>
    <t>0001573</t>
  </si>
  <si>
    <t>TERMINAL A COMPRESSAO EM COBRE ESTANHADO PARA CABO 6 MM2, 1 FURO E 1 COMPRESSAO, PARA PARAFUSO DE FIXACAO M6</t>
  </si>
  <si>
    <t>SI00000093653</t>
  </si>
  <si>
    <t>DISJUNTOR MONOPOLAR TIPO DIN, CORRENTE NOMINAL DE 10A - FORNECIMENTO E INSTALAÇÃO. AF_04/2016</t>
  </si>
  <si>
    <t>SI00000093660</t>
  </si>
  <si>
    <t>DISJUNTOR BIPOLAR TIPO DIN, CORRENTE NOMINAL DE 10A - FORNECIMENTO E INSTALAÇÃO. AF_04/2016</t>
  </si>
  <si>
    <t>SI0074131/004</t>
  </si>
  <si>
    <t>QUADRO DE DISTRIBUICAO DE ENERGIA DE EMBUTIR, EM CHAPA METALICA, PARA 18 DISJUNTORES TERMOMAGNETICOS MONOPOLARES, COM BARRAMENTO TRIFASICO E NEUTRO, FORNECIMENTO E INSTALACAO</t>
  </si>
  <si>
    <t>0012038</t>
  </si>
  <si>
    <t>QUADRO DE DISTRIBUICAO COM BARRAMENTO TRIFASICO, DE SOBREPOR, EM CHAPA DE ACO GALVANIZADO, PARA 18 DISJUNTORES DIN, 100 A</t>
  </si>
  <si>
    <t>15.008.0030-A</t>
  </si>
  <si>
    <t>FIO DE COBRE COM ISOLAMENTO TERMOPLASTICO,ANTICHAMA,COMPREENDENDO:PREPARO,CORTE E ENFIACAO EM ELETRODUTOS,NA BITOLA DE 6 MM2,450/750V.FORNECIMENTO E COLOCACAO (OBS.:3%-DESGASTE DE FERRAMENTAS E EPI).</t>
  </si>
  <si>
    <t>00283</t>
  </si>
  <si>
    <t>FIO C/ISOLAMENTO TERMOPLASTICO ANTICHAMADE 750V, DE 06,0MM2</t>
  </si>
  <si>
    <t>15.008.0035-A</t>
  </si>
  <si>
    <t>FIO DE COBRE COM ISOLAMENTO TERMOPLASTICO,ANTICHAMA,COMPREENDENDO:PREPARO,CORTE E ENFIACAO EM ELETRODUTOS,NA BITOLA DE 1 0MM2,450/750V.FORNECIMENTO E COLOCACAO (OBS.:3%-DESGASTE DE FERRAMENTAS E EPI).</t>
  </si>
  <si>
    <t>02361</t>
  </si>
  <si>
    <t>FIO COM ISOLAMENTO TERMOPLASTICO ANTICHAMA DE 750V, DE 10,0MM2</t>
  </si>
  <si>
    <t>SI00000091935</t>
  </si>
  <si>
    <t>CABO DE COBRE FLEXÍVEL ISOLADO, 16 MM², ANTI-CHAMA 0,6/1,0 KV, PARA CIRCUITOS TERMINAIS - FORNECIMENTO E INSTALAÇÃO. AF_12/2015</t>
  </si>
  <si>
    <t>0021127</t>
  </si>
  <si>
    <t>FITA ISOLANTE ADESIVA ANTICHAMA, USO ATE 750 V, EM ROLO DE 19 MM X 5 M</t>
  </si>
  <si>
    <t>0000995</t>
  </si>
  <si>
    <t>CABO DE COBRE, FLEXIVEL, CLASSE 4 OU 5, ISOLACAO EM PVC/A, ANTICHAMA BWF-B, COBERTURA PVC-ST1, ANTICHAMA BWF-B, 1 CONDUTOR, 0,6/1 KV, SECAO NOMINAL 16 MM2</t>
  </si>
  <si>
    <t>15.007.0208-A</t>
  </si>
  <si>
    <t>HASTE PARA ATERRAMENTO,DE COBRE DE 5/8"(16MM),COM 3,00M DE COMPRIMENTO.FORNECIMENTO E COLOCACAO (OBS.:3%-DESGASTE DE FERRAMENTAS E EPI).</t>
  </si>
  <si>
    <t>04337</t>
  </si>
  <si>
    <t>HASTE PARA ATERRAMENTO, DE COBRE, NO DIAMETRO DE 5/8``(16MM) E COM COMPRIMENTO DE 3,00M</t>
  </si>
  <si>
    <t>14669</t>
  </si>
  <si>
    <t>CALHA CHANFRADA EM CHAPA DE ACO PARA LUMINARIA DE SOBREPOR, PARA 1 LAMPADA TUBULAR DE 600MM</t>
  </si>
  <si>
    <t>05946</t>
  </si>
  <si>
    <t>SUPORTE TIPO PE DE GALINHA PARA FIXACAODE LUMINARIAS</t>
  </si>
  <si>
    <t>05337</t>
  </si>
  <si>
    <t>SUPORTE P/LAMPADA TUBULAR</t>
  </si>
  <si>
    <t>18.027.0302-A</t>
  </si>
  <si>
    <t>LUMINARIA DE SOBREPOR,FIXADA EM LAJE OU FORRO,TIPO CALHA,CHANFRADA OU PRISMATICA,COMPLETA,EQUIPADA COM REATOR ELETRONICO DE ALTO FATOR DE POTENCIA E LAMPADA FLUORESCENTE DE 1X20W.FORNECIMENTO E COLOCACAO (OBS.:3%-DESGASTE DE FERRAMENTAS E EPI).</t>
  </si>
  <si>
    <t>05944</t>
  </si>
  <si>
    <t>REATOR ELETRONICO DE ALTO FATOR DE POTENCIA (AFT&gt;0,92), PARA LAMPADAS FLUORESCENTES - 20W - SIMPLES</t>
  </si>
  <si>
    <t>04311</t>
  </si>
  <si>
    <t>LAMPADA FLUORESCENTE TUBULAR, DE 20W</t>
  </si>
  <si>
    <t>15.020.0173-A</t>
  </si>
  <si>
    <t>LAMPADA LED,TUBULAR,1200MM,T8,18W,FLUXO LUMINOSO EM TORNO DE 1850LM (OBS.:3%-DESGASTE DE FERRAMENTAS E EPI).</t>
  </si>
  <si>
    <t>14190</t>
  </si>
  <si>
    <t>LAMPADA LED, TUBULAR,18W, 100/240V</t>
  </si>
  <si>
    <t>14271</t>
  </si>
  <si>
    <t>CAIXA DE SOBREPOR, TIPO CONDULETE, EM PVC, PARA 5 OU 6 ENTRADAS, COM DIAMETRO DE3/4"</t>
  </si>
  <si>
    <t>0039350</t>
  </si>
  <si>
    <t>TAMPA PARA CONDULETE, EM PVC, PARA 1 MODULO RJ</t>
  </si>
  <si>
    <t>TAMPA PARA CONDULETE, EM PVC, PARA 1 INTERRUPTOR</t>
  </si>
  <si>
    <t>Si0039346</t>
  </si>
  <si>
    <t>0039351</t>
  </si>
  <si>
    <t>TAMPA PARA CONDULETE, EM PVC, PARA 2 MODULOS RJ</t>
  </si>
  <si>
    <t>0007543</t>
  </si>
  <si>
    <t>TAMPA CEGA EM PVC PARA CONDULETE 4 X 2"</t>
  </si>
  <si>
    <t>0000337</t>
  </si>
  <si>
    <t>ARAME RECOZIDO 18 BWG, 1,25 MM (0,01 KG/M)</t>
  </si>
  <si>
    <t>15.045.0110-A</t>
  </si>
  <si>
    <t>15.029.0012-A</t>
  </si>
  <si>
    <t>REGISTRO DE GAVETA,EM BRONZE,COM DIAMETRO DE 1".FORNECIMENTO E COLOCACAO (OBS.:3%-DESGASTE DE FERRAMENTAS E EPI).</t>
  </si>
  <si>
    <t>00703</t>
  </si>
  <si>
    <t>REGISTRO DE GAVETA DE BRONZE, DE 1¦ QUALIDADE COM ROSCA DE AMBOS OS LADOS, DE 1"</t>
  </si>
  <si>
    <t>18.013.0155-A</t>
  </si>
  <si>
    <t>REGISTRO DE PRESSAO,1416 DE 1/2",COM CANOPLA E VOLANTE EM METAL CROMADO.FORNECIMENTO</t>
  </si>
  <si>
    <t>SI00000089709</t>
  </si>
  <si>
    <t>0038383</t>
  </si>
  <si>
    <t>0020083</t>
  </si>
  <si>
    <t>0011741</t>
  </si>
  <si>
    <t>0000122</t>
  </si>
  <si>
    <t>SI00000088267</t>
  </si>
  <si>
    <t>SI00000088248</t>
  </si>
  <si>
    <t>SI00000089710</t>
  </si>
  <si>
    <t>0011739</t>
  </si>
  <si>
    <t>TUBO PVC, SERIE NORMAL, ESGOTO PREDIAL, DN 40 MM, FORNECIDO E INSTALADO EM RAMAL DE DESCARGA OU RAMAL DE ESGOTO SANITÁRIO. AF_12/2014</t>
  </si>
  <si>
    <t>TUBO PVC  SERIE NORMAL, DN 40 MM, PARA ESGOTO  PREDIAL (NBR 5688)</t>
  </si>
  <si>
    <t>TUBO PVC, SERIE NORMAL, ESGOTO PREDIAL, DN 50 MM, FORNECIDO E INSTALADO EM RAMAL DE DESCARGA OU RAMAL DE ESGOTO SANITÁRIO. AF_12/2014</t>
  </si>
  <si>
    <t>TUBO PVC SERIE NORMAL, DN 50 MM, PARA ESGOTO PREDIAL (NBR 5688)</t>
  </si>
  <si>
    <t>SI00000089711</t>
  </si>
  <si>
    <t>0009835</t>
  </si>
  <si>
    <t>SI00000089712</t>
  </si>
  <si>
    <t>0009838</t>
  </si>
  <si>
    <t>SI00000089713</t>
  </si>
  <si>
    <t>TUBO PVC, SERIE NORMAL, ESGOTO PREDIAL, DN 75 MM, FORNECIDO E INSTALADO EM RAMAL DE DESCARGA OU RAMAL DE ESGOTO SANITÁRIO. AF_12/2014</t>
  </si>
  <si>
    <t>0009837</t>
  </si>
  <si>
    <t>TUBO PVC SERIE NORMAL, DN 75 MM, PARA ESGOTO PREDIAL (NBR 5688)</t>
  </si>
  <si>
    <t>SI00000089714</t>
  </si>
  <si>
    <t>TUBO PVC, SERIE NORMAL, ESGOTO PREDIAL, DN 100 MM, FORNECIDO E INSTALADO EM RAMAL DE DESCARGA OU RAMAL DE ESGOTO SANITÁRIO. AF_12/2014</t>
  </si>
  <si>
    <t>0009836</t>
  </si>
  <si>
    <t>TUBO PVC  SERIE NORMAL, DN 100 MM, PARA ESGOTO  PREDIAL (NBR 5688)</t>
  </si>
  <si>
    <t>12.035.0015-A</t>
  </si>
  <si>
    <t>PAREDE DIVISORIA PARA SANITARIO EM PLACA DE ARDOSIA CINZA,COM 3CM DE ESPESSURA,POLIDA NAS DUAS FACES, FIXACAO PISO OU PA REDE,EXCLUSIVE FERRAGENS PARA FIXACAO.FORNECIMENTO E COLOCACAO (OBS.:3%-DESGASTE DE FERRAMENTAS E EPI).</t>
  </si>
  <si>
    <t>10794</t>
  </si>
  <si>
    <t>PLACA DE ARDOSIA CINZA, P/DIVISORIA, 3CMDE ESPESSURA</t>
  </si>
  <si>
    <t>SI00000090445</t>
  </si>
  <si>
    <t>RASGO EM CONTRAPISO PARA RAMAIS/ DISTRIBUIÇÃO COM DIÂMETROS MAIORES QUE 40 MM E MENORES OU IGUAIS A 75 MM. AF_05/2015</t>
  </si>
  <si>
    <t>SI00000005952</t>
  </si>
  <si>
    <t>SI00000005952 MARTELETE OU ROMPEDOR PNEUMÁTICO MANUAL, 28 KG, COM SILENCIADOR - CHI DIURNO. AF_07/2016</t>
  </si>
  <si>
    <t>CHI</t>
  </si>
  <si>
    <t>SI00000005795</t>
  </si>
  <si>
    <t>SI00000005795 MARTELETE OU ROMPEDOR PNEUMÁTICO MANUAL, 28 KG, COM SILENCIADOR - CHP DIURNO. AF_07/2016</t>
  </si>
  <si>
    <t>CHP</t>
  </si>
  <si>
    <t>SI00000090446</t>
  </si>
  <si>
    <t>RASGO EM CONTRAPISO PARA RAMAIS/ DISTRIBUIÇÃO COM DIÂMETROS MAIORES QUE 75 MM. AF_05/2015</t>
  </si>
  <si>
    <t>05.001.0075-A</t>
  </si>
  <si>
    <t>REMOCAO DE PISO DE TACOS,INCLUSIVE CAMADA DE ARGAMASSA DE ASSENTAMENTO (OBS.:3%-DESGASTE DE FERRAMENTAS E EPI).</t>
  </si>
  <si>
    <t>14789</t>
  </si>
  <si>
    <t>KIT DE ACESSORIOS PARA FIXACAO, COMPREENDENDO PARAFUSOS, BUCHAS E ARRUELAS</t>
  </si>
  <si>
    <t>TORNEIRA PARA LAVATORIO TIPO BANCA, 1193OU SIMILAR DE 1/2"</t>
  </si>
  <si>
    <t>05.001.0031-A</t>
  </si>
  <si>
    <t>DEMOLICAO DE PISO DE ALTA RESISTENCIA,EXCLUSIVE CAMADA DE ASSENTAMENTO(CONTRAPISO) (OBS.:3%-DESGASTE DE FERRAMENTAS E EPI).</t>
  </si>
  <si>
    <t>SI00000094570</t>
  </si>
  <si>
    <t>JANELA DE ALUMÍNIO DE CORRER COM 2 FOLHAS PARA VIDROS, COM VIDROS, BATENTE, ACABAMENTO COM ACETATO OU BRILHANTE E FERRAGENS. EXCLUSIVE ALIZAR E CONTRAMARCO. FORNECIMENTO E INSTALAÇÃO. AF_12/2019</t>
  </si>
  <si>
    <t>0039961</t>
  </si>
  <si>
    <t>SILICONE ACETICO USO GERAL INCOLOR 280 G</t>
  </si>
  <si>
    <t>0034362</t>
  </si>
  <si>
    <t>JANELA DE CORRER EM ALUMINIO, 120 X 120 CM (A X L), 2 FLS, SEM BANDEIRA, ACABAMENTO ACET OU BRILHANTE,  BATENTE/REQUADRO DE 6 A 14 CM, COM VIDRO, SEM GUARNICAO/ALIZAR</t>
  </si>
  <si>
    <t>0004377</t>
  </si>
  <si>
    <t>PARAFUSO DE ACO ZINCADO COM ROSCA SOBERBA, CABECA CHATA E FENDA SIMPLES, DIAMETRO 4,2 MM, COMPRIMENTO * 32 * MM</t>
  </si>
  <si>
    <t>14.003.0076-A</t>
  </si>
  <si>
    <t>JANELA BASCULANTE DE ALUMINIO ANODIZADO AO NATURAL,COM 2 ORDENS SENDO A INFERIOR FIXA,EM PERFIS SERIE 28.FORNECIMENTO E COLOCACAO (OBS.:3%-DESGASTE DE FERRAMENTAS E EPI 23%-ANODIZACAO E ACESSORIOS).</t>
  </si>
  <si>
    <t>SI00000097644</t>
  </si>
  <si>
    <t>BRACO EM ALUMINIO, DE 1/2", PARA CHUVEIRO ELETRICO</t>
  </si>
  <si>
    <t>REVESTIMENTO DE PISO COM LADRILHO CERAMICO,ANTIDERRAPANTE,COM MEDIDAS EM TORNO DE 45X45CM,SUJEITO A TRAFEGO INTENSO,RESI STENCIA A ABRASAO P.E.I.-IV,ASSENTES EM SUPERFICIE COM NATADE CIMENTO SOBRE ARGAMASSA DE CIMENTO,AREIA E SAIBRO,NO TRAC O 1:3:3,REJUNTAMENTO COM CIMENTO BRANCO E CORANTE (OBS.:3%-DESGASTE DE FERRAMENTAS E EPI).</t>
  </si>
  <si>
    <t>LADRILHO CERAMICO COM MEDIDAS EM TORNODE (45X45)CM, ANTI-DERRAPANTE,TRAFEGO INTENSO,PEI-IV</t>
  </si>
  <si>
    <t>VASO SANITARIO, DE LOUCA BRANCA, TIPO MEDIO LUXO, COM CAIXA ACOPLADA</t>
  </si>
  <si>
    <t>MICTORIO DE LOUCA BRANCA COM SIFAO INTEGRADO E MEDIDAS EM TORNO DE 33X28X53CM,INCLUSIVE ACESSORIOS DE FIXACAO.FERRAGENS EM METAL CROMADO: REGISTRO DE PRESSAO 1416 DE 1/2" E TUBO DELIGACAO DE 1/2".FORNECIMENTO</t>
  </si>
  <si>
    <t>ELETRODUTO RÍGIDO SOLDÁVEL, PVC, DN 25 MM (3/4), APARENTE, INSTALADO EM TETO - FORNECIMENTO E INSTALAÇÃO. AF_11/2016_P</t>
  </si>
  <si>
    <t>05.001.0031-0</t>
  </si>
  <si>
    <t>05.001.0075-0</t>
  </si>
  <si>
    <t>05.001.0134-0</t>
  </si>
  <si>
    <t>05.001.0065-0</t>
  </si>
  <si>
    <t>So00000096111</t>
  </si>
  <si>
    <t>So0043131</t>
  </si>
  <si>
    <t>So0040552</t>
  </si>
  <si>
    <t>So0040547</t>
  </si>
  <si>
    <t>So0039430</t>
  </si>
  <si>
    <t>So0039427</t>
  </si>
  <si>
    <t>So0036238</t>
  </si>
  <si>
    <t>So00000088278</t>
  </si>
  <si>
    <t>00709</t>
  </si>
  <si>
    <t>58.002.0412-1 TACO DE ALVENARIA (2,5 X 10 X 20)CM</t>
  </si>
  <si>
    <t>14.007.0040-0</t>
  </si>
  <si>
    <t>14.006.0010-0</t>
  </si>
  <si>
    <t>14.006.0005-0</t>
  </si>
  <si>
    <t>So00000088316</t>
  </si>
  <si>
    <t>So00000088309</t>
  </si>
  <si>
    <t>06913</t>
  </si>
  <si>
    <t>MAO-DE-OBRA DE SERRALHEIRO DA CONSTRUCAOCIVIL, INCLUSIVE ENCARGOS SOCIAIS</t>
  </si>
  <si>
    <t>So00000094570</t>
  </si>
  <si>
    <t>So0039961</t>
  </si>
  <si>
    <t>So0034362</t>
  </si>
  <si>
    <t>So0004377</t>
  </si>
  <si>
    <t>14.003.0076-0</t>
  </si>
  <si>
    <t>12.035.0015-0</t>
  </si>
  <si>
    <t>17.018.0110-0</t>
  </si>
  <si>
    <t>16.030.0030-0</t>
  </si>
  <si>
    <t>06914</t>
  </si>
  <si>
    <t>MAO-DE-OBRA DE IMPERMEABILIZADOR, INCLUSIVE ENCARGOS SOCIAIS</t>
  </si>
  <si>
    <t>18.002.0070-0</t>
  </si>
  <si>
    <t>15.003.0380-0</t>
  </si>
  <si>
    <t>15.004.0050-0</t>
  </si>
  <si>
    <t>18.002.0055-0</t>
  </si>
  <si>
    <t>15.036.0037-0</t>
  </si>
  <si>
    <t>15.036.0036-0</t>
  </si>
  <si>
    <t>15.045.0110-0</t>
  </si>
  <si>
    <t>15.029.0012-0</t>
  </si>
  <si>
    <t>18.013.0155-0</t>
  </si>
  <si>
    <t>So00000089709</t>
  </si>
  <si>
    <t>So0038383</t>
  </si>
  <si>
    <t>So0020083</t>
  </si>
  <si>
    <t>So0011741</t>
  </si>
  <si>
    <t>So0000122</t>
  </si>
  <si>
    <t>So00000088267</t>
  </si>
  <si>
    <t>So00000088248</t>
  </si>
  <si>
    <t>So00000089710</t>
  </si>
  <si>
    <t>So0011739</t>
  </si>
  <si>
    <t>So00000089711</t>
  </si>
  <si>
    <t>So0009835</t>
  </si>
  <si>
    <t>So00000089712</t>
  </si>
  <si>
    <t>So0009838</t>
  </si>
  <si>
    <t>So00000089713</t>
  </si>
  <si>
    <t>So0009837</t>
  </si>
  <si>
    <t>So00000089714</t>
  </si>
  <si>
    <t>So0009836</t>
  </si>
  <si>
    <t>So00000090445</t>
  </si>
  <si>
    <t>So00000005952</t>
  </si>
  <si>
    <t>So00000005952 MARTELETE OU ROMPEDOR PNEUMÁTICO MANUAL, 28 KG, COM SILENCIADOR - CHI DIURNO. AF_07/2016</t>
  </si>
  <si>
    <t>So00000005795</t>
  </si>
  <si>
    <t>So00000005795 MARTELETE OU ROMPEDOR PNEUMÁTICO MANUAL, 28 KG, COM SILENCIADOR - CHP DIURNO. AF_07/2016</t>
  </si>
  <si>
    <t>So00000090446</t>
  </si>
  <si>
    <t>04.014.0095-0</t>
  </si>
  <si>
    <t>05.001.0014-A</t>
  </si>
  <si>
    <t>DEMOLICAO DE ARGAMASSA DE ASSENTAMENTO DE AZULEJO,CERAMICA OU MARMORE EM PAREDE,INCLUSIVE EMPILHAMENTO LATERAL DENTRO DO CANTEIRO DE SERVICO (OBS.:3%-DESGASTE DE FERRAMENTAS E EPI).</t>
  </si>
  <si>
    <t>05.001.0009-A</t>
  </si>
  <si>
    <t>DEMOLICAO DE REVESTIMENTO EM AZULEJOS,CERAMICAS OU MARMORE EM PAREDE,EXCLUSIVE A CAMADA DE ASSENTAMENTO (OBS.:3%-DESGASTE DE FERRAMENTAS E EPI).</t>
  </si>
  <si>
    <t>05.001.0009-0</t>
  </si>
  <si>
    <t>05.001.0014-0</t>
  </si>
  <si>
    <t>18.002.0010-0</t>
  </si>
  <si>
    <t>LAVATORIO DE LOUCA BRANCA TIPO POPULAR,SEM LADRAO,COM MEDIDAS EM TORNO DE 47X35CM,INCLUSIVE ACESSORIOS DE FIXACAO,FERRAG ENS EM METAL CROMADO:SIFAO 1680 DE 1"X1.1/4",TORNEIRA PARA LAVATORIO TIPO BANCA 1193 OU SIMILAR DE 1/2" E VALVULA DE ESC OAMENTO 1600.RABICHO EM PVC.FORNECIMENTO</t>
  </si>
  <si>
    <t>03900</t>
  </si>
  <si>
    <t>LAVATORIO LOUCA BRANCA, TIPO POPULAR, MED. EM TORNO DE (47X35)CM</t>
  </si>
  <si>
    <t>18.002.0010-A</t>
  </si>
  <si>
    <t>1.5</t>
  </si>
  <si>
    <t>1.12</t>
  </si>
  <si>
    <t>1.13</t>
  </si>
  <si>
    <t>14.001.0065-0</t>
  </si>
  <si>
    <t>PORTA SANFONADA EM PVC,VAO DE 0,80X2,10M,INCLUSIVE ACESSORIOS(PUXADOR E TRINCOS).FORNECIMENTO E COLOCACAO (OBS.:3%-DESGASTE DE FERRAMENTAS E EPI).</t>
  </si>
  <si>
    <t>14.001.0072-A</t>
  </si>
  <si>
    <t>PORTA SANFONADA EM PVC,VAO DE 0,70X2,10M.FORNECIMENTO E COLOCACAO (OBS.:3%-DESGASTE DE FERRAMENTAS E EPI).</t>
  </si>
  <si>
    <t>11232</t>
  </si>
  <si>
    <t>PORTA SANFONADA PVC (0,70X2,10)M</t>
  </si>
  <si>
    <t>14.001.0070-A</t>
  </si>
  <si>
    <t>PORTA SANFONADA EM PVC,VAO DE 0,60X2,10M.FORNECIMENTO E COLOCACAO (OBS.:3%-DESGASTE DE FERRAMENTAS E EPI).</t>
  </si>
  <si>
    <t>11231</t>
  </si>
  <si>
    <t>PORTA SANFONADA PVC (0,60X2,10)M</t>
  </si>
  <si>
    <t>03083</t>
  </si>
  <si>
    <t>11.013.0003-1 VERGAS CONCR. ARMADO P/ ALVEN.</t>
  </si>
  <si>
    <t>01648</t>
  </si>
  <si>
    <t>12.003.0075-1 ALVENARIA TIJ. FURADO 10X20X20CM</t>
  </si>
  <si>
    <t>18.081.0021-A</t>
  </si>
  <si>
    <t>BANCA SECA DE GRANITO CINZA CORUMBA,COM 3CM DE ESPESSURA E 60CM DE LARGURA,SOBRE APOIOS DE ALVENARIA DE MEIA VEZ E VERGA DE CONCRETO,SEM REVESTIMENTO.FORNECIMENTO E COLOCACAO (OBS.:3%-DESGASTE DE FERRAMENTAS E EPI).</t>
  </si>
  <si>
    <t>13348</t>
  </si>
  <si>
    <t>BANCA SECA DE GRANITO CINZA CORUMBA, COM3CM DE ESPESSURA E 60CM DE LARGURA</t>
  </si>
  <si>
    <t>30344</t>
  </si>
  <si>
    <t>12.003.0075-B ALVENARIA TIJ. FURADO 10X20X20CM</t>
  </si>
  <si>
    <t>30312</t>
  </si>
  <si>
    <t>11.013.0003-B VERGAS CONCR. ARMADO P/ ALVEN.</t>
  </si>
  <si>
    <t>2.1</t>
  </si>
  <si>
    <t>3.2</t>
  </si>
  <si>
    <t>3.3</t>
  </si>
  <si>
    <t>3.4</t>
  </si>
  <si>
    <t>3.5</t>
  </si>
  <si>
    <t>3.6</t>
  </si>
  <si>
    <t>3.7</t>
  </si>
  <si>
    <t>3.8</t>
  </si>
  <si>
    <t>3.9</t>
  </si>
  <si>
    <t>4.2</t>
  </si>
  <si>
    <t>5.5</t>
  </si>
  <si>
    <t>5.6</t>
  </si>
  <si>
    <t>5.7</t>
  </si>
  <si>
    <t>5.12</t>
  </si>
  <si>
    <t>5.13</t>
  </si>
  <si>
    <t>5.14</t>
  </si>
  <si>
    <t>5.15</t>
  </si>
  <si>
    <t>5.16</t>
  </si>
  <si>
    <t>5.17</t>
  </si>
  <si>
    <t>5.18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</si>
  <si>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</si>
  <si>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</si>
  <si>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</si>
  <si>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</si>
  <si>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</si>
  <si>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</si>
  <si>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</si>
  <si>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</si>
  <si>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</si>
  <si>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</si>
  <si>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</si>
  <si>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</si>
  <si>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</si>
  <si>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</si>
  <si>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</si>
  <si>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</si>
  <si>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</si>
  <si>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</si>
  <si>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</si>
  <si>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</si>
  <si>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</si>
  <si>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7.1</t>
  </si>
  <si>
    <t>05.001.0170-A</t>
  </si>
  <si>
    <t>TRANSPORTE HORIZONTAL DE MATERIAL DE 1¦CATEGORIA OU ENTULHO,EM CARRINHOS,A 10,00M DE DISTANCIA,INCLUSIVE CARGA A PA (OBS.:3%- DESGASTE DE FERRAMENTAS E EPI).</t>
  </si>
  <si>
    <t>SI00000087275</t>
  </si>
  <si>
    <t>REVESTIMENTO CERÂMICO PARA PAREDES INTERNAS COM PLACAS TIPO ESMALTADA EXTRA  DE DIMENSÕES 33X45 CM APLICADAS EM AMBIENTES DE ÁREA MAIOR QUE 5 M² A MEIA ALTURA DAS PAREDES. AF_06/2014</t>
  </si>
  <si>
    <t>0034357</t>
  </si>
  <si>
    <t>REJUNTE COLORIDO, CIMENTICIO</t>
  </si>
  <si>
    <t>0001381</t>
  </si>
  <si>
    <t>ARGAMASSA COLANTE AC I PARA CERAMICAS</t>
  </si>
  <si>
    <t>0000536</t>
  </si>
  <si>
    <t>REVESTIMENTO EM CERAMICA ESMALTADA EXTRA, PEI MENOR OU IGUAL A 3, FORMATO MENOR OU IGUAL A 2025 CM2</t>
  </si>
  <si>
    <t>SI00000088256</t>
  </si>
  <si>
    <t>AZULEJISTA OU LADRILHISTA COM ENCARGOS COMPLEMENTARES</t>
  </si>
  <si>
    <t>RETIRADA  DE LAVATORIO,INCLUSIVE MATERIAIS NECESSARIOS (OBS.:3%-DESGASTE DE FERRAMENTAS E EPI).</t>
  </si>
  <si>
    <t>RETIRADA DE VASO SANITARIO SIFONADO,INCLUSIVE MATERIAIS NECESSARIOS (OBS.:3%-DESGASTE DE FERRAMENTAS E EPI).</t>
  </si>
  <si>
    <t>RETIRADA DE CHUVEIRO,INCLUSIVE MATERIAIS NECESSARIOS (OBS.:3%-DESGASTE DE FERRAMENTAS E EPI).</t>
  </si>
  <si>
    <r>
      <t>ARRANCAMENTO DE PORTAS,</t>
    </r>
    <r>
      <rPr>
        <b/>
        <sz val="11"/>
        <rFont val="Arial"/>
        <family val="2"/>
      </rPr>
      <t>JANELAS</t>
    </r>
    <r>
      <rPr>
        <sz val="11"/>
        <rFont val="Arial"/>
        <family val="2"/>
      </rPr>
      <t xml:space="preserve"> E CAIXILHOS DE AR CONDICIONADO OU OUTROS (OBS.:3%-DESGASTE DE FERRAMENTAS E EPI).</t>
    </r>
  </si>
  <si>
    <r>
      <t xml:space="preserve">15.018.0118-A </t>
    </r>
    <r>
      <rPr>
        <b/>
        <sz val="11"/>
        <rFont val="Arial"/>
        <family val="2"/>
      </rPr>
      <t>(MODIFICADO)</t>
    </r>
  </si>
  <si>
    <r>
      <t>CAIXA DE LIGACAO DE PVC,TIPO CONDULETES,PARA 5 OU 6 ENTRADAS,COM DIAMETRO DE 3/4"..</t>
    </r>
    <r>
      <rPr>
        <b/>
        <sz val="11"/>
        <rFont val="Arial"/>
        <family val="2"/>
      </rPr>
      <t>(INCLUSIVE TAMPA DE INTERRUPTOR SIMPLES)</t>
    </r>
    <r>
      <rPr>
        <sz val="11"/>
        <rFont val="Arial"/>
        <family val="2"/>
      </rPr>
      <t xml:space="preserve"> FORNECIMENTO E COLOCACAO. (OBS.:3%-DESGASTE DE FERRAMENTAS E EPI).</t>
    </r>
  </si>
  <si>
    <r>
      <t>CAIXA DE LIGACAO DE PVC,TIPO CONDULETES,PARA 5 OU 6 ENTRADAS,COM DIAMETRO DE 3/4". (</t>
    </r>
    <r>
      <rPr>
        <b/>
        <sz val="11"/>
        <rFont val="Arial"/>
        <family val="2"/>
      </rPr>
      <t xml:space="preserve">INCLUSIVE TAMPA DE TOMADA  PARA 1 MODULO RJ) </t>
    </r>
    <r>
      <rPr>
        <sz val="11"/>
        <rFont val="Arial"/>
        <family val="2"/>
      </rPr>
      <t>,FORNECIMENTO E COLOCACAO. (OBS.:3%-DESGASTE DE FERRAMENTAS E EPI).</t>
    </r>
  </si>
  <si>
    <r>
      <t>CAIXA DE LIGACAO DE PVC,TIPO CONDULETES,PARA 5 OU 6 ENTRADAS,COM DIAMETRO DE 3/4".</t>
    </r>
    <r>
      <rPr>
        <b/>
        <sz val="11"/>
        <rFont val="Arial"/>
        <family val="2"/>
      </rPr>
      <t xml:space="preserve">(INCLUSIVE TAMPA DE TOMADA  PARA 2 MODULOS RJ). </t>
    </r>
    <r>
      <rPr>
        <sz val="11"/>
        <rFont val="Arial"/>
        <family val="2"/>
      </rPr>
      <t>FORNECIMENTO E COLOCACAO. (OBS.:3%-DESGASTE DE FERRAMENTAS E EPI).</t>
    </r>
  </si>
  <si>
    <r>
      <t>CAIXA DE LIGACAO DE PVC,TIPO CONDULETES,PARA 5 OU 6 ENTRADAS,COM DIAMETRO DE 3/4".</t>
    </r>
    <r>
      <rPr>
        <b/>
        <sz val="11"/>
        <rFont val="Arial"/>
        <family val="2"/>
      </rPr>
      <t>(INCLUSIVE TAMPA CEGA)</t>
    </r>
    <r>
      <rPr>
        <sz val="11"/>
        <rFont val="Arial"/>
        <family val="2"/>
      </rPr>
      <t xml:space="preserve"> FORNECIMENTO E COLOCACAO. (OBS.:3%-DESGASTE DE FERRAMENTAS E EPI).</t>
    </r>
  </si>
  <si>
    <r>
      <t xml:space="preserve">SI00000095727 </t>
    </r>
    <r>
      <rPr>
        <b/>
        <sz val="11"/>
        <rFont val="Arial"/>
        <family val="2"/>
      </rPr>
      <t>(MODIFICADO)</t>
    </r>
  </si>
  <si>
    <t>7.2</t>
  </si>
  <si>
    <t>So00000097644</t>
  </si>
  <si>
    <t>RETIRADA DE LAVATORIO,INCLUSIVE MATERIAIS NECESSARIOS (OBS.:3%-DESGASTE DE FERRAMENTAS E EPI).</t>
  </si>
  <si>
    <t>15.003.0361-0 (MODIFICADO)</t>
  </si>
  <si>
    <t>RETIRADA  DE VASO SANITARIO SIFONADO,INCLUSIVE MATERIAIS NECESSARIOS (OBS.:3%-DESGASTE DE FERRAMENTAS E EPI).</t>
  </si>
  <si>
    <t>15.003.0375-0 (MODIFICADO)</t>
  </si>
  <si>
    <t>15.003.0410-0 (MODIFICADO)</t>
  </si>
  <si>
    <t>So00000087275</t>
  </si>
  <si>
    <t>So0034357</t>
  </si>
  <si>
    <t>So0001381</t>
  </si>
  <si>
    <t>So0000536</t>
  </si>
  <si>
    <t>So00000088256</t>
  </si>
  <si>
    <t>11405</t>
  </si>
  <si>
    <t>PORTA SANFONADA PVC (0,80X2,10)M</t>
  </si>
  <si>
    <t>14.001.0072-0</t>
  </si>
  <si>
    <t>14.001.0070-0</t>
  </si>
  <si>
    <t>18.081.0021-0</t>
  </si>
  <si>
    <t>05.001.0170-0</t>
  </si>
  <si>
    <t>So0074131/004</t>
  </si>
  <si>
    <t>So0012038</t>
  </si>
  <si>
    <t>So00000088264</t>
  </si>
  <si>
    <t>So00000088247</t>
  </si>
  <si>
    <t>So00000093653</t>
  </si>
  <si>
    <t>So0034653</t>
  </si>
  <si>
    <t>So0001570</t>
  </si>
  <si>
    <t>So00000093660</t>
  </si>
  <si>
    <t>So0034616</t>
  </si>
  <si>
    <t>So00000093654</t>
  </si>
  <si>
    <t>So00000093662</t>
  </si>
  <si>
    <t>So0001571</t>
  </si>
  <si>
    <t>So00000093664</t>
  </si>
  <si>
    <t>So0001573</t>
  </si>
  <si>
    <t>15.008.0020-0</t>
  </si>
  <si>
    <t>01983</t>
  </si>
  <si>
    <t>MAO-DE-OBRA DE ELETRICISTA DE CONSTRUCAOCIVIL, INCLUSIVE ENCARGOS SOCIAIS</t>
  </si>
  <si>
    <t>15.008.0025-0</t>
  </si>
  <si>
    <t>15.008.0030-0</t>
  </si>
  <si>
    <t>15.008.0035-0</t>
  </si>
  <si>
    <t>So00000091935</t>
  </si>
  <si>
    <t>So0021127</t>
  </si>
  <si>
    <t>So0000995</t>
  </si>
  <si>
    <t>15.007.0208-0</t>
  </si>
  <si>
    <t>18.027.0302-0</t>
  </si>
  <si>
    <t>15.020.0173-0</t>
  </si>
  <si>
    <t>So00000095730</t>
  </si>
  <si>
    <t>So0002678</t>
  </si>
  <si>
    <t>So00000091173</t>
  </si>
  <si>
    <t>So00000091173 FIXAÇÃO DE TUBOS VERTICAIS DE PPR DIÂMETROS MENORES OU IGUAIS A 40 MM COM ABRAÇADEIRA METÁLICA RÍGIDA TIPO D 1/2", FIXADA EM PERFILADO EM ALVENARIA. AF_05/2015</t>
  </si>
  <si>
    <t>So00000093009</t>
  </si>
  <si>
    <t>So0002681</t>
  </si>
  <si>
    <r>
      <t xml:space="preserve">So00000095727 </t>
    </r>
    <r>
      <rPr>
        <b/>
        <sz val="11"/>
        <rFont val="Arial"/>
        <family val="2"/>
      </rPr>
      <t>(MODIFICADO)</t>
    </r>
  </si>
  <si>
    <t>So00000091170</t>
  </si>
  <si>
    <t>So00000091170 FIXAÇÃO DE TUBOS HORIZONTAIS DE PVC, CPVC OU COBRE DIÂMETROS MENORES OU IGUAIS A 40 MM OU ELETROCALHAS ATÉ 150MM DE LARGURA, COM ABRAÇADEIRA METÁLICA RÍGIDA TIPO D 1/2, FIXADA EM PERFILADO EM LAJE. AF_05/2015</t>
  </si>
  <si>
    <r>
      <t>CAIXA DE LIGACAO DE PVC,TIPO CONDULETES,PARA 5 OU 6 ENTRADAS,COM DIAMETRO DE 3/4"</t>
    </r>
    <r>
      <rPr>
        <b/>
        <sz val="11"/>
        <rFont val="Arial"/>
        <family val="2"/>
      </rPr>
      <t>(INCLUSIVE TAMPA DE TOMADA  PARA 2 MODULOS RJ)</t>
    </r>
    <r>
      <rPr>
        <sz val="11"/>
        <rFont val="Arial"/>
        <family val="2"/>
      </rPr>
      <t>.FORNECIMENTO E COLOCACAO. (OBS.:3%-DESGASTE DE FERRAMENTAS E EPI).</t>
    </r>
  </si>
  <si>
    <r>
      <t xml:space="preserve">15.018.0118-0 </t>
    </r>
    <r>
      <rPr>
        <b/>
        <sz val="11"/>
        <rFont val="Arial"/>
        <family val="2"/>
      </rPr>
      <t>(MODIFICADO)</t>
    </r>
  </si>
  <si>
    <r>
      <t>CAIXA DE LIGACAO DE PVC,TIPO CONDULETES,PARA 5 OU 6 ENTRADAS,COM DIAMETRO DE 3/4"</t>
    </r>
    <r>
      <rPr>
        <b/>
        <sz val="11"/>
        <rFont val="Arial"/>
        <family val="2"/>
      </rPr>
      <t>(INCLUSIVE TAMPA DE INTERRUPTOR SIMPLES)</t>
    </r>
    <r>
      <rPr>
        <sz val="11"/>
        <rFont val="Arial"/>
        <family val="2"/>
      </rPr>
      <t>..FORNECIMENTO E COLOCACAO. (OBS.:3%-DESGASTE DE FERRAMENTAS E EPI).</t>
    </r>
  </si>
  <si>
    <r>
      <t>CAIXA DE LIGACAO DE PVC,TIPO CONDULETES,PARA 5 OU 6 ENTRADAS,COM DIAMETRO DE 3/4".</t>
    </r>
    <r>
      <rPr>
        <b/>
        <sz val="11"/>
        <rFont val="Arial"/>
        <family val="2"/>
      </rPr>
      <t xml:space="preserve">(INCLUSIVE TAMPA DE TOMADA  PARA 2 MODULOS RJ) </t>
    </r>
    <r>
      <rPr>
        <sz val="11"/>
        <rFont val="Arial"/>
        <family val="2"/>
      </rPr>
      <t>FORNECIMENTO E COLOCACAO. (OBS.:3%-DESGASTE DE FERRAMENTAS E EPI).</t>
    </r>
  </si>
  <si>
    <t>DATA: 27/08/2020</t>
  </si>
  <si>
    <t>ORÇAMENTO:  Eng° Patrick Suckow</t>
  </si>
  <si>
    <r>
      <t>Data-Base:   EMOP -  RJ / SINAPI e SCO-RJ-</t>
    </r>
    <r>
      <rPr>
        <b/>
        <sz val="12"/>
        <color indexed="8"/>
        <rFont val="Arial"/>
        <family val="2"/>
      </rPr>
      <t xml:space="preserve"> Deso</t>
    </r>
    <r>
      <rPr>
        <b/>
        <sz val="12"/>
        <color indexed="8"/>
        <rFont val="Arial"/>
        <family val="2"/>
      </rPr>
      <t>nerado -</t>
    </r>
    <r>
      <rPr>
        <sz val="12"/>
        <color indexed="8"/>
        <rFont val="Arial"/>
        <family val="2"/>
      </rPr>
      <t xml:space="preserve"> Base JUNHO -2020</t>
    </r>
  </si>
  <si>
    <t>Serviço : REFORMA DO ALOJAMENTO MASCULINO E FEMININO DA GUARDA</t>
  </si>
  <si>
    <t>ORÇAMENTO Nº</t>
  </si>
  <si>
    <r>
      <t>Data-Base:   EMOP -  RJ / SINAPI e SCO-RJ-</t>
    </r>
    <r>
      <rPr>
        <b/>
        <sz val="12"/>
        <color indexed="8"/>
        <rFont val="Arial"/>
        <family val="2"/>
      </rPr>
      <t xml:space="preserve"> NÃO Deso</t>
    </r>
    <r>
      <rPr>
        <b/>
        <sz val="12"/>
        <color indexed="8"/>
        <rFont val="Arial"/>
        <family val="2"/>
      </rPr>
      <t>nerado -</t>
    </r>
    <r>
      <rPr>
        <sz val="12"/>
        <color indexed="8"/>
        <rFont val="Arial"/>
        <family val="2"/>
      </rPr>
      <t xml:space="preserve"> Base JUNHO -2020</t>
    </r>
  </si>
  <si>
    <t>Data-Base:   EMOP -  RJ / SINAPI e SCO-RJ- Desonerado - Base JUNHO -2020</t>
  </si>
  <si>
    <t>16.022.0012-A</t>
  </si>
  <si>
    <t>IMPERMEABILIZACAO COM MANTA ASFALTICA PRE-FABRICADA,TIPO II-C EM FORMA DE TIRA DE 32CM DE LARGURA POR 10M DE COMPRIMENTO ,ESPESSURA DE 3MM,CONSUMO DE 1,10M2/M2 (OBS.:3%-DESGASTE DE FERRAMENTAS E EPI).</t>
  </si>
  <si>
    <t>14306</t>
  </si>
  <si>
    <t>MANTA PRE-FABRICADA, TIPO II-C, EM FORMA DE TIRA DE 32CM DE LARGURA COM 10M DECOMPRIMENTO, ESPESSURA DE 3MM</t>
  </si>
  <si>
    <t>2.5</t>
  </si>
  <si>
    <t>16.022.0012-0</t>
  </si>
  <si>
    <t>90 DIAS</t>
  </si>
  <si>
    <t>PLANILHA ORÇAMENTÁRIA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</si>
</sst>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"/>
    <numFmt numFmtId="166" formatCode="0.0%"/>
    <numFmt numFmtId="167" formatCode="_([$€]* #,##0.00_);_([$€]* \(#,##0.00\);_([$€]* &quot;-&quot;??_);_(@_)"/>
    <numFmt numFmtId="168" formatCode="_(* #,##0.00_);_(* \(#,##0.00\);_(* &quot;-&quot;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#,##0.00_ ;\-#,##0.00\ 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mmm/yyyy"/>
    <numFmt numFmtId="188" formatCode="&quot;R$&quot;\ #,##0.00"/>
    <numFmt numFmtId="189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Switzerland"/>
      <family val="0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11"/>
      <name val="Switzerland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5"/>
      <color indexed="4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5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49" fontId="56" fillId="33" borderId="11" xfId="65" applyNumberFormat="1" applyFont="1" applyFill="1" applyBorder="1" applyAlignment="1">
      <alignment horizontal="center"/>
      <protection/>
    </xf>
    <xf numFmtId="49" fontId="56" fillId="33" borderId="12" xfId="59" applyNumberFormat="1" applyFont="1" applyFill="1" applyBorder="1">
      <alignment/>
      <protection/>
    </xf>
    <xf numFmtId="4" fontId="56" fillId="33" borderId="12" xfId="59" applyNumberFormat="1" applyFont="1" applyFill="1" applyBorder="1" applyAlignment="1">
      <alignment horizontal="left" readingOrder="1"/>
      <protection/>
    </xf>
    <xf numFmtId="4" fontId="56" fillId="33" borderId="11" xfId="66" applyNumberFormat="1" applyFont="1" applyFill="1" applyBorder="1" applyAlignment="1">
      <alignment horizontal="left" vertical="center"/>
      <protection/>
    </xf>
    <xf numFmtId="4" fontId="56" fillId="33" borderId="12" xfId="0" applyNumberFormat="1" applyFont="1" applyFill="1" applyBorder="1" applyAlignment="1">
      <alignment horizontal="left"/>
    </xf>
    <xf numFmtId="4" fontId="56" fillId="33" borderId="12" xfId="65" applyNumberFormat="1" applyFont="1" applyFill="1" applyBorder="1" applyAlignment="1">
      <alignment horizontal="left"/>
      <protection/>
    </xf>
    <xf numFmtId="4" fontId="56" fillId="33" borderId="13" xfId="65" applyNumberFormat="1" applyFont="1" applyFill="1" applyBorder="1" applyAlignment="1">
      <alignment horizontal="left"/>
      <protection/>
    </xf>
    <xf numFmtId="49" fontId="56" fillId="33" borderId="14" xfId="65" applyNumberFormat="1" applyFont="1" applyFill="1" applyBorder="1" applyAlignment="1">
      <alignment horizontal="center"/>
      <protection/>
    </xf>
    <xf numFmtId="49" fontId="56" fillId="33" borderId="0" xfId="59" applyNumberFormat="1" applyFont="1" applyFill="1" applyBorder="1">
      <alignment/>
      <protection/>
    </xf>
    <xf numFmtId="4" fontId="56" fillId="33" borderId="0" xfId="59" applyNumberFormat="1" applyFont="1" applyFill="1" applyBorder="1" applyAlignment="1">
      <alignment horizontal="left" readingOrder="1"/>
      <protection/>
    </xf>
    <xf numFmtId="4" fontId="56" fillId="33" borderId="14" xfId="66" applyNumberFormat="1" applyFont="1" applyFill="1" applyBorder="1" applyAlignment="1">
      <alignment horizontal="left" vertical="center"/>
      <protection/>
    </xf>
    <xf numFmtId="4" fontId="56" fillId="33" borderId="0" xfId="65" applyNumberFormat="1" applyFont="1" applyFill="1" applyBorder="1" applyAlignment="1">
      <alignment horizontal="left"/>
      <protection/>
    </xf>
    <xf numFmtId="4" fontId="56" fillId="33" borderId="0" xfId="59" applyNumberFormat="1" applyFont="1" applyFill="1" applyBorder="1" applyAlignment="1">
      <alignment horizontal="left"/>
      <protection/>
    </xf>
    <xf numFmtId="4" fontId="56" fillId="33" borderId="15" xfId="59" applyNumberFormat="1" applyFont="1" applyFill="1" applyBorder="1" applyAlignment="1">
      <alignment horizontal="left"/>
      <protection/>
    </xf>
    <xf numFmtId="4" fontId="57" fillId="33" borderId="0" xfId="59" applyNumberFormat="1" applyFont="1" applyFill="1" applyBorder="1" applyAlignment="1">
      <alignment vertical="center" wrapText="1" readingOrder="1"/>
      <protection/>
    </xf>
    <xf numFmtId="4" fontId="57" fillId="33" borderId="0" xfId="59" applyNumberFormat="1" applyFont="1" applyFill="1" applyBorder="1">
      <alignment/>
      <protection/>
    </xf>
    <xf numFmtId="49" fontId="56" fillId="33" borderId="16" xfId="65" applyNumberFormat="1" applyFont="1" applyFill="1" applyBorder="1" applyAlignment="1">
      <alignment horizontal="center"/>
      <protection/>
    </xf>
    <xf numFmtId="49" fontId="56" fillId="33" borderId="17" xfId="66" applyNumberFormat="1" applyFont="1" applyFill="1" applyBorder="1" applyAlignment="1">
      <alignment horizontal="center"/>
      <protection/>
    </xf>
    <xf numFmtId="4" fontId="57" fillId="33" borderId="17" xfId="66" applyNumberFormat="1" applyFont="1" applyFill="1" applyBorder="1" applyAlignment="1">
      <alignment/>
      <protection/>
    </xf>
    <xf numFmtId="0" fontId="4" fillId="0" borderId="13" xfId="62" applyFont="1" applyBorder="1">
      <alignment/>
      <protection/>
    </xf>
    <xf numFmtId="0" fontId="4" fillId="0" borderId="0" xfId="62" applyFont="1">
      <alignment/>
      <protection/>
    </xf>
    <xf numFmtId="0" fontId="7" fillId="0" borderId="0" xfId="62">
      <alignment/>
      <protection/>
    </xf>
    <xf numFmtId="0" fontId="4" fillId="0" borderId="15" xfId="62" applyFont="1" applyBorder="1">
      <alignment/>
      <protection/>
    </xf>
    <xf numFmtId="0" fontId="4" fillId="0" borderId="18" xfId="62" applyFont="1" applyBorder="1">
      <alignment/>
      <protection/>
    </xf>
    <xf numFmtId="0" fontId="10" fillId="0" borderId="19" xfId="62" applyFont="1" applyBorder="1" applyAlignment="1">
      <alignment horizontal="center"/>
      <protection/>
    </xf>
    <xf numFmtId="0" fontId="7" fillId="0" borderId="0" xfId="62" applyBorder="1">
      <alignment/>
      <protection/>
    </xf>
    <xf numFmtId="0" fontId="10" fillId="0" borderId="20" xfId="62" applyFont="1" applyBorder="1" applyAlignment="1">
      <alignment horizontal="center"/>
      <protection/>
    </xf>
    <xf numFmtId="0" fontId="10" fillId="0" borderId="13" xfId="62" applyFont="1" applyBorder="1" applyAlignment="1">
      <alignment horizontal="center"/>
      <protection/>
    </xf>
    <xf numFmtId="0" fontId="9" fillId="0" borderId="21" xfId="63" applyFont="1" applyFill="1" applyBorder="1" applyAlignment="1">
      <alignment vertical="top"/>
      <protection/>
    </xf>
    <xf numFmtId="39" fontId="8" fillId="0" borderId="21" xfId="62" applyNumberFormat="1" applyFont="1" applyBorder="1" applyAlignment="1">
      <alignment/>
      <protection/>
    </xf>
    <xf numFmtId="0" fontId="8" fillId="0" borderId="0" xfId="62" applyFont="1">
      <alignment/>
      <protection/>
    </xf>
    <xf numFmtId="0" fontId="9" fillId="0" borderId="19" xfId="65" applyFont="1" applyFill="1" applyBorder="1" applyAlignment="1">
      <alignment vertical="top"/>
      <protection/>
    </xf>
    <xf numFmtId="0" fontId="8" fillId="0" borderId="19" xfId="65" applyFont="1" applyFill="1" applyBorder="1" applyAlignment="1">
      <alignment horizontal="left" vertical="top"/>
      <protection/>
    </xf>
    <xf numFmtId="10" fontId="8" fillId="0" borderId="19" xfId="71" applyNumberFormat="1" applyFont="1" applyFill="1" applyBorder="1" applyAlignment="1">
      <alignment/>
    </xf>
    <xf numFmtId="39" fontId="8" fillId="0" borderId="0" xfId="62" applyNumberFormat="1" applyFont="1">
      <alignment/>
      <protection/>
    </xf>
    <xf numFmtId="0" fontId="8" fillId="0" borderId="19" xfId="65" applyFont="1" applyFill="1" applyBorder="1" applyAlignment="1">
      <alignment horizontal="justify" vertical="justify" wrapText="1"/>
      <protection/>
    </xf>
    <xf numFmtId="0" fontId="11" fillId="0" borderId="19" xfId="65" applyFont="1" applyBorder="1" applyAlignment="1">
      <alignment vertical="top"/>
      <protection/>
    </xf>
    <xf numFmtId="0" fontId="11" fillId="0" borderId="19" xfId="65" applyFont="1" applyBorder="1" applyAlignment="1">
      <alignment horizontal="left" vertical="top"/>
      <protection/>
    </xf>
    <xf numFmtId="0" fontId="12" fillId="0" borderId="0" xfId="62" applyFont="1">
      <alignment/>
      <protection/>
    </xf>
    <xf numFmtId="0" fontId="8" fillId="0" borderId="0" xfId="62" applyFont="1" applyBorder="1">
      <alignment/>
      <protection/>
    </xf>
    <xf numFmtId="4" fontId="8" fillId="0" borderId="0" xfId="62" applyNumberFormat="1" applyFont="1">
      <alignment/>
      <protection/>
    </xf>
    <xf numFmtId="0" fontId="56" fillId="34" borderId="19" xfId="0" applyFont="1" applyFill="1" applyBorder="1" applyAlignment="1">
      <alignment/>
    </xf>
    <xf numFmtId="0" fontId="37" fillId="33" borderId="0" xfId="0" applyFont="1" applyFill="1" applyAlignment="1">
      <alignment horizontal="right"/>
    </xf>
    <xf numFmtId="4" fontId="5" fillId="33" borderId="0" xfId="59" applyNumberFormat="1" applyFont="1" applyFill="1" applyBorder="1" applyAlignment="1">
      <alignment vertical="center" wrapText="1" readingOrder="1"/>
      <protection/>
    </xf>
    <xf numFmtId="4" fontId="6" fillId="33" borderId="0" xfId="66" applyNumberFormat="1" applyFont="1" applyFill="1" applyBorder="1" applyAlignment="1">
      <alignment horizontal="left"/>
      <protection/>
    </xf>
    <xf numFmtId="4" fontId="19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9" fillId="0" borderId="19" xfId="0" applyFont="1" applyBorder="1" applyAlignment="1">
      <alignment horizontal="center" vertical="center"/>
    </xf>
    <xf numFmtId="0" fontId="56" fillId="34" borderId="22" xfId="0" applyFont="1" applyFill="1" applyBorder="1" applyAlignment="1">
      <alignment/>
    </xf>
    <xf numFmtId="0" fontId="56" fillId="34" borderId="23" xfId="0" applyFont="1" applyFill="1" applyBorder="1" applyAlignment="1">
      <alignment/>
    </xf>
    <xf numFmtId="0" fontId="56" fillId="34" borderId="21" xfId="0" applyFont="1" applyFill="1" applyBorder="1" applyAlignment="1">
      <alignment/>
    </xf>
    <xf numFmtId="0" fontId="6" fillId="33" borderId="23" xfId="0" applyFont="1" applyFill="1" applyBorder="1" applyAlignment="1">
      <alignment horizontal="right"/>
    </xf>
    <xf numFmtId="0" fontId="6" fillId="33" borderId="21" xfId="0" applyFont="1" applyFill="1" applyBorder="1" applyAlignment="1">
      <alignment horizontal="right" vertical="justify" wrapText="1"/>
    </xf>
    <xf numFmtId="0" fontId="6" fillId="33" borderId="21" xfId="0" applyFont="1" applyFill="1" applyBorder="1" applyAlignment="1">
      <alignment horizontal="right"/>
    </xf>
    <xf numFmtId="4" fontId="37" fillId="33" borderId="17" xfId="0" applyNumberFormat="1" applyFont="1" applyFill="1" applyBorder="1" applyAlignment="1">
      <alignment horizontal="right"/>
    </xf>
    <xf numFmtId="4" fontId="37" fillId="33" borderId="22" xfId="0" applyNumberFormat="1" applyFont="1" applyFill="1" applyBorder="1" applyAlignment="1">
      <alignment horizontal="right"/>
    </xf>
    <xf numFmtId="4" fontId="6" fillId="33" borderId="21" xfId="0" applyNumberFormat="1" applyFont="1" applyFill="1" applyBorder="1" applyAlignment="1">
      <alignment horizontal="right"/>
    </xf>
    <xf numFmtId="0" fontId="3" fillId="0" borderId="0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 wrapText="1"/>
      <protection/>
    </xf>
    <xf numFmtId="4" fontId="3" fillId="0" borderId="0" xfId="67" applyNumberFormat="1" applyFont="1" applyFill="1" applyBorder="1" applyAlignment="1">
      <alignment horizontal="center" vertical="center"/>
      <protection/>
    </xf>
    <xf numFmtId="4" fontId="3" fillId="0" borderId="0" xfId="67" applyNumberFormat="1" applyFont="1" applyFill="1" applyBorder="1" applyAlignment="1">
      <alignment horizontal="right"/>
      <protection/>
    </xf>
    <xf numFmtId="4" fontId="3" fillId="0" borderId="0" xfId="68" applyNumberFormat="1" applyFont="1" applyFill="1" applyBorder="1" applyAlignment="1">
      <alignment horizontal="right"/>
      <protection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3" fillId="0" borderId="0" xfId="67" applyFont="1" applyFill="1" applyBorder="1" applyAlignment="1">
      <alignment horizontal="justify" vertical="justify" wrapText="1"/>
      <protection/>
    </xf>
    <xf numFmtId="4" fontId="3" fillId="0" borderId="0" xfId="67" applyNumberFormat="1" applyFont="1" applyFill="1" applyBorder="1" applyAlignment="1">
      <alignment horizontal="justify" vertical="justify" wrapText="1"/>
      <protection/>
    </xf>
    <xf numFmtId="44" fontId="8" fillId="0" borderId="19" xfId="50" applyFont="1" applyFill="1" applyBorder="1" applyAlignment="1">
      <alignment/>
    </xf>
    <xf numFmtId="10" fontId="8" fillId="35" borderId="19" xfId="71" applyNumberFormat="1" applyFont="1" applyFill="1" applyBorder="1" applyAlignment="1">
      <alignment/>
    </xf>
    <xf numFmtId="4" fontId="8" fillId="35" borderId="20" xfId="56" applyNumberFormat="1" applyFont="1" applyFill="1" applyBorder="1">
      <alignment/>
      <protection/>
    </xf>
    <xf numFmtId="0" fontId="8" fillId="35" borderId="24" xfId="56" applyFont="1" applyFill="1" applyBorder="1">
      <alignment/>
      <protection/>
    </xf>
    <xf numFmtId="166" fontId="9" fillId="35" borderId="24" xfId="71" applyNumberFormat="1" applyFont="1" applyFill="1" applyBorder="1" applyAlignment="1">
      <alignment horizontal="center"/>
    </xf>
    <xf numFmtId="0" fontId="8" fillId="35" borderId="25" xfId="62" applyFont="1" applyFill="1" applyBorder="1">
      <alignment/>
      <protection/>
    </xf>
    <xf numFmtId="44" fontId="9" fillId="0" borderId="19" xfId="50" applyFont="1" applyFill="1" applyBorder="1" applyAlignment="1">
      <alignment/>
    </xf>
    <xf numFmtId="0" fontId="18" fillId="0" borderId="0" xfId="67" applyFont="1" applyFill="1" applyBorder="1" applyAlignment="1">
      <alignment horizontal="justify" vertical="justify" wrapText="1"/>
      <protection/>
    </xf>
    <xf numFmtId="4" fontId="18" fillId="0" borderId="0" xfId="68" applyNumberFormat="1" applyFont="1" applyFill="1" applyBorder="1" applyAlignment="1">
      <alignment horizontal="right"/>
      <protection/>
    </xf>
    <xf numFmtId="4" fontId="18" fillId="0" borderId="0" xfId="0" applyNumberFormat="1" applyFont="1" applyFill="1" applyBorder="1" applyAlignment="1">
      <alignment horizontal="right"/>
    </xf>
    <xf numFmtId="4" fontId="18" fillId="0" borderId="0" xfId="67" applyNumberFormat="1" applyFont="1" applyFill="1" applyBorder="1" applyAlignment="1">
      <alignment horizontal="justify" vertical="justify" wrapText="1"/>
      <protection/>
    </xf>
    <xf numFmtId="0" fontId="3" fillId="0" borderId="0" xfId="67" applyFont="1" applyFill="1" applyBorder="1" applyAlignment="1">
      <alignment horizontal="justify" vertical="top" wrapText="1"/>
      <protection/>
    </xf>
    <xf numFmtId="4" fontId="3" fillId="0" borderId="0" xfId="67" applyNumberFormat="1" applyFont="1" applyFill="1" applyBorder="1" applyAlignment="1">
      <alignment/>
      <protection/>
    </xf>
    <xf numFmtId="0" fontId="3" fillId="0" borderId="19" xfId="67" applyFont="1" applyFill="1" applyBorder="1" applyAlignment="1">
      <alignment horizontal="justify" vertical="justify" wrapText="1"/>
      <protection/>
    </xf>
    <xf numFmtId="4" fontId="37" fillId="33" borderId="0" xfId="0" applyNumberFormat="1" applyFont="1" applyFill="1" applyAlignment="1">
      <alignment horizontal="right"/>
    </xf>
    <xf numFmtId="0" fontId="3" fillId="36" borderId="19" xfId="67" applyFont="1" applyFill="1" applyBorder="1" applyAlignment="1">
      <alignment horizontal="center" vertical="center"/>
      <protection/>
    </xf>
    <xf numFmtId="0" fontId="3" fillId="36" borderId="19" xfId="67" applyFont="1" applyFill="1" applyBorder="1" applyAlignment="1">
      <alignment horizontal="center" vertical="center" wrapText="1"/>
      <protection/>
    </xf>
    <xf numFmtId="0" fontId="3" fillId="36" borderId="19" xfId="67" applyFont="1" applyFill="1" applyBorder="1" applyAlignment="1">
      <alignment horizontal="justify" vertical="top" wrapText="1"/>
      <protection/>
    </xf>
    <xf numFmtId="4" fontId="3" fillId="36" borderId="19" xfId="67" applyNumberFormat="1" applyFont="1" applyFill="1" applyBorder="1" applyAlignment="1">
      <alignment horizontal="center" vertical="center"/>
      <protection/>
    </xf>
    <xf numFmtId="4" fontId="3" fillId="36" borderId="19" xfId="67" applyNumberFormat="1" applyFont="1" applyFill="1" applyBorder="1" applyAlignment="1">
      <alignment/>
      <protection/>
    </xf>
    <xf numFmtId="4" fontId="3" fillId="36" borderId="19" xfId="67" applyNumberFormat="1" applyFont="1" applyFill="1" applyBorder="1" applyAlignment="1">
      <alignment horizontal="right"/>
      <protection/>
    </xf>
    <xf numFmtId="4" fontId="3" fillId="36" borderId="19" xfId="68" applyNumberFormat="1" applyFont="1" applyFill="1" applyBorder="1" applyAlignment="1">
      <alignment horizontal="right"/>
      <protection/>
    </xf>
    <xf numFmtId="4" fontId="3" fillId="36" borderId="19" xfId="0" applyNumberFormat="1" applyFont="1" applyFill="1" applyBorder="1" applyAlignment="1">
      <alignment horizontal="right"/>
    </xf>
    <xf numFmtId="4" fontId="3" fillId="36" borderId="0" xfId="0" applyNumberFormat="1" applyFont="1" applyFill="1" applyBorder="1" applyAlignment="1">
      <alignment horizontal="right" wrapText="1"/>
    </xf>
    <xf numFmtId="0" fontId="3" fillId="36" borderId="0" xfId="0" applyFont="1" applyFill="1" applyBorder="1" applyAlignment="1">
      <alignment/>
    </xf>
    <xf numFmtId="0" fontId="3" fillId="36" borderId="19" xfId="67" applyFont="1" applyFill="1" applyBorder="1" applyAlignment="1">
      <alignment horizontal="justify" vertical="justify" wrapText="1"/>
      <protection/>
    </xf>
    <xf numFmtId="4" fontId="3" fillId="36" borderId="19" xfId="67" applyNumberFormat="1" applyFont="1" applyFill="1" applyBorder="1" applyAlignment="1">
      <alignment horizontal="justify" vertical="justify" wrapText="1"/>
      <protection/>
    </xf>
    <xf numFmtId="0" fontId="3" fillId="37" borderId="0" xfId="67" applyFont="1" applyFill="1" applyBorder="1" applyAlignment="1">
      <alignment horizontal="justify" vertical="justify" wrapText="1"/>
      <protection/>
    </xf>
    <xf numFmtId="0" fontId="18" fillId="0" borderId="19" xfId="67" applyFont="1" applyFill="1" applyBorder="1" applyAlignment="1">
      <alignment horizontal="justify" vertical="justify" wrapText="1"/>
      <protection/>
    </xf>
    <xf numFmtId="0" fontId="56" fillId="0" borderId="0" xfId="0" applyFont="1" applyFill="1" applyBorder="1" applyAlignment="1">
      <alignment/>
    </xf>
    <xf numFmtId="4" fontId="18" fillId="36" borderId="19" xfId="68" applyNumberFormat="1" applyFont="1" applyFill="1" applyBorder="1" applyAlignment="1">
      <alignment horizontal="right"/>
      <protection/>
    </xf>
    <xf numFmtId="4" fontId="18" fillId="36" borderId="19" xfId="0" applyNumberFormat="1" applyFont="1" applyFill="1" applyBorder="1" applyAlignment="1">
      <alignment horizontal="right"/>
    </xf>
    <xf numFmtId="0" fontId="18" fillId="0" borderId="0" xfId="67" applyFont="1" applyFill="1" applyBorder="1" applyAlignment="1">
      <alignment horizontal="center" vertical="center"/>
      <protection/>
    </xf>
    <xf numFmtId="0" fontId="18" fillId="0" borderId="0" xfId="67" applyFont="1" applyFill="1" applyBorder="1" applyAlignment="1">
      <alignment horizontal="center" vertical="center" wrapText="1"/>
      <protection/>
    </xf>
    <xf numFmtId="0" fontId="18" fillId="0" borderId="0" xfId="67" applyFont="1" applyFill="1" applyBorder="1" applyAlignment="1">
      <alignment horizontal="justify" vertical="top" wrapText="1"/>
      <protection/>
    </xf>
    <xf numFmtId="4" fontId="18" fillId="0" borderId="0" xfId="67" applyNumberFormat="1" applyFont="1" applyFill="1" applyBorder="1" applyAlignment="1">
      <alignment horizontal="center" vertical="center"/>
      <protection/>
    </xf>
    <xf numFmtId="4" fontId="18" fillId="0" borderId="0" xfId="67" applyNumberFormat="1" applyFont="1" applyFill="1" applyBorder="1" applyAlignment="1">
      <alignment/>
      <protection/>
    </xf>
    <xf numFmtId="4" fontId="18" fillId="0" borderId="0" xfId="67" applyNumberFormat="1" applyFont="1" applyFill="1" applyBorder="1" applyAlignment="1">
      <alignment horizontal="right"/>
      <protection/>
    </xf>
    <xf numFmtId="4" fontId="18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/>
    </xf>
    <xf numFmtId="0" fontId="18" fillId="36" borderId="19" xfId="67" applyFont="1" applyFill="1" applyBorder="1" applyAlignment="1">
      <alignment horizontal="center" vertical="center"/>
      <protection/>
    </xf>
    <xf numFmtId="0" fontId="18" fillId="36" borderId="19" xfId="67" applyFont="1" applyFill="1" applyBorder="1" applyAlignment="1">
      <alignment horizontal="center" vertical="center" wrapText="1"/>
      <protection/>
    </xf>
    <xf numFmtId="0" fontId="18" fillId="36" borderId="19" xfId="67" applyFont="1" applyFill="1" applyBorder="1" applyAlignment="1">
      <alignment horizontal="justify" vertical="top" wrapText="1"/>
      <protection/>
    </xf>
    <xf numFmtId="4" fontId="18" fillId="36" borderId="19" xfId="67" applyNumberFormat="1" applyFont="1" applyFill="1" applyBorder="1" applyAlignment="1">
      <alignment horizontal="center" vertical="center"/>
      <protection/>
    </xf>
    <xf numFmtId="4" fontId="18" fillId="36" borderId="19" xfId="67" applyNumberFormat="1" applyFont="1" applyFill="1" applyBorder="1" applyAlignment="1">
      <alignment/>
      <protection/>
    </xf>
    <xf numFmtId="4" fontId="18" fillId="36" borderId="19" xfId="67" applyNumberFormat="1" applyFont="1" applyFill="1" applyBorder="1" applyAlignment="1">
      <alignment horizontal="right"/>
      <protection/>
    </xf>
    <xf numFmtId="4" fontId="18" fillId="36" borderId="0" xfId="0" applyNumberFormat="1" applyFont="1" applyFill="1" applyBorder="1" applyAlignment="1">
      <alignment horizontal="right" wrapText="1"/>
    </xf>
    <xf numFmtId="0" fontId="18" fillId="36" borderId="0" xfId="0" applyFont="1" applyFill="1" applyBorder="1" applyAlignment="1">
      <alignment/>
    </xf>
    <xf numFmtId="4" fontId="3" fillId="36" borderId="0" xfId="68" applyNumberFormat="1" applyFont="1" applyFill="1" applyBorder="1" applyAlignment="1">
      <alignment horizontal="right"/>
      <protection/>
    </xf>
    <xf numFmtId="4" fontId="3" fillId="3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/>
    </xf>
    <xf numFmtId="0" fontId="3" fillId="0" borderId="17" xfId="67" applyFont="1" applyFill="1" applyBorder="1" applyAlignment="1">
      <alignment horizontal="center" vertical="center"/>
      <protection/>
    </xf>
    <xf numFmtId="0" fontId="3" fillId="0" borderId="17" xfId="67" applyFont="1" applyFill="1" applyBorder="1" applyAlignment="1">
      <alignment horizontal="center" vertical="center" wrapText="1"/>
      <protection/>
    </xf>
    <xf numFmtId="0" fontId="3" fillId="0" borderId="17" xfId="67" applyFont="1" applyFill="1" applyBorder="1" applyAlignment="1">
      <alignment horizontal="justify" vertical="top" wrapText="1"/>
      <protection/>
    </xf>
    <xf numFmtId="4" fontId="3" fillId="0" borderId="17" xfId="67" applyNumberFormat="1" applyFont="1" applyFill="1" applyBorder="1" applyAlignment="1">
      <alignment horizontal="center" vertical="center"/>
      <protection/>
    </xf>
    <xf numFmtId="4" fontId="3" fillId="0" borderId="17" xfId="67" applyNumberFormat="1" applyFont="1" applyFill="1" applyBorder="1" applyAlignment="1">
      <alignment/>
      <protection/>
    </xf>
    <xf numFmtId="4" fontId="3" fillId="0" borderId="17" xfId="67" applyNumberFormat="1" applyFont="1" applyFill="1" applyBorder="1" applyAlignment="1">
      <alignment horizontal="right"/>
      <protection/>
    </xf>
    <xf numFmtId="4" fontId="3" fillId="0" borderId="17" xfId="68" applyNumberFormat="1" applyFont="1" applyFill="1" applyBorder="1" applyAlignment="1">
      <alignment horizontal="right"/>
      <protection/>
    </xf>
    <xf numFmtId="4" fontId="3" fillId="0" borderId="17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 wrapText="1"/>
    </xf>
    <xf numFmtId="0" fontId="3" fillId="0" borderId="17" xfId="0" applyFont="1" applyFill="1" applyBorder="1" applyAlignment="1">
      <alignment/>
    </xf>
    <xf numFmtId="0" fontId="3" fillId="38" borderId="19" xfId="67" applyFont="1" applyFill="1" applyBorder="1" applyAlignment="1">
      <alignment horizontal="center" vertical="center"/>
      <protection/>
    </xf>
    <xf numFmtId="0" fontId="3" fillId="38" borderId="19" xfId="67" applyFont="1" applyFill="1" applyBorder="1" applyAlignment="1">
      <alignment horizontal="center" vertical="center" wrapText="1"/>
      <protection/>
    </xf>
    <xf numFmtId="0" fontId="3" fillId="38" borderId="19" xfId="67" applyFont="1" applyFill="1" applyBorder="1" applyAlignment="1">
      <alignment horizontal="justify" vertical="top" wrapText="1"/>
      <protection/>
    </xf>
    <xf numFmtId="4" fontId="3" fillId="38" borderId="19" xfId="67" applyNumberFormat="1" applyFont="1" applyFill="1" applyBorder="1" applyAlignment="1">
      <alignment horizontal="center" vertical="center"/>
      <protection/>
    </xf>
    <xf numFmtId="4" fontId="3" fillId="38" borderId="19" xfId="67" applyNumberFormat="1" applyFont="1" applyFill="1" applyBorder="1" applyAlignment="1">
      <alignment/>
      <protection/>
    </xf>
    <xf numFmtId="4" fontId="3" fillId="38" borderId="19" xfId="67" applyNumberFormat="1" applyFont="1" applyFill="1" applyBorder="1" applyAlignment="1">
      <alignment horizontal="right"/>
      <protection/>
    </xf>
    <xf numFmtId="4" fontId="3" fillId="38" borderId="19" xfId="68" applyNumberFormat="1" applyFont="1" applyFill="1" applyBorder="1" applyAlignment="1">
      <alignment horizontal="right"/>
      <protection/>
    </xf>
    <xf numFmtId="4" fontId="3" fillId="38" borderId="19" xfId="0" applyNumberFormat="1" applyFont="1" applyFill="1" applyBorder="1" applyAlignment="1">
      <alignment horizontal="right"/>
    </xf>
    <xf numFmtId="4" fontId="3" fillId="38" borderId="0" xfId="0" applyNumberFormat="1" applyFont="1" applyFill="1" applyBorder="1" applyAlignment="1">
      <alignment horizontal="right" wrapText="1"/>
    </xf>
    <xf numFmtId="0" fontId="3" fillId="38" borderId="0" xfId="0" applyFont="1" applyFill="1" applyBorder="1" applyAlignment="1">
      <alignment/>
    </xf>
    <xf numFmtId="0" fontId="18" fillId="38" borderId="25" xfId="67" applyFont="1" applyFill="1" applyBorder="1" applyAlignment="1">
      <alignment horizontal="center" vertical="center"/>
      <protection/>
    </xf>
    <xf numFmtId="0" fontId="18" fillId="38" borderId="25" xfId="67" applyFont="1" applyFill="1" applyBorder="1" applyAlignment="1">
      <alignment horizontal="center" vertical="center" wrapText="1"/>
      <protection/>
    </xf>
    <xf numFmtId="0" fontId="18" fillId="38" borderId="25" xfId="67" applyFont="1" applyFill="1" applyBorder="1" applyAlignment="1">
      <alignment horizontal="justify" vertical="top" wrapText="1"/>
      <protection/>
    </xf>
    <xf numFmtId="4" fontId="18" fillId="38" borderId="25" xfId="67" applyNumberFormat="1" applyFont="1" applyFill="1" applyBorder="1" applyAlignment="1">
      <alignment horizontal="center" vertical="center"/>
      <protection/>
    </xf>
    <xf numFmtId="4" fontId="18" fillId="38" borderId="25" xfId="67" applyNumberFormat="1" applyFont="1" applyFill="1" applyBorder="1" applyAlignment="1">
      <alignment/>
      <protection/>
    </xf>
    <xf numFmtId="4" fontId="18" fillId="38" borderId="25" xfId="67" applyNumberFormat="1" applyFont="1" applyFill="1" applyBorder="1" applyAlignment="1">
      <alignment horizontal="right"/>
      <protection/>
    </xf>
    <xf numFmtId="4" fontId="3" fillId="38" borderId="25" xfId="68" applyNumberFormat="1" applyFont="1" applyFill="1" applyBorder="1" applyAlignment="1">
      <alignment horizontal="right"/>
      <protection/>
    </xf>
    <xf numFmtId="4" fontId="3" fillId="38" borderId="25" xfId="0" applyNumberFormat="1" applyFont="1" applyFill="1" applyBorder="1" applyAlignment="1">
      <alignment horizontal="right"/>
    </xf>
    <xf numFmtId="4" fontId="18" fillId="38" borderId="0" xfId="0" applyNumberFormat="1" applyFont="1" applyFill="1" applyBorder="1" applyAlignment="1">
      <alignment horizontal="right" wrapText="1"/>
    </xf>
    <xf numFmtId="0" fontId="18" fillId="38" borderId="0" xfId="0" applyFont="1" applyFill="1" applyBorder="1" applyAlignment="1">
      <alignment/>
    </xf>
    <xf numFmtId="0" fontId="18" fillId="38" borderId="19" xfId="67" applyFont="1" applyFill="1" applyBorder="1" applyAlignment="1">
      <alignment horizontal="center" vertical="center"/>
      <protection/>
    </xf>
    <xf numFmtId="0" fontId="18" fillId="38" borderId="19" xfId="67" applyFont="1" applyFill="1" applyBorder="1" applyAlignment="1">
      <alignment horizontal="center" vertical="center" wrapText="1"/>
      <protection/>
    </xf>
    <xf numFmtId="0" fontId="18" fillId="38" borderId="19" xfId="67" applyFont="1" applyFill="1" applyBorder="1" applyAlignment="1">
      <alignment horizontal="justify" vertical="top" wrapText="1"/>
      <protection/>
    </xf>
    <xf numFmtId="4" fontId="18" fillId="38" borderId="19" xfId="67" applyNumberFormat="1" applyFont="1" applyFill="1" applyBorder="1" applyAlignment="1">
      <alignment horizontal="center" vertical="center"/>
      <protection/>
    </xf>
    <xf numFmtId="4" fontId="18" fillId="38" borderId="19" xfId="67" applyNumberFormat="1" applyFont="1" applyFill="1" applyBorder="1" applyAlignment="1">
      <alignment/>
      <protection/>
    </xf>
    <xf numFmtId="4" fontId="18" fillId="38" borderId="19" xfId="67" applyNumberFormat="1" applyFont="1" applyFill="1" applyBorder="1" applyAlignment="1">
      <alignment horizontal="right"/>
      <protection/>
    </xf>
    <xf numFmtId="0" fontId="3" fillId="38" borderId="19" xfId="67" applyFont="1" applyFill="1" applyBorder="1" applyAlignment="1">
      <alignment horizontal="justify" vertical="justify" wrapText="1"/>
      <protection/>
    </xf>
    <xf numFmtId="4" fontId="3" fillId="38" borderId="19" xfId="67" applyNumberFormat="1" applyFont="1" applyFill="1" applyBorder="1" applyAlignment="1">
      <alignment horizontal="justify" vertical="justify" wrapText="1"/>
      <protection/>
    </xf>
    <xf numFmtId="49" fontId="56" fillId="33" borderId="23" xfId="65" applyNumberFormat="1" applyFont="1" applyFill="1" applyBorder="1" applyAlignment="1">
      <alignment horizontal="center" vertical="center" wrapText="1"/>
      <protection/>
    </xf>
    <xf numFmtId="0" fontId="57" fillId="33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/>
    </xf>
    <xf numFmtId="4" fontId="19" fillId="0" borderId="19" xfId="0" applyNumberFormat="1" applyFont="1" applyBorder="1" applyAlignment="1">
      <alignment horizontal="center" vertical="center"/>
    </xf>
    <xf numFmtId="4" fontId="57" fillId="33" borderId="14" xfId="66" applyNumberFormat="1" applyFont="1" applyFill="1" applyBorder="1" applyAlignment="1">
      <alignment horizontal="left" vertical="center"/>
      <protection/>
    </xf>
    <xf numFmtId="4" fontId="57" fillId="33" borderId="0" xfId="66" applyNumberFormat="1" applyFont="1" applyFill="1" applyBorder="1" applyAlignment="1">
      <alignment horizontal="left" vertical="center"/>
      <protection/>
    </xf>
    <xf numFmtId="4" fontId="57" fillId="33" borderId="15" xfId="66" applyNumberFormat="1" applyFont="1" applyFill="1" applyBorder="1" applyAlignment="1">
      <alignment horizontal="left" vertical="center"/>
      <protection/>
    </xf>
    <xf numFmtId="0" fontId="5" fillId="33" borderId="14" xfId="0" applyFont="1" applyFill="1" applyBorder="1" applyAlignment="1">
      <alignment horizontal="left" vertical="center" wrapText="1" readingOrder="1"/>
    </xf>
    <xf numFmtId="0" fontId="5" fillId="33" borderId="0" xfId="0" applyFont="1" applyFill="1" applyBorder="1" applyAlignment="1">
      <alignment horizontal="left" vertical="center" wrapText="1" readingOrder="1"/>
    </xf>
    <xf numFmtId="0" fontId="5" fillId="33" borderId="15" xfId="0" applyFont="1" applyFill="1" applyBorder="1" applyAlignment="1">
      <alignment horizontal="left" vertical="center" wrapText="1" readingOrder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4" fontId="57" fillId="33" borderId="14" xfId="59" applyNumberFormat="1" applyFont="1" applyFill="1" applyBorder="1" applyAlignment="1">
      <alignment horizontal="left" vertical="center"/>
      <protection/>
    </xf>
    <xf numFmtId="4" fontId="57" fillId="33" borderId="0" xfId="59" applyNumberFormat="1" applyFont="1" applyFill="1" applyBorder="1" applyAlignment="1">
      <alignment horizontal="left" vertical="center"/>
      <protection/>
    </xf>
    <xf numFmtId="4" fontId="57" fillId="33" borderId="15" xfId="59" applyNumberFormat="1" applyFont="1" applyFill="1" applyBorder="1" applyAlignment="1">
      <alignment horizontal="left" vertical="center"/>
      <protection/>
    </xf>
    <xf numFmtId="0" fontId="5" fillId="33" borderId="16" xfId="66" applyFont="1" applyFill="1" applyBorder="1" applyAlignment="1">
      <alignment horizontal="left"/>
      <protection/>
    </xf>
    <xf numFmtId="0" fontId="5" fillId="33" borderId="17" xfId="66" applyFont="1" applyFill="1" applyBorder="1" applyAlignment="1">
      <alignment horizontal="left"/>
      <protection/>
    </xf>
    <xf numFmtId="0" fontId="5" fillId="33" borderId="18" xfId="66" applyFont="1" applyFill="1" applyBorder="1" applyAlignment="1">
      <alignment horizontal="left"/>
      <protection/>
    </xf>
    <xf numFmtId="44" fontId="9" fillId="0" borderId="11" xfId="59" applyNumberFormat="1" applyFont="1" applyBorder="1" applyAlignment="1">
      <alignment horizontal="center" vertical="center" wrapText="1" readingOrder="1"/>
      <protection/>
    </xf>
    <xf numFmtId="44" fontId="9" fillId="0" borderId="12" xfId="59" applyNumberFormat="1" applyFont="1" applyBorder="1" applyAlignment="1">
      <alignment horizontal="center" vertical="center" wrapText="1" readingOrder="1"/>
      <protection/>
    </xf>
    <xf numFmtId="44" fontId="9" fillId="0" borderId="14" xfId="59" applyNumberFormat="1" applyFont="1" applyBorder="1" applyAlignment="1">
      <alignment horizontal="center" vertical="center" wrapText="1" readingOrder="1"/>
      <protection/>
    </xf>
    <xf numFmtId="44" fontId="9" fillId="0" borderId="0" xfId="59" applyNumberFormat="1" applyFont="1" applyBorder="1" applyAlignment="1">
      <alignment horizontal="center" vertical="center" wrapText="1" readingOrder="1"/>
      <protection/>
    </xf>
    <xf numFmtId="4" fontId="8" fillId="0" borderId="14" xfId="59" applyNumberFormat="1" applyFont="1" applyFill="1" applyBorder="1" applyAlignment="1">
      <alignment horizontal="center" vertical="center" wrapText="1" readingOrder="1"/>
      <protection/>
    </xf>
    <xf numFmtId="4" fontId="8" fillId="0" borderId="0" xfId="59" applyNumberFormat="1" applyFont="1" applyFill="1" applyBorder="1" applyAlignment="1">
      <alignment horizontal="center" vertical="center" wrapText="1" readingOrder="1"/>
      <protection/>
    </xf>
    <xf numFmtId="0" fontId="8" fillId="0" borderId="14" xfId="66" applyFont="1" applyFill="1" applyBorder="1" applyAlignment="1">
      <alignment horizontal="center"/>
      <protection/>
    </xf>
    <xf numFmtId="0" fontId="8" fillId="0" borderId="0" xfId="66" applyFont="1" applyFill="1" applyBorder="1" applyAlignment="1">
      <alignment horizontal="center"/>
      <protection/>
    </xf>
    <xf numFmtId="39" fontId="9" fillId="0" borderId="23" xfId="62" applyNumberFormat="1" applyFont="1" applyBorder="1" applyAlignment="1">
      <alignment horizontal="center"/>
      <protection/>
    </xf>
    <xf numFmtId="39" fontId="9" fillId="0" borderId="22" xfId="62" applyNumberFormat="1" applyFont="1" applyBorder="1" applyAlignment="1">
      <alignment horizontal="center"/>
      <protection/>
    </xf>
    <xf numFmtId="1" fontId="9" fillId="0" borderId="23" xfId="62" applyNumberFormat="1" applyFont="1" applyBorder="1" applyAlignment="1">
      <alignment horizontal="left" vertical="top"/>
      <protection/>
    </xf>
    <xf numFmtId="1" fontId="9" fillId="0" borderId="22" xfId="62" applyNumberFormat="1" applyFont="1" applyBorder="1" applyAlignment="1">
      <alignment horizontal="left" vertical="top"/>
      <protection/>
    </xf>
    <xf numFmtId="10" fontId="9" fillId="0" borderId="23" xfId="71" applyNumberFormat="1" applyFont="1" applyBorder="1" applyAlignment="1">
      <alignment horizontal="center"/>
    </xf>
    <xf numFmtId="10" fontId="9" fillId="0" borderId="22" xfId="71" applyNumberFormat="1" applyFont="1" applyBorder="1" applyAlignment="1">
      <alignment horizontal="center"/>
    </xf>
    <xf numFmtId="4" fontId="9" fillId="0" borderId="23" xfId="64" applyNumberFormat="1" applyFont="1" applyBorder="1" applyAlignment="1">
      <alignment horizontal="center"/>
      <protection/>
    </xf>
    <xf numFmtId="4" fontId="9" fillId="0" borderId="22" xfId="64" applyNumberFormat="1" applyFont="1" applyBorder="1" applyAlignment="1">
      <alignment horizontal="center"/>
      <protection/>
    </xf>
    <xf numFmtId="0" fontId="9" fillId="0" borderId="23" xfId="66" applyFont="1" applyFill="1" applyBorder="1" applyAlignment="1">
      <alignment horizontal="center" vertical="center" wrapText="1"/>
      <protection/>
    </xf>
    <xf numFmtId="0" fontId="9" fillId="0" borderId="21" xfId="66" applyFont="1" applyFill="1" applyBorder="1" applyAlignment="1">
      <alignment horizontal="center" vertical="center" wrapText="1"/>
      <protection/>
    </xf>
    <xf numFmtId="0" fontId="9" fillId="0" borderId="22" xfId="66" applyFont="1" applyFill="1" applyBorder="1" applyAlignment="1">
      <alignment horizontal="center" vertical="center" wrapText="1"/>
      <protection/>
    </xf>
    <xf numFmtId="4" fontId="8" fillId="0" borderId="14" xfId="66" applyNumberFormat="1" applyFont="1" applyFill="1" applyBorder="1" applyAlignment="1">
      <alignment horizontal="center" vertical="center" wrapText="1"/>
      <protection/>
    </xf>
    <xf numFmtId="4" fontId="8" fillId="0" borderId="0" xfId="66" applyNumberFormat="1" applyFont="1" applyFill="1" applyBorder="1" applyAlignment="1">
      <alignment horizontal="center" vertical="center" wrapText="1"/>
      <protection/>
    </xf>
    <xf numFmtId="4" fontId="8" fillId="0" borderId="16" xfId="66" applyNumberFormat="1" applyFont="1" applyFill="1" applyBorder="1" applyAlignment="1">
      <alignment horizontal="center" vertical="center" wrapText="1"/>
      <protection/>
    </xf>
    <xf numFmtId="4" fontId="8" fillId="0" borderId="17" xfId="66" applyNumberFormat="1" applyFont="1" applyFill="1" applyBorder="1" applyAlignment="1">
      <alignment horizontal="center" vertical="center" wrapText="1"/>
      <protection/>
    </xf>
    <xf numFmtId="0" fontId="9" fillId="0" borderId="23" xfId="62" applyFont="1" applyBorder="1" applyAlignment="1">
      <alignment horizontal="left" vertical="top"/>
      <protection/>
    </xf>
    <xf numFmtId="0" fontId="9" fillId="0" borderId="22" xfId="62" applyFont="1" applyBorder="1" applyAlignment="1">
      <alignment horizontal="left" vertical="top"/>
      <protection/>
    </xf>
    <xf numFmtId="0" fontId="10" fillId="0" borderId="23" xfId="62" applyFont="1" applyBorder="1" applyAlignment="1">
      <alignment horizontal="center"/>
      <protection/>
    </xf>
    <xf numFmtId="0" fontId="10" fillId="0" borderId="22" xfId="62" applyFont="1" applyBorder="1" applyAlignment="1">
      <alignment horizontal="center"/>
      <protection/>
    </xf>
    <xf numFmtId="0" fontId="9" fillId="0" borderId="19" xfId="63" applyFont="1" applyFill="1" applyBorder="1" applyAlignment="1">
      <alignment horizontal="center" vertical="top"/>
      <protection/>
    </xf>
    <xf numFmtId="0" fontId="10" fillId="0" borderId="20" xfId="62" applyFont="1" applyBorder="1" applyAlignment="1">
      <alignment horizontal="center" wrapText="1"/>
      <protection/>
    </xf>
    <xf numFmtId="0" fontId="10" fillId="0" borderId="24" xfId="62" applyFont="1" applyBorder="1" applyAlignment="1">
      <alignment horizontal="center" wrapText="1"/>
      <protection/>
    </xf>
    <xf numFmtId="0" fontId="10" fillId="0" borderId="25" xfId="62" applyFont="1" applyBorder="1" applyAlignment="1">
      <alignment horizontal="center" wrapText="1"/>
      <protection/>
    </xf>
    <xf numFmtId="0" fontId="10" fillId="0" borderId="21" xfId="62" applyFont="1" applyBorder="1" applyAlignment="1">
      <alignment horizontal="center"/>
      <protection/>
    </xf>
    <xf numFmtId="0" fontId="3" fillId="0" borderId="19" xfId="67" applyFont="1" applyFill="1" applyBorder="1" applyAlignment="1">
      <alignment horizontal="center" vertical="center"/>
      <protection/>
    </xf>
    <xf numFmtId="0" fontId="3" fillId="0" borderId="19" xfId="67" applyFont="1" applyFill="1" applyBorder="1" applyAlignment="1">
      <alignment horizontal="center" vertical="center" wrapText="1"/>
      <protection/>
    </xf>
    <xf numFmtId="0" fontId="3" fillId="0" borderId="19" xfId="67" applyFont="1" applyFill="1" applyBorder="1" applyAlignment="1">
      <alignment horizontal="justify" vertical="top" wrapText="1"/>
      <protection/>
    </xf>
    <xf numFmtId="4" fontId="3" fillId="0" borderId="19" xfId="67" applyNumberFormat="1" applyFont="1" applyFill="1" applyBorder="1" applyAlignment="1">
      <alignment horizontal="center" vertical="center"/>
      <protection/>
    </xf>
    <xf numFmtId="4" fontId="3" fillId="0" borderId="19" xfId="67" applyNumberFormat="1" applyFont="1" applyFill="1" applyBorder="1" applyAlignment="1">
      <alignment/>
      <protection/>
    </xf>
    <xf numFmtId="4" fontId="3" fillId="0" borderId="19" xfId="67" applyNumberFormat="1" applyFont="1" applyFill="1" applyBorder="1" applyAlignment="1">
      <alignment horizontal="right"/>
      <protection/>
    </xf>
    <xf numFmtId="4" fontId="3" fillId="0" borderId="19" xfId="68" applyNumberFormat="1" applyFont="1" applyFill="1" applyBorder="1" applyAlignment="1">
      <alignment horizontal="right"/>
      <protection/>
    </xf>
    <xf numFmtId="4" fontId="3" fillId="0" borderId="19" xfId="0" applyNumberFormat="1" applyFont="1" applyFill="1" applyBorder="1" applyAlignment="1">
      <alignment horizontal="right"/>
    </xf>
    <xf numFmtId="0" fontId="18" fillId="0" borderId="19" xfId="67" applyFont="1" applyFill="1" applyBorder="1" applyAlignment="1">
      <alignment horizontal="center" vertical="center"/>
      <protection/>
    </xf>
    <xf numFmtId="0" fontId="18" fillId="0" borderId="19" xfId="67" applyFont="1" applyFill="1" applyBorder="1" applyAlignment="1">
      <alignment horizontal="center" vertical="center" wrapText="1"/>
      <protection/>
    </xf>
    <xf numFmtId="0" fontId="18" fillId="0" borderId="19" xfId="67" applyFont="1" applyFill="1" applyBorder="1" applyAlignment="1">
      <alignment horizontal="justify" vertical="top" wrapText="1"/>
      <protection/>
    </xf>
    <xf numFmtId="4" fontId="18" fillId="0" borderId="19" xfId="67" applyNumberFormat="1" applyFont="1" applyFill="1" applyBorder="1" applyAlignment="1">
      <alignment horizontal="center" vertical="center"/>
      <protection/>
    </xf>
    <xf numFmtId="4" fontId="18" fillId="0" borderId="19" xfId="67" applyNumberFormat="1" applyFont="1" applyFill="1" applyBorder="1" applyAlignment="1">
      <alignment/>
      <protection/>
    </xf>
    <xf numFmtId="4" fontId="18" fillId="0" borderId="19" xfId="67" applyNumberFormat="1" applyFont="1" applyFill="1" applyBorder="1" applyAlignment="1">
      <alignment horizontal="right"/>
      <protection/>
    </xf>
    <xf numFmtId="4" fontId="18" fillId="0" borderId="19" xfId="68" applyNumberFormat="1" applyFont="1" applyFill="1" applyBorder="1" applyAlignment="1">
      <alignment horizontal="right"/>
      <protection/>
    </xf>
    <xf numFmtId="4" fontId="18" fillId="0" borderId="19" xfId="0" applyNumberFormat="1" applyFont="1" applyFill="1" applyBorder="1" applyAlignment="1">
      <alignment horizontal="right"/>
    </xf>
    <xf numFmtId="4" fontId="3" fillId="0" borderId="19" xfId="67" applyNumberFormat="1" applyFont="1" applyFill="1" applyBorder="1" applyAlignment="1">
      <alignment horizontal="justify" vertical="justify" wrapText="1"/>
      <protection/>
    </xf>
  </cellXfs>
  <cellStyles count="7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Euro 2 2" xfId="46"/>
    <cellStyle name="Hyperlink" xfId="47"/>
    <cellStyle name="Followed Hyperlink" xfId="48"/>
    <cellStyle name="Incorreto" xfId="49"/>
    <cellStyle name="Currency" xfId="50"/>
    <cellStyle name="Currency [0]" xfId="51"/>
    <cellStyle name="Moeda 2" xfId="52"/>
    <cellStyle name="Moeda 3" xfId="53"/>
    <cellStyle name="Neutra" xfId="54"/>
    <cellStyle name="Normal 10" xfId="55"/>
    <cellStyle name="Normal 2" xfId="56"/>
    <cellStyle name="Normal 2 2" xfId="57"/>
    <cellStyle name="Normal 2 2 2" xfId="58"/>
    <cellStyle name="Normal 2 3" xfId="59"/>
    <cellStyle name="Normal 3" xfId="60"/>
    <cellStyle name="Normal 4" xfId="61"/>
    <cellStyle name="Normal_CRONOGRAMA" xfId="62"/>
    <cellStyle name="Normal_CRUZEI~1" xfId="63"/>
    <cellStyle name="Normal_Orçamento nº057-2003- Esc. Munic. AMPARO revisão" xfId="64"/>
    <cellStyle name="Normal_P_Getulio Vargas" xfId="65"/>
    <cellStyle name="Normal_P_Getulio Vargas 2" xfId="66"/>
    <cellStyle name="Normal_RUAS 3,4,7 e 8 R-1" xfId="67"/>
    <cellStyle name="Normal_RUAS 3,4,7 e 8 R-1 2 2" xfId="68"/>
    <cellStyle name="Nota" xfId="69"/>
    <cellStyle name="Percent" xfId="70"/>
    <cellStyle name="Porcentagem 2" xfId="71"/>
    <cellStyle name="Porcentagem 3" xfId="72"/>
    <cellStyle name="Saída" xfId="73"/>
    <cellStyle name="Comma [0]" xfId="74"/>
    <cellStyle name="Texto de Aviso" xfId="75"/>
    <cellStyle name="Texto Explicativo" xfId="76"/>
    <cellStyle name="Título" xfId="77"/>
    <cellStyle name="Título 1" xfId="78"/>
    <cellStyle name="Título 1 1" xfId="79"/>
    <cellStyle name="Título 1 1 1" xfId="80"/>
    <cellStyle name="Título 1 1_PLAN   (2)" xfId="81"/>
    <cellStyle name="Título 2" xfId="82"/>
    <cellStyle name="Título 3" xfId="83"/>
    <cellStyle name="Título 4" xfId="84"/>
    <cellStyle name="Total" xfId="85"/>
    <cellStyle name="Comma" xfId="86"/>
    <cellStyle name="Vírgula 2" xfId="87"/>
    <cellStyle name="Vírgula 3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895350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381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142875</xdr:rowOff>
    </xdr:from>
    <xdr:to>
      <xdr:col>1</xdr:col>
      <xdr:colOff>895350</xdr:colOff>
      <xdr:row>6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381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895350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381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142875</xdr:rowOff>
    </xdr:from>
    <xdr:to>
      <xdr:col>1</xdr:col>
      <xdr:colOff>895350</xdr:colOff>
      <xdr:row>6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381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171450</xdr:rowOff>
    </xdr:from>
    <xdr:to>
      <xdr:col>8</xdr:col>
      <xdr:colOff>2114550</xdr:colOff>
      <xdr:row>7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98050" y="1181100"/>
          <a:ext cx="20764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895350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381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142875</xdr:rowOff>
    </xdr:from>
    <xdr:to>
      <xdr:col>1</xdr:col>
      <xdr:colOff>895350</xdr:colOff>
      <xdr:row>6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381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8"/>
  <sheetViews>
    <sheetView view="pageBreakPreview" zoomScale="70" zoomScaleSheetLayoutView="70" zoomScalePageLayoutView="0" workbookViewId="0" topLeftCell="A1">
      <selection activeCell="A10" sqref="A10:A11"/>
    </sheetView>
  </sheetViews>
  <sheetFormatPr defaultColWidth="9.140625" defaultRowHeight="15"/>
  <cols>
    <col min="2" max="2" width="23.421875" style="0" customWidth="1"/>
    <col min="3" max="3" width="104.00390625" style="1" customWidth="1"/>
    <col min="4" max="4" width="11.140625" style="0" customWidth="1"/>
    <col min="5" max="5" width="14.0039062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9" width="17.140625" style="0" bestFit="1" customWidth="1"/>
    <col min="10" max="10" width="13.421875" style="0" bestFit="1" customWidth="1"/>
    <col min="11" max="11" width="14.421875" style="0" bestFit="1" customWidth="1"/>
  </cols>
  <sheetData>
    <row r="1" spans="1:7" ht="15.75">
      <c r="A1" s="2"/>
      <c r="B1" s="3"/>
      <c r="C1" s="4" t="s">
        <v>22</v>
      </c>
      <c r="D1" s="5"/>
      <c r="E1" s="6"/>
      <c r="F1" s="7"/>
      <c r="G1" s="8"/>
    </row>
    <row r="2" spans="1:7" ht="15.75">
      <c r="A2" s="9"/>
      <c r="B2" s="10"/>
      <c r="C2" s="11" t="s">
        <v>23</v>
      </c>
      <c r="D2" s="12"/>
      <c r="E2" s="13"/>
      <c r="F2" s="14"/>
      <c r="G2" s="15"/>
    </row>
    <row r="3" spans="1:7" ht="15.75">
      <c r="A3" s="9"/>
      <c r="B3" s="10"/>
      <c r="C3" s="11" t="s">
        <v>24</v>
      </c>
      <c r="D3" s="165" t="s">
        <v>704</v>
      </c>
      <c r="E3" s="166"/>
      <c r="F3" s="166"/>
      <c r="G3" s="167"/>
    </row>
    <row r="4" spans="1:7" ht="15.75" customHeight="1">
      <c r="A4" s="9"/>
      <c r="B4" s="10"/>
      <c r="C4" s="16" t="s">
        <v>703</v>
      </c>
      <c r="D4" s="168" t="s">
        <v>700</v>
      </c>
      <c r="E4" s="169"/>
      <c r="F4" s="169"/>
      <c r="G4" s="170"/>
    </row>
    <row r="5" spans="1:7" ht="15.75">
      <c r="A5" s="9"/>
      <c r="B5" s="10"/>
      <c r="C5" s="45" t="s">
        <v>283</v>
      </c>
      <c r="D5" s="171" t="s">
        <v>86</v>
      </c>
      <c r="E5" s="172"/>
      <c r="F5" s="172"/>
      <c r="G5" s="173"/>
    </row>
    <row r="6" spans="1:7" ht="15.75">
      <c r="A6" s="9"/>
      <c r="B6" s="10"/>
      <c r="C6" s="17" t="s">
        <v>702</v>
      </c>
      <c r="D6" s="174" t="s">
        <v>87</v>
      </c>
      <c r="E6" s="175"/>
      <c r="F6" s="175"/>
      <c r="G6" s="176"/>
    </row>
    <row r="7" spans="1:7" ht="15.75">
      <c r="A7" s="9"/>
      <c r="B7" s="10"/>
      <c r="C7" s="46"/>
      <c r="D7" s="174" t="s">
        <v>701</v>
      </c>
      <c r="E7" s="175"/>
      <c r="F7" s="175"/>
      <c r="G7" s="176"/>
    </row>
    <row r="8" spans="1:7" ht="15.75">
      <c r="A8" s="18"/>
      <c r="B8" s="19"/>
      <c r="C8" s="20"/>
      <c r="D8" s="177" t="s">
        <v>51</v>
      </c>
      <c r="E8" s="178"/>
      <c r="F8" s="178"/>
      <c r="G8" s="179"/>
    </row>
    <row r="9" spans="1:7" ht="15">
      <c r="A9" s="159" t="s">
        <v>25</v>
      </c>
      <c r="B9" s="160"/>
      <c r="C9" s="160"/>
      <c r="D9" s="160"/>
      <c r="E9" s="160"/>
      <c r="F9" s="160"/>
      <c r="G9" s="160"/>
    </row>
    <row r="10" spans="1:9" s="48" customFormat="1" ht="12.75" customHeight="1">
      <c r="A10" s="161" t="s">
        <v>26</v>
      </c>
      <c r="B10" s="162" t="s">
        <v>52</v>
      </c>
      <c r="C10" s="162" t="s">
        <v>27</v>
      </c>
      <c r="D10" s="161" t="s">
        <v>12</v>
      </c>
      <c r="E10" s="163" t="s">
        <v>28</v>
      </c>
      <c r="F10" s="164" t="s">
        <v>29</v>
      </c>
      <c r="G10" s="164"/>
      <c r="H10" s="164"/>
      <c r="I10" s="164"/>
    </row>
    <row r="11" spans="1:9" s="48" customFormat="1" ht="12.75" customHeight="1">
      <c r="A11" s="161"/>
      <c r="B11" s="162"/>
      <c r="C11" s="162"/>
      <c r="D11" s="161"/>
      <c r="E11" s="163"/>
      <c r="F11" s="49" t="s">
        <v>73</v>
      </c>
      <c r="G11" s="49" t="s">
        <v>74</v>
      </c>
      <c r="H11" s="49" t="s">
        <v>75</v>
      </c>
      <c r="I11" s="47" t="s">
        <v>76</v>
      </c>
    </row>
    <row r="12" spans="1:9" s="43" customFormat="1" ht="15.75">
      <c r="A12" s="43" t="s">
        <v>14</v>
      </c>
      <c r="B12" s="51"/>
      <c r="C12" s="52" t="s">
        <v>15</v>
      </c>
      <c r="D12" s="52"/>
      <c r="E12" s="52"/>
      <c r="F12" s="52"/>
      <c r="G12" s="52"/>
      <c r="H12" s="52"/>
      <c r="I12" s="50"/>
    </row>
    <row r="13" spans="1:10" s="93" customFormat="1" ht="42.75">
      <c r="A13" s="84" t="s">
        <v>8</v>
      </c>
      <c r="B13" s="85" t="s">
        <v>69</v>
      </c>
      <c r="C13" s="86" t="s">
        <v>70</v>
      </c>
      <c r="D13" s="87" t="s">
        <v>0</v>
      </c>
      <c r="E13" s="88">
        <v>6</v>
      </c>
      <c r="F13" s="89">
        <f>TRUNC(G19,2)</f>
        <v>181.99</v>
      </c>
      <c r="G13" s="90">
        <f>TRUNC(F13*1.2882,2)</f>
        <v>234.43</v>
      </c>
      <c r="H13" s="90">
        <f>TRUNC(F13*E13,2)</f>
        <v>1091.94</v>
      </c>
      <c r="I13" s="91">
        <f>TRUNC(E13*G13,2)</f>
        <v>1406.58</v>
      </c>
      <c r="J13" s="92"/>
    </row>
    <row r="14" spans="1:10" s="65" customFormat="1" ht="28.5">
      <c r="A14" s="59"/>
      <c r="B14" s="60" t="s">
        <v>71</v>
      </c>
      <c r="C14" s="80" t="s">
        <v>72</v>
      </c>
      <c r="D14" s="61" t="s">
        <v>0</v>
      </c>
      <c r="E14" s="81">
        <v>1</v>
      </c>
      <c r="F14" s="62">
        <f>TRUNC(77.5269,2)</f>
        <v>77.52</v>
      </c>
      <c r="G14" s="63">
        <f>TRUNC(E14*F14,2)</f>
        <v>77.52</v>
      </c>
      <c r="H14" s="63"/>
      <c r="I14" s="64"/>
      <c r="J14" s="66"/>
    </row>
    <row r="15" spans="1:10" s="65" customFormat="1" ht="28.5">
      <c r="A15" s="59"/>
      <c r="B15" s="60" t="s">
        <v>4</v>
      </c>
      <c r="C15" s="80" t="s">
        <v>55</v>
      </c>
      <c r="D15" s="61" t="s">
        <v>5</v>
      </c>
      <c r="E15" s="81">
        <v>0.3</v>
      </c>
      <c r="F15" s="62">
        <f>TRUNC(10.3,2)</f>
        <v>10.3</v>
      </c>
      <c r="G15" s="63">
        <f>TRUNC(E15*F15,2)</f>
        <v>3.09</v>
      </c>
      <c r="H15" s="63"/>
      <c r="I15" s="64"/>
      <c r="J15" s="66"/>
    </row>
    <row r="16" spans="1:10" s="65" customFormat="1" ht="14.25">
      <c r="A16" s="59"/>
      <c r="B16" s="60" t="s">
        <v>2</v>
      </c>
      <c r="C16" s="80" t="s">
        <v>126</v>
      </c>
      <c r="D16" s="61" t="s">
        <v>3</v>
      </c>
      <c r="E16" s="81">
        <v>9.2</v>
      </c>
      <c r="F16" s="62">
        <f>TRUNC(3.45,2)</f>
        <v>3.45</v>
      </c>
      <c r="G16" s="63">
        <f>TRUNC(E16*F16,2)</f>
        <v>31.74</v>
      </c>
      <c r="H16" s="63"/>
      <c r="I16" s="64"/>
      <c r="J16" s="66"/>
    </row>
    <row r="17" spans="1:10" s="65" customFormat="1" ht="28.5">
      <c r="A17" s="59"/>
      <c r="B17" s="60" t="s">
        <v>56</v>
      </c>
      <c r="C17" s="80" t="s">
        <v>57</v>
      </c>
      <c r="D17" s="61" t="s">
        <v>6</v>
      </c>
      <c r="E17" s="81">
        <v>2.06</v>
      </c>
      <c r="F17" s="62">
        <f>TRUNC(13.6,2)</f>
        <v>13.6</v>
      </c>
      <c r="G17" s="63">
        <f>TRUNC(E17*F17,2)</f>
        <v>28.01</v>
      </c>
      <c r="H17" s="63"/>
      <c r="I17" s="64"/>
      <c r="J17" s="66"/>
    </row>
    <row r="18" spans="1:10" s="65" customFormat="1" ht="28.5">
      <c r="A18" s="59"/>
      <c r="B18" s="60" t="s">
        <v>60</v>
      </c>
      <c r="C18" s="80" t="s">
        <v>61</v>
      </c>
      <c r="D18" s="61" t="s">
        <v>6</v>
      </c>
      <c r="E18" s="81">
        <v>2.06</v>
      </c>
      <c r="F18" s="62">
        <f>TRUNC(20.21,2)</f>
        <v>20.21</v>
      </c>
      <c r="G18" s="63">
        <f>TRUNC(E18*F18,2)</f>
        <v>41.63</v>
      </c>
      <c r="H18" s="63"/>
      <c r="I18" s="64"/>
      <c r="J18" s="66"/>
    </row>
    <row r="19" spans="1:10" s="65" customFormat="1" ht="14.25">
      <c r="A19" s="59"/>
      <c r="B19" s="60"/>
      <c r="C19" s="80"/>
      <c r="D19" s="61"/>
      <c r="E19" s="81" t="s">
        <v>7</v>
      </c>
      <c r="F19" s="62"/>
      <c r="G19" s="63">
        <f>TRUNC(SUM(G14:G18),2)</f>
        <v>181.99</v>
      </c>
      <c r="H19" s="63"/>
      <c r="I19" s="64"/>
      <c r="J19" s="66"/>
    </row>
    <row r="20" spans="1:10" s="93" customFormat="1" ht="42.75">
      <c r="A20" s="84" t="s">
        <v>9</v>
      </c>
      <c r="B20" s="85" t="s">
        <v>545</v>
      </c>
      <c r="C20" s="86" t="s">
        <v>546</v>
      </c>
      <c r="D20" s="87" t="s">
        <v>0</v>
      </c>
      <c r="E20" s="88">
        <v>73.03</v>
      </c>
      <c r="F20" s="89">
        <f>TRUNC(G22,2)</f>
        <v>16.8</v>
      </c>
      <c r="G20" s="90">
        <f>TRUNC(F20*1.2882,2)</f>
        <v>21.64</v>
      </c>
      <c r="H20" s="90">
        <f>TRUNC(F20*E20,2)</f>
        <v>1226.9</v>
      </c>
      <c r="I20" s="91">
        <f>TRUNC(E20*G20,2)</f>
        <v>1580.36</v>
      </c>
      <c r="J20" s="92"/>
    </row>
    <row r="21" spans="1:10" s="65" customFormat="1" ht="28.5">
      <c r="A21" s="59"/>
      <c r="B21" s="60" t="s">
        <v>56</v>
      </c>
      <c r="C21" s="80" t="s">
        <v>57</v>
      </c>
      <c r="D21" s="61" t="s">
        <v>6</v>
      </c>
      <c r="E21" s="81">
        <v>1.236</v>
      </c>
      <c r="F21" s="62">
        <f>TRUNC(13.6,2)</f>
        <v>13.6</v>
      </c>
      <c r="G21" s="63">
        <f>TRUNC(E21*F21,2)</f>
        <v>16.8</v>
      </c>
      <c r="H21" s="63"/>
      <c r="I21" s="64"/>
      <c r="J21" s="66"/>
    </row>
    <row r="22" spans="1:10" s="65" customFormat="1" ht="14.25">
      <c r="A22" s="59"/>
      <c r="B22" s="60"/>
      <c r="C22" s="80"/>
      <c r="D22" s="61"/>
      <c r="E22" s="81" t="s">
        <v>7</v>
      </c>
      <c r="F22" s="62"/>
      <c r="G22" s="63">
        <f>TRUNC(SUM(G21:G21),2)</f>
        <v>16.8</v>
      </c>
      <c r="H22" s="63"/>
      <c r="I22" s="64"/>
      <c r="J22" s="66"/>
    </row>
    <row r="23" spans="1:10" s="93" customFormat="1" ht="42.75">
      <c r="A23" s="84" t="s">
        <v>10</v>
      </c>
      <c r="B23" s="85" t="s">
        <v>543</v>
      </c>
      <c r="C23" s="86" t="s">
        <v>544</v>
      </c>
      <c r="D23" s="87" t="s">
        <v>0</v>
      </c>
      <c r="E23" s="88">
        <v>73.03</v>
      </c>
      <c r="F23" s="89">
        <f>TRUNC(G25,2)</f>
        <v>7</v>
      </c>
      <c r="G23" s="90">
        <f>TRUNC(F23*1.2882,2)</f>
        <v>9.01</v>
      </c>
      <c r="H23" s="90">
        <f>TRUNC(F23*E23,2)</f>
        <v>511.21</v>
      </c>
      <c r="I23" s="91">
        <f>TRUNC(E23*G23,2)</f>
        <v>658</v>
      </c>
      <c r="J23" s="92"/>
    </row>
    <row r="24" spans="1:10" s="65" customFormat="1" ht="28.5">
      <c r="A24" s="59"/>
      <c r="B24" s="60" t="s">
        <v>56</v>
      </c>
      <c r="C24" s="80" t="s">
        <v>57</v>
      </c>
      <c r="D24" s="61" t="s">
        <v>6</v>
      </c>
      <c r="E24" s="81">
        <v>0.515</v>
      </c>
      <c r="F24" s="62">
        <f>TRUNC(13.6,2)</f>
        <v>13.6</v>
      </c>
      <c r="G24" s="63">
        <f>TRUNC(E24*F24,2)</f>
        <v>7</v>
      </c>
      <c r="H24" s="63"/>
      <c r="I24" s="64"/>
      <c r="J24" s="66"/>
    </row>
    <row r="25" spans="1:10" s="65" customFormat="1" ht="14.25">
      <c r="A25" s="59"/>
      <c r="B25" s="60"/>
      <c r="C25" s="80"/>
      <c r="D25" s="61"/>
      <c r="E25" s="81" t="s">
        <v>7</v>
      </c>
      <c r="F25" s="62"/>
      <c r="G25" s="63">
        <f>TRUNC(SUM(G24:G24),2)</f>
        <v>7</v>
      </c>
      <c r="H25" s="63"/>
      <c r="I25" s="64"/>
      <c r="J25" s="66"/>
    </row>
    <row r="26" spans="1:10" s="93" customFormat="1" ht="28.5">
      <c r="A26" s="84" t="s">
        <v>11</v>
      </c>
      <c r="B26" s="85" t="s">
        <v>256</v>
      </c>
      <c r="C26" s="86" t="s">
        <v>143</v>
      </c>
      <c r="D26" s="87" t="s">
        <v>1</v>
      </c>
      <c r="E26" s="88">
        <v>4.86</v>
      </c>
      <c r="F26" s="89">
        <f>TRUNC(G29,2)</f>
        <v>71.72</v>
      </c>
      <c r="G26" s="90">
        <f>TRUNC(F26*1.2882,2)</f>
        <v>92.38</v>
      </c>
      <c r="H26" s="90">
        <f>TRUNC(F26*E26,2)</f>
        <v>348.55</v>
      </c>
      <c r="I26" s="91">
        <f>TRUNC(E26*G26,2)</f>
        <v>448.96</v>
      </c>
      <c r="J26" s="92"/>
    </row>
    <row r="27" spans="1:10" s="65" customFormat="1" ht="28.5">
      <c r="A27" s="59"/>
      <c r="B27" s="60" t="s">
        <v>56</v>
      </c>
      <c r="C27" s="80" t="s">
        <v>57</v>
      </c>
      <c r="D27" s="61" t="s">
        <v>6</v>
      </c>
      <c r="E27" s="81">
        <v>4.635</v>
      </c>
      <c r="F27" s="62">
        <f>TRUNC(13.6,2)</f>
        <v>13.6</v>
      </c>
      <c r="G27" s="63">
        <f>TRUNC(E27*F27,2)</f>
        <v>63.03</v>
      </c>
      <c r="H27" s="63"/>
      <c r="I27" s="64"/>
      <c r="J27" s="66"/>
    </row>
    <row r="28" spans="1:10" s="65" customFormat="1" ht="14.25">
      <c r="A28" s="59"/>
      <c r="B28" s="60" t="s">
        <v>65</v>
      </c>
      <c r="C28" s="80" t="s">
        <v>66</v>
      </c>
      <c r="D28" s="61" t="s">
        <v>6</v>
      </c>
      <c r="E28" s="81">
        <v>0.4635</v>
      </c>
      <c r="F28" s="62">
        <f>TRUNC(18.77,2)</f>
        <v>18.77</v>
      </c>
      <c r="G28" s="63">
        <f>TRUNC(E28*F28,2)</f>
        <v>8.69</v>
      </c>
      <c r="H28" s="63"/>
      <c r="I28" s="64"/>
      <c r="J28" s="66"/>
    </row>
    <row r="29" spans="1:10" s="65" customFormat="1" ht="14.25">
      <c r="A29" s="59"/>
      <c r="B29" s="60"/>
      <c r="C29" s="80"/>
      <c r="D29" s="61"/>
      <c r="E29" s="81" t="s">
        <v>7</v>
      </c>
      <c r="F29" s="62"/>
      <c r="G29" s="63">
        <f>TRUNC(SUM(G27:G28),2)</f>
        <v>71.72</v>
      </c>
      <c r="H29" s="63"/>
      <c r="I29" s="64"/>
      <c r="J29" s="66"/>
    </row>
    <row r="30" spans="1:10" s="93" customFormat="1" ht="14.25">
      <c r="A30" s="84" t="s">
        <v>554</v>
      </c>
      <c r="B30" s="85" t="s">
        <v>472</v>
      </c>
      <c r="C30" s="86" t="s">
        <v>144</v>
      </c>
      <c r="D30" s="87" t="s">
        <v>0</v>
      </c>
      <c r="E30" s="88">
        <v>12.93</v>
      </c>
      <c r="F30" s="89">
        <f>TRUNC(G33,2)</f>
        <v>8.51</v>
      </c>
      <c r="G30" s="90">
        <f>TRUNC(F30*1.2882,2)</f>
        <v>10.96</v>
      </c>
      <c r="H30" s="90">
        <f>TRUNC(F30*E30,2)</f>
        <v>110.03</v>
      </c>
      <c r="I30" s="91">
        <f>TRUNC(E30*G30,2)</f>
        <v>141.71</v>
      </c>
      <c r="J30" s="92"/>
    </row>
    <row r="31" spans="1:10" s="65" customFormat="1" ht="14.25">
      <c r="A31" s="59"/>
      <c r="B31" s="60" t="s">
        <v>319</v>
      </c>
      <c r="C31" s="80" t="s">
        <v>78</v>
      </c>
      <c r="D31" s="61" t="s">
        <v>6</v>
      </c>
      <c r="E31" s="81">
        <v>0.2582</v>
      </c>
      <c r="F31" s="62">
        <f>TRUNC(20.11,2)</f>
        <v>20.11</v>
      </c>
      <c r="G31" s="63">
        <f>TRUNC(E31*F31,2)</f>
        <v>5.19</v>
      </c>
      <c r="H31" s="63"/>
      <c r="I31" s="64"/>
      <c r="J31" s="66"/>
    </row>
    <row r="32" spans="1:10" s="65" customFormat="1" ht="14.25">
      <c r="A32" s="59"/>
      <c r="B32" s="60" t="s">
        <v>320</v>
      </c>
      <c r="C32" s="80" t="s">
        <v>105</v>
      </c>
      <c r="D32" s="61" t="s">
        <v>6</v>
      </c>
      <c r="E32" s="81">
        <v>0.1315</v>
      </c>
      <c r="F32" s="62">
        <f>TRUNC(25.27,2)</f>
        <v>25.27</v>
      </c>
      <c r="G32" s="63">
        <f>TRUNC(E32*F32,2)</f>
        <v>3.32</v>
      </c>
      <c r="H32" s="63"/>
      <c r="I32" s="64"/>
      <c r="J32" s="66"/>
    </row>
    <row r="33" spans="1:10" s="65" customFormat="1" ht="14.25">
      <c r="A33" s="59"/>
      <c r="B33" s="60"/>
      <c r="C33" s="80"/>
      <c r="D33" s="61"/>
      <c r="E33" s="81" t="s">
        <v>7</v>
      </c>
      <c r="F33" s="62"/>
      <c r="G33" s="63">
        <f>TRUNC(SUM(G31:G32),2)</f>
        <v>8.51</v>
      </c>
      <c r="H33" s="63"/>
      <c r="I33" s="64"/>
      <c r="J33" s="66"/>
    </row>
    <row r="34" spans="1:10" s="93" customFormat="1" ht="42.75">
      <c r="A34" s="84" t="s">
        <v>121</v>
      </c>
      <c r="B34" s="85" t="s">
        <v>257</v>
      </c>
      <c r="C34" s="86" t="s">
        <v>146</v>
      </c>
      <c r="D34" s="87" t="s">
        <v>0</v>
      </c>
      <c r="E34" s="88">
        <v>36.45</v>
      </c>
      <c r="F34" s="89">
        <f>TRUNC(G37,2)</f>
        <v>13.66</v>
      </c>
      <c r="G34" s="90">
        <f>TRUNC(F34*1.2882,2)</f>
        <v>17.59</v>
      </c>
      <c r="H34" s="90">
        <f>TRUNC(F34*E34,2)</f>
        <v>497.9</v>
      </c>
      <c r="I34" s="91">
        <f>TRUNC(E34*G34,2)</f>
        <v>641.15</v>
      </c>
      <c r="J34" s="92"/>
    </row>
    <row r="35" spans="1:10" s="65" customFormat="1" ht="28.5">
      <c r="A35" s="59"/>
      <c r="B35" s="60" t="s">
        <v>56</v>
      </c>
      <c r="C35" s="80" t="s">
        <v>57</v>
      </c>
      <c r="D35" s="61" t="s">
        <v>6</v>
      </c>
      <c r="E35" s="81">
        <v>0.721</v>
      </c>
      <c r="F35" s="62">
        <f>TRUNC(13.6,2)</f>
        <v>13.6</v>
      </c>
      <c r="G35" s="63">
        <f>TRUNC(E35*F35,2)</f>
        <v>9.8</v>
      </c>
      <c r="H35" s="63"/>
      <c r="I35" s="64"/>
      <c r="J35" s="66"/>
    </row>
    <row r="36" spans="1:10" s="65" customFormat="1" ht="14.25">
      <c r="A36" s="59"/>
      <c r="B36" s="60" t="s">
        <v>65</v>
      </c>
      <c r="C36" s="80" t="s">
        <v>66</v>
      </c>
      <c r="D36" s="61" t="s">
        <v>6</v>
      </c>
      <c r="E36" s="81">
        <v>0.20600000000000002</v>
      </c>
      <c r="F36" s="62">
        <f>TRUNC(18.77,2)</f>
        <v>18.77</v>
      </c>
      <c r="G36" s="63">
        <f>TRUNC(E36*F36,2)</f>
        <v>3.86</v>
      </c>
      <c r="H36" s="63"/>
      <c r="I36" s="64"/>
      <c r="J36" s="66"/>
    </row>
    <row r="37" spans="1:10" s="65" customFormat="1" ht="14.25">
      <c r="A37" s="59"/>
      <c r="B37" s="60"/>
      <c r="C37" s="80"/>
      <c r="D37" s="61"/>
      <c r="E37" s="81" t="s">
        <v>7</v>
      </c>
      <c r="F37" s="62"/>
      <c r="G37" s="63">
        <f>TRUNC(SUM(G35:G36),2)</f>
        <v>13.66</v>
      </c>
      <c r="H37" s="63"/>
      <c r="I37" s="64"/>
      <c r="J37" s="66"/>
    </row>
    <row r="38" spans="1:10" s="93" customFormat="1" ht="28.5">
      <c r="A38" s="84">
        <v>1.7</v>
      </c>
      <c r="B38" s="85" t="s">
        <v>460</v>
      </c>
      <c r="C38" s="86" t="s">
        <v>461</v>
      </c>
      <c r="D38" s="87" t="s">
        <v>0</v>
      </c>
      <c r="E38" s="88">
        <v>32.53</v>
      </c>
      <c r="F38" s="89">
        <f>TRUNC(G40,2)</f>
        <v>21.01</v>
      </c>
      <c r="G38" s="90">
        <f>TRUNC(F38*1.2882,2)</f>
        <v>27.06</v>
      </c>
      <c r="H38" s="90">
        <f>TRUNC(F38*E38,2)</f>
        <v>683.45</v>
      </c>
      <c r="I38" s="91">
        <f>TRUNC(E38*G38,2)</f>
        <v>880.26</v>
      </c>
      <c r="J38" s="92"/>
    </row>
    <row r="39" spans="1:10" s="65" customFormat="1" ht="28.5">
      <c r="A39" s="59"/>
      <c r="B39" s="60" t="s">
        <v>56</v>
      </c>
      <c r="C39" s="80" t="s">
        <v>57</v>
      </c>
      <c r="D39" s="61" t="s">
        <v>6</v>
      </c>
      <c r="E39" s="81">
        <v>1.545</v>
      </c>
      <c r="F39" s="62">
        <f>TRUNC(13.6,2)</f>
        <v>13.6</v>
      </c>
      <c r="G39" s="63">
        <f>TRUNC(E39*F39,2)</f>
        <v>21.01</v>
      </c>
      <c r="H39" s="63"/>
      <c r="I39" s="64"/>
      <c r="J39" s="66"/>
    </row>
    <row r="40" spans="1:10" s="65" customFormat="1" ht="14.25">
      <c r="A40" s="59"/>
      <c r="B40" s="60"/>
      <c r="C40" s="80"/>
      <c r="D40" s="61"/>
      <c r="E40" s="81" t="s">
        <v>7</v>
      </c>
      <c r="F40" s="62"/>
      <c r="G40" s="63">
        <f>TRUNC(SUM(G39:G39),2)</f>
        <v>21.01</v>
      </c>
      <c r="H40" s="63"/>
      <c r="I40" s="64"/>
      <c r="J40" s="66"/>
    </row>
    <row r="41" spans="1:10" s="93" customFormat="1" ht="28.5">
      <c r="A41" s="84" t="s">
        <v>122</v>
      </c>
      <c r="B41" s="85" t="s">
        <v>455</v>
      </c>
      <c r="C41" s="86" t="s">
        <v>456</v>
      </c>
      <c r="D41" s="87" t="s">
        <v>0</v>
      </c>
      <c r="E41" s="88">
        <v>51.51</v>
      </c>
      <c r="F41" s="89">
        <f>TRUNC(G43,2)</f>
        <v>9.8</v>
      </c>
      <c r="G41" s="90">
        <f>TRUNC(F41*1.2882,2)</f>
        <v>12.62</v>
      </c>
      <c r="H41" s="90">
        <f>TRUNC(F41*E41,2)</f>
        <v>504.79</v>
      </c>
      <c r="I41" s="91">
        <f>TRUNC(E41*G41,2)</f>
        <v>650.05</v>
      </c>
      <c r="J41" s="92"/>
    </row>
    <row r="42" spans="1:10" s="65" customFormat="1" ht="28.5">
      <c r="A42" s="59"/>
      <c r="B42" s="60" t="s">
        <v>56</v>
      </c>
      <c r="C42" s="80" t="s">
        <v>57</v>
      </c>
      <c r="D42" s="61" t="s">
        <v>6</v>
      </c>
      <c r="E42" s="81">
        <v>0.721</v>
      </c>
      <c r="F42" s="62">
        <f>TRUNC(13.6,2)</f>
        <v>13.6</v>
      </c>
      <c r="G42" s="63">
        <f>TRUNC(E42*F42,2)</f>
        <v>9.8</v>
      </c>
      <c r="H42" s="63"/>
      <c r="I42" s="64"/>
      <c r="J42" s="66"/>
    </row>
    <row r="43" spans="1:10" s="65" customFormat="1" ht="14.25">
      <c r="A43" s="59"/>
      <c r="B43" s="60"/>
      <c r="C43" s="80"/>
      <c r="D43" s="61"/>
      <c r="E43" s="81" t="s">
        <v>7</v>
      </c>
      <c r="F43" s="62"/>
      <c r="G43" s="63">
        <f>TRUNC(SUM(G42:G42),2)</f>
        <v>9.8</v>
      </c>
      <c r="H43" s="63"/>
      <c r="I43" s="64"/>
      <c r="J43" s="66"/>
    </row>
    <row r="44" spans="1:10" s="116" customFormat="1" ht="30">
      <c r="A44" s="109" t="s">
        <v>135</v>
      </c>
      <c r="B44" s="110" t="s">
        <v>258</v>
      </c>
      <c r="C44" s="111" t="s">
        <v>633</v>
      </c>
      <c r="D44" s="112" t="s">
        <v>12</v>
      </c>
      <c r="E44" s="113">
        <v>4</v>
      </c>
      <c r="F44" s="114">
        <f>TRUNC(G50,2)</f>
        <v>43.54</v>
      </c>
      <c r="G44" s="99">
        <f>TRUNC(F44*1.2882,2)</f>
        <v>56.08</v>
      </c>
      <c r="H44" s="99">
        <f>TRUNC(F44*E44,2)</f>
        <v>174.16</v>
      </c>
      <c r="I44" s="100">
        <f>TRUNC(E44*G44,2)</f>
        <v>224.32</v>
      </c>
      <c r="J44" s="115"/>
    </row>
    <row r="45" spans="1:10" s="108" customFormat="1" ht="15">
      <c r="A45" s="101"/>
      <c r="B45" s="102" t="s">
        <v>147</v>
      </c>
      <c r="C45" s="103" t="s">
        <v>148</v>
      </c>
      <c r="D45" s="104" t="s">
        <v>12</v>
      </c>
      <c r="E45" s="105">
        <v>0</v>
      </c>
      <c r="F45" s="106">
        <f>TRUNC(4.43,2)</f>
        <v>4.43</v>
      </c>
      <c r="G45" s="77">
        <f>TRUNC(E45*F45,2)</f>
        <v>0</v>
      </c>
      <c r="H45" s="77"/>
      <c r="I45" s="78"/>
      <c r="J45" s="107"/>
    </row>
    <row r="46" spans="1:10" s="108" customFormat="1" ht="15">
      <c r="A46" s="101"/>
      <c r="B46" s="102" t="s">
        <v>149</v>
      </c>
      <c r="C46" s="103" t="s">
        <v>150</v>
      </c>
      <c r="D46" s="104" t="s">
        <v>12</v>
      </c>
      <c r="E46" s="105">
        <v>0</v>
      </c>
      <c r="F46" s="106">
        <f>TRUNC(2.52,2)</f>
        <v>2.52</v>
      </c>
      <c r="G46" s="77">
        <f>TRUNC(E46*F46,2)</f>
        <v>0</v>
      </c>
      <c r="H46" s="77"/>
      <c r="I46" s="78"/>
      <c r="J46" s="107"/>
    </row>
    <row r="47" spans="1:10" s="108" customFormat="1" ht="15">
      <c r="A47" s="101"/>
      <c r="B47" s="102" t="s">
        <v>151</v>
      </c>
      <c r="C47" s="103" t="s">
        <v>152</v>
      </c>
      <c r="D47" s="104" t="s">
        <v>12</v>
      </c>
      <c r="E47" s="105">
        <v>0</v>
      </c>
      <c r="F47" s="106">
        <f>TRUNC(0.07,2)</f>
        <v>0.07</v>
      </c>
      <c r="G47" s="77">
        <f>TRUNC(E47*F47,2)</f>
        <v>0</v>
      </c>
      <c r="H47" s="77"/>
      <c r="I47" s="78"/>
      <c r="J47" s="107"/>
    </row>
    <row r="48" spans="1:10" s="108" customFormat="1" ht="15">
      <c r="A48" s="101"/>
      <c r="B48" s="102" t="s">
        <v>153</v>
      </c>
      <c r="C48" s="103" t="s">
        <v>154</v>
      </c>
      <c r="D48" s="104" t="s">
        <v>12</v>
      </c>
      <c r="E48" s="105">
        <v>0</v>
      </c>
      <c r="F48" s="106">
        <f>TRUNC(1.63,2)</f>
        <v>1.63</v>
      </c>
      <c r="G48" s="77">
        <f>TRUNC(E48*F48,2)</f>
        <v>0</v>
      </c>
      <c r="H48" s="77"/>
      <c r="I48" s="78"/>
      <c r="J48" s="107"/>
    </row>
    <row r="49" spans="1:10" s="108" customFormat="1" ht="30">
      <c r="A49" s="101"/>
      <c r="B49" s="102" t="s">
        <v>133</v>
      </c>
      <c r="C49" s="103" t="s">
        <v>134</v>
      </c>
      <c r="D49" s="104" t="s">
        <v>6</v>
      </c>
      <c r="E49" s="105">
        <v>2.32</v>
      </c>
      <c r="F49" s="106">
        <f>TRUNC(18.77,2)</f>
        <v>18.77</v>
      </c>
      <c r="G49" s="77">
        <f>TRUNC(E49*F49,2)</f>
        <v>43.54</v>
      </c>
      <c r="H49" s="77"/>
      <c r="I49" s="78"/>
      <c r="J49" s="107"/>
    </row>
    <row r="50" spans="1:10" s="65" customFormat="1" ht="14.25">
      <c r="A50" s="59"/>
      <c r="B50" s="60"/>
      <c r="C50" s="80"/>
      <c r="D50" s="61"/>
      <c r="E50" s="81" t="s">
        <v>7</v>
      </c>
      <c r="F50" s="62"/>
      <c r="G50" s="63">
        <f>TRUNC(SUM(G45:G49),2)</f>
        <v>43.54</v>
      </c>
      <c r="H50" s="63"/>
      <c r="I50" s="64"/>
      <c r="J50" s="66"/>
    </row>
    <row r="51" spans="1:10" s="116" customFormat="1" ht="30">
      <c r="A51" s="109" t="s">
        <v>136</v>
      </c>
      <c r="B51" s="110" t="s">
        <v>259</v>
      </c>
      <c r="C51" s="111" t="s">
        <v>635</v>
      </c>
      <c r="D51" s="112" t="s">
        <v>12</v>
      </c>
      <c r="E51" s="113">
        <v>3</v>
      </c>
      <c r="F51" s="114">
        <f>TRUNC(G57,2)</f>
        <v>19.33</v>
      </c>
      <c r="G51" s="99">
        <f>TRUNC(F51*1.2882,2)</f>
        <v>24.9</v>
      </c>
      <c r="H51" s="99">
        <f>TRUNC(F51*E51,2)</f>
        <v>57.99</v>
      </c>
      <c r="I51" s="100">
        <f>TRUNC(E51*G51,2)</f>
        <v>74.7</v>
      </c>
      <c r="J51" s="115"/>
    </row>
    <row r="52" spans="1:10" s="108" customFormat="1" ht="15">
      <c r="A52" s="101"/>
      <c r="B52" s="102" t="s">
        <v>147</v>
      </c>
      <c r="C52" s="103" t="s">
        <v>148</v>
      </c>
      <c r="D52" s="104" t="s">
        <v>12</v>
      </c>
      <c r="E52" s="105">
        <v>0</v>
      </c>
      <c r="F52" s="106">
        <f>TRUNC(4.43,2)</f>
        <v>4.43</v>
      </c>
      <c r="G52" s="77">
        <f>TRUNC(E52*F52,2)</f>
        <v>0</v>
      </c>
      <c r="H52" s="77"/>
      <c r="I52" s="78"/>
      <c r="J52" s="107"/>
    </row>
    <row r="53" spans="1:10" s="108" customFormat="1" ht="15">
      <c r="A53" s="101"/>
      <c r="B53" s="102" t="s">
        <v>157</v>
      </c>
      <c r="C53" s="103" t="s">
        <v>473</v>
      </c>
      <c r="D53" s="104" t="s">
        <v>12</v>
      </c>
      <c r="E53" s="105">
        <v>0</v>
      </c>
      <c r="F53" s="106">
        <f>TRUNC(5.73,2)</f>
        <v>5.73</v>
      </c>
      <c r="G53" s="77">
        <f>TRUNC(E53*F53,2)</f>
        <v>0</v>
      </c>
      <c r="H53" s="77"/>
      <c r="I53" s="78"/>
      <c r="J53" s="107"/>
    </row>
    <row r="54" spans="1:10" s="108" customFormat="1" ht="15">
      <c r="A54" s="101"/>
      <c r="B54" s="102" t="s">
        <v>80</v>
      </c>
      <c r="C54" s="103" t="s">
        <v>81</v>
      </c>
      <c r="D54" s="104" t="s">
        <v>12</v>
      </c>
      <c r="E54" s="105">
        <v>0</v>
      </c>
      <c r="F54" s="106">
        <f>TRUNC(3.21,2)</f>
        <v>3.21</v>
      </c>
      <c r="G54" s="77">
        <f>TRUNC(E54*F54,2)</f>
        <v>0</v>
      </c>
      <c r="H54" s="77"/>
      <c r="I54" s="78"/>
      <c r="J54" s="107"/>
    </row>
    <row r="55" spans="1:10" s="108" customFormat="1" ht="15">
      <c r="A55" s="101"/>
      <c r="B55" s="102" t="s">
        <v>79</v>
      </c>
      <c r="C55" s="103" t="s">
        <v>62</v>
      </c>
      <c r="D55" s="104" t="s">
        <v>3</v>
      </c>
      <c r="E55" s="105">
        <v>0</v>
      </c>
      <c r="F55" s="106">
        <f>TRUNC(2.2782,2)</f>
        <v>2.27</v>
      </c>
      <c r="G55" s="77">
        <f>TRUNC(E55*F55,2)</f>
        <v>0</v>
      </c>
      <c r="H55" s="77"/>
      <c r="I55" s="78"/>
      <c r="J55" s="107"/>
    </row>
    <row r="56" spans="1:10" s="108" customFormat="1" ht="30">
      <c r="A56" s="101"/>
      <c r="B56" s="102" t="s">
        <v>133</v>
      </c>
      <c r="C56" s="103" t="s">
        <v>134</v>
      </c>
      <c r="D56" s="104" t="s">
        <v>6</v>
      </c>
      <c r="E56" s="105">
        <v>1.03</v>
      </c>
      <c r="F56" s="106">
        <f>TRUNC(18.77,2)</f>
        <v>18.77</v>
      </c>
      <c r="G56" s="77">
        <f>TRUNC(E56*F56,2)</f>
        <v>19.33</v>
      </c>
      <c r="H56" s="77"/>
      <c r="I56" s="78"/>
      <c r="J56" s="107"/>
    </row>
    <row r="57" spans="1:10" s="65" customFormat="1" ht="14.25">
      <c r="A57" s="59"/>
      <c r="B57" s="60"/>
      <c r="C57" s="80"/>
      <c r="D57" s="61"/>
      <c r="E57" s="81" t="s">
        <v>7</v>
      </c>
      <c r="F57" s="62"/>
      <c r="G57" s="63">
        <f>TRUNC(SUM(G52:G56),2)</f>
        <v>19.33</v>
      </c>
      <c r="H57" s="63"/>
      <c r="I57" s="64"/>
      <c r="J57" s="66"/>
    </row>
    <row r="58" spans="1:10" s="116" customFormat="1" ht="30">
      <c r="A58" s="109" t="s">
        <v>294</v>
      </c>
      <c r="B58" s="110" t="s">
        <v>260</v>
      </c>
      <c r="C58" s="111" t="s">
        <v>634</v>
      </c>
      <c r="D58" s="112" t="s">
        <v>12</v>
      </c>
      <c r="E58" s="113">
        <v>5</v>
      </c>
      <c r="F58" s="114">
        <f>TRUNC(G66,2)</f>
        <v>33.33</v>
      </c>
      <c r="G58" s="99">
        <f>TRUNC(F58*1.2882,2)</f>
        <v>42.93</v>
      </c>
      <c r="H58" s="99">
        <f>TRUNC(F58*E58,2)</f>
        <v>166.65</v>
      </c>
      <c r="I58" s="100">
        <f>TRUNC(E58*G58,2)</f>
        <v>214.65</v>
      </c>
      <c r="J58" s="115"/>
    </row>
    <row r="59" spans="1:10" s="108" customFormat="1" ht="15">
      <c r="A59" s="101"/>
      <c r="B59" s="102" t="s">
        <v>151</v>
      </c>
      <c r="C59" s="103" t="s">
        <v>152</v>
      </c>
      <c r="D59" s="104" t="s">
        <v>12</v>
      </c>
      <c r="E59" s="105">
        <v>0</v>
      </c>
      <c r="F59" s="106">
        <f>TRUNC(0.07,2)</f>
        <v>0.07</v>
      </c>
      <c r="G59" s="77">
        <f aca="true" t="shared" si="0" ref="G59:G65">TRUNC(E59*F59,2)</f>
        <v>0</v>
      </c>
      <c r="H59" s="77"/>
      <c r="I59" s="78"/>
      <c r="J59" s="107"/>
    </row>
    <row r="60" spans="1:10" s="108" customFormat="1" ht="15">
      <c r="A60" s="101"/>
      <c r="B60" s="102" t="s">
        <v>153</v>
      </c>
      <c r="C60" s="103" t="s">
        <v>154</v>
      </c>
      <c r="D60" s="104" t="s">
        <v>12</v>
      </c>
      <c r="E60" s="105">
        <v>0</v>
      </c>
      <c r="F60" s="106">
        <f>TRUNC(1.63,2)</f>
        <v>1.63</v>
      </c>
      <c r="G60" s="77">
        <f t="shared" si="0"/>
        <v>0</v>
      </c>
      <c r="H60" s="77"/>
      <c r="I60" s="78"/>
      <c r="J60" s="107"/>
    </row>
    <row r="61" spans="1:10" s="108" customFormat="1" ht="15">
      <c r="A61" s="101"/>
      <c r="B61" s="102" t="s">
        <v>158</v>
      </c>
      <c r="C61" s="103" t="s">
        <v>159</v>
      </c>
      <c r="D61" s="104" t="s">
        <v>5</v>
      </c>
      <c r="E61" s="105">
        <v>0</v>
      </c>
      <c r="F61" s="106">
        <f>TRUNC(71.43,2)</f>
        <v>71.43</v>
      </c>
      <c r="G61" s="77">
        <f t="shared" si="0"/>
        <v>0</v>
      </c>
      <c r="H61" s="77"/>
      <c r="I61" s="78"/>
      <c r="J61" s="107"/>
    </row>
    <row r="62" spans="1:10" s="108" customFormat="1" ht="15">
      <c r="A62" s="101"/>
      <c r="B62" s="102" t="s">
        <v>160</v>
      </c>
      <c r="C62" s="103" t="s">
        <v>161</v>
      </c>
      <c r="D62" s="104" t="s">
        <v>5</v>
      </c>
      <c r="E62" s="105">
        <v>0</v>
      </c>
      <c r="F62" s="106">
        <f>TRUNC(25.15,2)</f>
        <v>25.15</v>
      </c>
      <c r="G62" s="77">
        <f t="shared" si="0"/>
        <v>0</v>
      </c>
      <c r="H62" s="77"/>
      <c r="I62" s="78"/>
      <c r="J62" s="107"/>
    </row>
    <row r="63" spans="1:10" s="108" customFormat="1" ht="15">
      <c r="A63" s="101"/>
      <c r="B63" s="102" t="s">
        <v>162</v>
      </c>
      <c r="C63" s="103" t="s">
        <v>163</v>
      </c>
      <c r="D63" s="104" t="s">
        <v>5</v>
      </c>
      <c r="E63" s="105">
        <v>0</v>
      </c>
      <c r="F63" s="106">
        <f>TRUNC(1.37,2)</f>
        <v>1.37</v>
      </c>
      <c r="G63" s="77">
        <f t="shared" si="0"/>
        <v>0</v>
      </c>
      <c r="H63" s="77"/>
      <c r="I63" s="78"/>
      <c r="J63" s="107"/>
    </row>
    <row r="64" spans="1:10" s="108" customFormat="1" ht="30">
      <c r="A64" s="101"/>
      <c r="B64" s="102" t="s">
        <v>56</v>
      </c>
      <c r="C64" s="103" t="s">
        <v>57</v>
      </c>
      <c r="D64" s="104" t="s">
        <v>6</v>
      </c>
      <c r="E64" s="105">
        <v>1.03</v>
      </c>
      <c r="F64" s="106">
        <f>TRUNC(13.6,2)</f>
        <v>13.6</v>
      </c>
      <c r="G64" s="77">
        <f t="shared" si="0"/>
        <v>14</v>
      </c>
      <c r="H64" s="77"/>
      <c r="I64" s="78"/>
      <c r="J64" s="107"/>
    </row>
    <row r="65" spans="1:10" s="108" customFormat="1" ht="30">
      <c r="A65" s="101"/>
      <c r="B65" s="102" t="s">
        <v>133</v>
      </c>
      <c r="C65" s="103" t="s">
        <v>134</v>
      </c>
      <c r="D65" s="104" t="s">
        <v>6</v>
      </c>
      <c r="E65" s="105">
        <v>1.03</v>
      </c>
      <c r="F65" s="106">
        <f>TRUNC(18.77,2)</f>
        <v>18.77</v>
      </c>
      <c r="G65" s="77">
        <f t="shared" si="0"/>
        <v>19.33</v>
      </c>
      <c r="H65" s="77"/>
      <c r="I65" s="78"/>
      <c r="J65" s="107"/>
    </row>
    <row r="66" spans="1:10" s="65" customFormat="1" ht="14.25">
      <c r="A66" s="59"/>
      <c r="B66" s="60"/>
      <c r="C66" s="80"/>
      <c r="D66" s="61"/>
      <c r="E66" s="81" t="s">
        <v>7</v>
      </c>
      <c r="F66" s="62"/>
      <c r="G66" s="63">
        <f>TRUNC(SUM(G59:G65),2)</f>
        <v>33.33</v>
      </c>
      <c r="H66" s="63"/>
      <c r="I66" s="64"/>
      <c r="J66" s="66"/>
    </row>
    <row r="67" spans="1:10" s="93" customFormat="1" ht="29.25">
      <c r="A67" s="84" t="s">
        <v>555</v>
      </c>
      <c r="B67" s="85" t="s">
        <v>291</v>
      </c>
      <c r="C67" s="86" t="s">
        <v>636</v>
      </c>
      <c r="D67" s="87" t="s">
        <v>12</v>
      </c>
      <c r="E67" s="88">
        <v>6</v>
      </c>
      <c r="F67" s="89">
        <f>TRUNC(G70,2)</f>
        <v>19.79</v>
      </c>
      <c r="G67" s="90">
        <f>TRUNC(F67*1.2882,2)</f>
        <v>25.49</v>
      </c>
      <c r="H67" s="90">
        <f>TRUNC(F67*E67,2)</f>
        <v>118.74</v>
      </c>
      <c r="I67" s="91">
        <f>TRUNC(E67*G67,2)</f>
        <v>152.94</v>
      </c>
      <c r="J67" s="92"/>
    </row>
    <row r="68" spans="1:10" s="65" customFormat="1" ht="28.5">
      <c r="A68" s="59"/>
      <c r="B68" s="60" t="s">
        <v>56</v>
      </c>
      <c r="C68" s="80" t="s">
        <v>57</v>
      </c>
      <c r="D68" s="61" t="s">
        <v>6</v>
      </c>
      <c r="E68" s="81">
        <v>1.03</v>
      </c>
      <c r="F68" s="62">
        <f>TRUNC(13.6,2)</f>
        <v>13.6</v>
      </c>
      <c r="G68" s="63">
        <f>TRUNC(E68*F68,2)</f>
        <v>14</v>
      </c>
      <c r="H68" s="63"/>
      <c r="I68" s="64"/>
      <c r="J68" s="66"/>
    </row>
    <row r="69" spans="1:10" s="65" customFormat="1" ht="14.25">
      <c r="A69" s="59"/>
      <c r="B69" s="60" t="s">
        <v>65</v>
      </c>
      <c r="C69" s="80" t="s">
        <v>66</v>
      </c>
      <c r="D69" s="61" t="s">
        <v>6</v>
      </c>
      <c r="E69" s="81">
        <v>0.309</v>
      </c>
      <c r="F69" s="62">
        <f>TRUNC(18.77,2)</f>
        <v>18.77</v>
      </c>
      <c r="G69" s="63">
        <f>TRUNC(E69*F69,2)</f>
        <v>5.79</v>
      </c>
      <c r="H69" s="63"/>
      <c r="I69" s="64"/>
      <c r="J69" s="66"/>
    </row>
    <row r="70" spans="1:10" s="65" customFormat="1" ht="14.25">
      <c r="A70" s="59"/>
      <c r="B70" s="60"/>
      <c r="C70" s="80"/>
      <c r="D70" s="61"/>
      <c r="E70" s="81" t="s">
        <v>7</v>
      </c>
      <c r="F70" s="62"/>
      <c r="G70" s="63">
        <f>TRUNC(SUM(G68:G69),2)</f>
        <v>19.79</v>
      </c>
      <c r="H70" s="63"/>
      <c r="I70" s="64"/>
      <c r="J70" s="66"/>
    </row>
    <row r="71" spans="1:10" s="93" customFormat="1" ht="42.75">
      <c r="A71" s="84" t="s">
        <v>556</v>
      </c>
      <c r="B71" s="85" t="s">
        <v>292</v>
      </c>
      <c r="C71" s="86" t="s">
        <v>293</v>
      </c>
      <c r="D71" s="87" t="s">
        <v>0</v>
      </c>
      <c r="E71" s="88">
        <v>75.5</v>
      </c>
      <c r="F71" s="89">
        <f>TRUNC(G73,2)</f>
        <v>6.3</v>
      </c>
      <c r="G71" s="90">
        <f>TRUNC(F71*1.2882,2)</f>
        <v>8.11</v>
      </c>
      <c r="H71" s="90">
        <f>TRUNC(F71*E71,2)</f>
        <v>475.65</v>
      </c>
      <c r="I71" s="91">
        <f>TRUNC(E71*G71,2)</f>
        <v>612.3</v>
      </c>
      <c r="J71" s="92"/>
    </row>
    <row r="72" spans="1:10" s="65" customFormat="1" ht="28.5">
      <c r="A72" s="59"/>
      <c r="B72" s="60" t="s">
        <v>56</v>
      </c>
      <c r="C72" s="80" t="s">
        <v>57</v>
      </c>
      <c r="D72" s="61" t="s">
        <v>6</v>
      </c>
      <c r="E72" s="81">
        <v>0.4635</v>
      </c>
      <c r="F72" s="62">
        <f>TRUNC(13.6,2)</f>
        <v>13.6</v>
      </c>
      <c r="G72" s="63">
        <f>TRUNC(E72*F72,2)</f>
        <v>6.3</v>
      </c>
      <c r="H72" s="63"/>
      <c r="I72" s="64"/>
      <c r="J72" s="66"/>
    </row>
    <row r="73" spans="1:10" s="65" customFormat="1" ht="14.25">
      <c r="A73" s="59"/>
      <c r="B73" s="60"/>
      <c r="C73" s="80"/>
      <c r="D73" s="61"/>
      <c r="E73" s="81" t="s">
        <v>7</v>
      </c>
      <c r="F73" s="62"/>
      <c r="G73" s="63">
        <f>TRUNC(SUM(G72:G72),2)</f>
        <v>6.3</v>
      </c>
      <c r="H73" s="63"/>
      <c r="I73" s="64"/>
      <c r="J73" s="66"/>
    </row>
    <row r="74" spans="1:9" s="44" customFormat="1" ht="15.75">
      <c r="A74" s="53" t="s">
        <v>44</v>
      </c>
      <c r="C74" s="54"/>
      <c r="D74" s="55"/>
      <c r="E74" s="55"/>
      <c r="F74" s="55"/>
      <c r="G74" s="55" t="s">
        <v>47</v>
      </c>
      <c r="H74" s="57">
        <f>H71+H67+H58+H51+H44+H41+H38+H34+H30+H26+H13+H20+H23</f>
        <v>5967.96</v>
      </c>
      <c r="I74" s="57">
        <f>I71+I67+I58+I51+I44+I41+I38+I34+I30+I26+I13+I20+I23</f>
        <v>7685.98</v>
      </c>
    </row>
    <row r="75" spans="1:9" s="43" customFormat="1" ht="15.75">
      <c r="A75" s="43" t="s">
        <v>16</v>
      </c>
      <c r="B75" s="51"/>
      <c r="C75" s="52" t="s">
        <v>120</v>
      </c>
      <c r="D75" s="52"/>
      <c r="E75" s="52"/>
      <c r="F75" s="52"/>
      <c r="G75" s="52"/>
      <c r="H75" s="52"/>
      <c r="I75" s="50"/>
    </row>
    <row r="76" spans="1:9" s="94" customFormat="1" ht="71.25">
      <c r="A76" s="94" t="s">
        <v>579</v>
      </c>
      <c r="B76" s="94" t="s">
        <v>261</v>
      </c>
      <c r="C76" s="94" t="s">
        <v>474</v>
      </c>
      <c r="D76" s="94" t="s">
        <v>0</v>
      </c>
      <c r="E76" s="94">
        <v>120.49</v>
      </c>
      <c r="F76" s="95">
        <f>TRUNC(G84,2)</f>
        <v>58.82</v>
      </c>
      <c r="G76" s="90">
        <f>TRUNC(F76*1.2882,2)</f>
        <v>75.77</v>
      </c>
      <c r="H76" s="90">
        <f>TRUNC(F76*E76,2)</f>
        <v>7087.22</v>
      </c>
      <c r="I76" s="91">
        <f>TRUNC(E76*G76,2)</f>
        <v>9129.52</v>
      </c>
    </row>
    <row r="77" spans="2:9" s="67" customFormat="1" ht="28.5">
      <c r="B77" s="67" t="s">
        <v>253</v>
      </c>
      <c r="C77" s="67" t="s">
        <v>475</v>
      </c>
      <c r="D77" s="67" t="s">
        <v>0</v>
      </c>
      <c r="E77" s="67">
        <v>1.05</v>
      </c>
      <c r="F77" s="68">
        <f>TRUNC(14.4,2)</f>
        <v>14.4</v>
      </c>
      <c r="G77" s="63">
        <f aca="true" t="shared" si="1" ref="G77:G83">TRUNC(E77*F77,2)</f>
        <v>15.12</v>
      </c>
      <c r="H77" s="63"/>
      <c r="I77" s="64"/>
    </row>
    <row r="78" spans="2:9" s="67" customFormat="1" ht="14.25">
      <c r="B78" s="67" t="s">
        <v>165</v>
      </c>
      <c r="C78" s="67" t="s">
        <v>166</v>
      </c>
      <c r="D78" s="67" t="s">
        <v>12</v>
      </c>
      <c r="E78" s="67">
        <v>0.1</v>
      </c>
      <c r="F78" s="68">
        <f>TRUNC(9.5,2)</f>
        <v>9.5</v>
      </c>
      <c r="G78" s="63">
        <f t="shared" si="1"/>
        <v>0.95</v>
      </c>
      <c r="H78" s="63"/>
      <c r="I78" s="64"/>
    </row>
    <row r="79" spans="2:9" s="67" customFormat="1" ht="14.25">
      <c r="B79" s="67" t="s">
        <v>162</v>
      </c>
      <c r="C79" s="67" t="s">
        <v>163</v>
      </c>
      <c r="D79" s="67" t="s">
        <v>5</v>
      </c>
      <c r="E79" s="67">
        <v>0.1</v>
      </c>
      <c r="F79" s="68">
        <f>TRUNC(1.37,2)</f>
        <v>1.37</v>
      </c>
      <c r="G79" s="63">
        <f t="shared" si="1"/>
        <v>0.13</v>
      </c>
      <c r="H79" s="63"/>
      <c r="I79" s="64"/>
    </row>
    <row r="80" spans="2:9" s="67" customFormat="1" ht="28.5">
      <c r="B80" s="67" t="s">
        <v>56</v>
      </c>
      <c r="C80" s="67" t="s">
        <v>57</v>
      </c>
      <c r="D80" s="67" t="s">
        <v>6</v>
      </c>
      <c r="E80" s="67">
        <v>0.8755</v>
      </c>
      <c r="F80" s="68">
        <f>TRUNC(13.6,2)</f>
        <v>13.6</v>
      </c>
      <c r="G80" s="63">
        <f t="shared" si="1"/>
        <v>11.9</v>
      </c>
      <c r="H80" s="63"/>
      <c r="I80" s="64"/>
    </row>
    <row r="81" spans="2:9" s="67" customFormat="1" ht="14.25">
      <c r="B81" s="67" t="s">
        <v>254</v>
      </c>
      <c r="C81" s="67" t="s">
        <v>255</v>
      </c>
      <c r="D81" s="67" t="s">
        <v>6</v>
      </c>
      <c r="E81" s="67">
        <v>0.8755</v>
      </c>
      <c r="F81" s="68">
        <f>TRUNC(20.21,2)</f>
        <v>20.21</v>
      </c>
      <c r="G81" s="63">
        <f t="shared" si="1"/>
        <v>17.69</v>
      </c>
      <c r="H81" s="63"/>
      <c r="I81" s="64"/>
    </row>
    <row r="82" spans="2:9" s="67" customFormat="1" ht="14.25">
      <c r="B82" s="67" t="s">
        <v>262</v>
      </c>
      <c r="C82" s="67" t="s">
        <v>263</v>
      </c>
      <c r="D82" s="67" t="s">
        <v>1</v>
      </c>
      <c r="E82" s="67">
        <v>0.035</v>
      </c>
      <c r="F82" s="68">
        <f>TRUNC(325.3585,2)</f>
        <v>325.35</v>
      </c>
      <c r="G82" s="63">
        <f t="shared" si="1"/>
        <v>11.38</v>
      </c>
      <c r="H82" s="63"/>
      <c r="I82" s="64"/>
    </row>
    <row r="83" spans="2:9" s="67" customFormat="1" ht="14.25">
      <c r="B83" s="67" t="s">
        <v>264</v>
      </c>
      <c r="C83" s="67" t="s">
        <v>265</v>
      </c>
      <c r="D83" s="67" t="s">
        <v>1</v>
      </c>
      <c r="E83" s="67">
        <v>0.003</v>
      </c>
      <c r="F83" s="68">
        <f>TRUNC(551.072,2)</f>
        <v>551.07</v>
      </c>
      <c r="G83" s="63">
        <f t="shared" si="1"/>
        <v>1.65</v>
      </c>
      <c r="H83" s="63"/>
      <c r="I83" s="64"/>
    </row>
    <row r="84" spans="5:9" s="67" customFormat="1" ht="14.25">
      <c r="E84" s="67" t="s">
        <v>7</v>
      </c>
      <c r="F84" s="68"/>
      <c r="G84" s="63">
        <f>TRUNC(SUM(G77:G83),2)</f>
        <v>58.82</v>
      </c>
      <c r="H84" s="63"/>
      <c r="I84" s="64"/>
    </row>
    <row r="85" spans="1:9" s="94" customFormat="1" ht="42.75">
      <c r="A85" s="94" t="s">
        <v>123</v>
      </c>
      <c r="B85" s="94" t="s">
        <v>623</v>
      </c>
      <c r="C85" s="94" t="s">
        <v>624</v>
      </c>
      <c r="D85" s="94" t="s">
        <v>0</v>
      </c>
      <c r="E85" s="94">
        <v>54.1</v>
      </c>
      <c r="F85" s="95">
        <f>TRUNC(G91,2)</f>
        <v>61.05</v>
      </c>
      <c r="G85" s="90">
        <f>TRUNC(F85*1.2882,2)</f>
        <v>78.64</v>
      </c>
      <c r="H85" s="90">
        <f>TRUNC(F85*E85,2)</f>
        <v>3302.8</v>
      </c>
      <c r="I85" s="91">
        <f>TRUNC(E85*G85,2)</f>
        <v>4254.42</v>
      </c>
    </row>
    <row r="86" spans="2:7" ht="15">
      <c r="B86" t="s">
        <v>625</v>
      </c>
      <c r="C86" s="1" t="s">
        <v>626</v>
      </c>
      <c r="D86" t="s">
        <v>5</v>
      </c>
      <c r="E86">
        <v>0.22</v>
      </c>
      <c r="F86">
        <f>TRUNC(3.18,2)</f>
        <v>3.18</v>
      </c>
      <c r="G86">
        <f>TRUNC(E86*F86,2)</f>
        <v>0.69</v>
      </c>
    </row>
    <row r="87" spans="2:7" ht="15">
      <c r="B87" t="s">
        <v>627</v>
      </c>
      <c r="C87" s="1" t="s">
        <v>628</v>
      </c>
      <c r="D87" t="s">
        <v>5</v>
      </c>
      <c r="E87">
        <v>6.14</v>
      </c>
      <c r="F87">
        <f>TRUNC(0.5,2)</f>
        <v>0.5</v>
      </c>
      <c r="G87">
        <f>TRUNC(E87*F87,2)</f>
        <v>3.07</v>
      </c>
    </row>
    <row r="88" spans="2:7" ht="30">
      <c r="B88" t="s">
        <v>629</v>
      </c>
      <c r="C88" s="1" t="s">
        <v>630</v>
      </c>
      <c r="D88" t="s">
        <v>0</v>
      </c>
      <c r="E88">
        <v>1.09</v>
      </c>
      <c r="F88">
        <f>TRUNC(21.9,2)</f>
        <v>21.9</v>
      </c>
      <c r="G88">
        <f>TRUNC(E88*F88,2)</f>
        <v>23.87</v>
      </c>
    </row>
    <row r="89" spans="2:7" ht="15">
      <c r="B89" t="s">
        <v>319</v>
      </c>
      <c r="C89" s="1" t="s">
        <v>78</v>
      </c>
      <c r="D89" t="s">
        <v>6</v>
      </c>
      <c r="E89">
        <v>0.46</v>
      </c>
      <c r="F89">
        <f>TRUNC(20.11,2)</f>
        <v>20.11</v>
      </c>
      <c r="G89">
        <f>TRUNC(E89*F89,2)</f>
        <v>9.25</v>
      </c>
    </row>
    <row r="90" spans="2:7" ht="15">
      <c r="B90" t="s">
        <v>631</v>
      </c>
      <c r="C90" s="1" t="s">
        <v>632</v>
      </c>
      <c r="D90" t="s">
        <v>6</v>
      </c>
      <c r="E90">
        <v>0.91</v>
      </c>
      <c r="F90">
        <f>TRUNC(26.57,2)</f>
        <v>26.57</v>
      </c>
      <c r="G90">
        <f>TRUNC(E90*F90,2)</f>
        <v>24.17</v>
      </c>
    </row>
    <row r="91" spans="5:7" ht="15">
      <c r="E91" t="s">
        <v>7</v>
      </c>
      <c r="G91">
        <f>TRUNC(SUM(G86:G90),2)</f>
        <v>61.05</v>
      </c>
    </row>
    <row r="92" spans="1:9" s="94" customFormat="1" ht="57">
      <c r="A92" s="94" t="s">
        <v>124</v>
      </c>
      <c r="B92" s="94" t="s">
        <v>267</v>
      </c>
      <c r="C92" s="94" t="s">
        <v>225</v>
      </c>
      <c r="D92" s="94" t="s">
        <v>3</v>
      </c>
      <c r="E92" s="94">
        <v>1.8</v>
      </c>
      <c r="F92" s="95">
        <f>TRUNC(G99,2)</f>
        <v>39.47</v>
      </c>
      <c r="G92" s="90">
        <f>TRUNC(F92*1.2882,2)</f>
        <v>50.84</v>
      </c>
      <c r="H92" s="90">
        <f>TRUNC(F92*E92,2)</f>
        <v>71.04</v>
      </c>
      <c r="I92" s="91">
        <f>TRUNC(E92*G92,2)</f>
        <v>91.51</v>
      </c>
    </row>
    <row r="93" spans="2:9" s="67" customFormat="1" ht="14.25">
      <c r="B93" s="67" t="s">
        <v>226</v>
      </c>
      <c r="C93" s="67" t="s">
        <v>227</v>
      </c>
      <c r="D93" s="67" t="s">
        <v>3</v>
      </c>
      <c r="E93" s="67">
        <v>1.05</v>
      </c>
      <c r="F93" s="68">
        <f>TRUNC(22.31,2)</f>
        <v>22.31</v>
      </c>
      <c r="G93" s="63">
        <f aca="true" t="shared" si="2" ref="G93:G98">TRUNC(E93*F93,2)</f>
        <v>23.42</v>
      </c>
      <c r="H93" s="63"/>
      <c r="I93" s="64"/>
    </row>
    <row r="94" spans="2:9" s="67" customFormat="1" ht="14.25">
      <c r="B94" s="67" t="s">
        <v>165</v>
      </c>
      <c r="C94" s="67" t="s">
        <v>166</v>
      </c>
      <c r="D94" s="67" t="s">
        <v>12</v>
      </c>
      <c r="E94" s="67">
        <v>0.01</v>
      </c>
      <c r="F94" s="68">
        <f>TRUNC(9.5,2)</f>
        <v>9.5</v>
      </c>
      <c r="G94" s="63">
        <f t="shared" si="2"/>
        <v>0.09</v>
      </c>
      <c r="H94" s="63"/>
      <c r="I94" s="64"/>
    </row>
    <row r="95" spans="2:9" s="67" customFormat="1" ht="14.25">
      <c r="B95" s="67" t="s">
        <v>162</v>
      </c>
      <c r="C95" s="67" t="s">
        <v>163</v>
      </c>
      <c r="D95" s="67" t="s">
        <v>5</v>
      </c>
      <c r="E95" s="67">
        <v>0.5</v>
      </c>
      <c r="F95" s="68">
        <f>TRUNC(1.37,2)</f>
        <v>1.37</v>
      </c>
      <c r="G95" s="63">
        <f t="shared" si="2"/>
        <v>0.68</v>
      </c>
      <c r="H95" s="63"/>
      <c r="I95" s="64"/>
    </row>
    <row r="96" spans="2:9" s="67" customFormat="1" ht="28.5">
      <c r="B96" s="67" t="s">
        <v>56</v>
      </c>
      <c r="C96" s="67" t="s">
        <v>57</v>
      </c>
      <c r="D96" s="67" t="s">
        <v>6</v>
      </c>
      <c r="E96" s="67">
        <v>0.4635</v>
      </c>
      <c r="F96" s="68">
        <f>TRUNC(13.6,2)</f>
        <v>13.6</v>
      </c>
      <c r="G96" s="63">
        <f t="shared" si="2"/>
        <v>6.3</v>
      </c>
      <c r="H96" s="63"/>
      <c r="I96" s="64"/>
    </row>
    <row r="97" spans="2:9" s="67" customFormat="1" ht="28.5">
      <c r="B97" s="67" t="s">
        <v>268</v>
      </c>
      <c r="C97" s="67" t="s">
        <v>269</v>
      </c>
      <c r="D97" s="67" t="s">
        <v>6</v>
      </c>
      <c r="E97" s="67">
        <v>0.41200000000000003</v>
      </c>
      <c r="F97" s="68">
        <f>TRUNC(18.77,2)</f>
        <v>18.77</v>
      </c>
      <c r="G97" s="63">
        <f t="shared" si="2"/>
        <v>7.73</v>
      </c>
      <c r="H97" s="63"/>
      <c r="I97" s="64"/>
    </row>
    <row r="98" spans="2:9" s="67" customFormat="1" ht="14.25">
      <c r="B98" s="67" t="s">
        <v>270</v>
      </c>
      <c r="C98" s="67" t="s">
        <v>271</v>
      </c>
      <c r="D98" s="67" t="s">
        <v>1</v>
      </c>
      <c r="E98" s="67">
        <v>0.005</v>
      </c>
      <c r="F98" s="68">
        <f>TRUNC(251.9942,2)</f>
        <v>251.99</v>
      </c>
      <c r="G98" s="63">
        <f t="shared" si="2"/>
        <v>1.25</v>
      </c>
      <c r="H98" s="63"/>
      <c r="I98" s="64"/>
    </row>
    <row r="99" spans="5:9" s="67" customFormat="1" ht="14.25">
      <c r="E99" s="67" t="s">
        <v>7</v>
      </c>
      <c r="F99" s="68"/>
      <c r="G99" s="63">
        <f>TRUNC(SUM(G93:G98),2)</f>
        <v>39.47</v>
      </c>
      <c r="H99" s="63"/>
      <c r="I99" s="64"/>
    </row>
    <row r="100" spans="1:9" s="94" customFormat="1" ht="28.5">
      <c r="A100" s="94" t="s">
        <v>125</v>
      </c>
      <c r="B100" s="94" t="s">
        <v>295</v>
      </c>
      <c r="C100" s="94" t="s">
        <v>296</v>
      </c>
      <c r="D100" s="94" t="s">
        <v>0</v>
      </c>
      <c r="E100" s="94">
        <v>87.96</v>
      </c>
      <c r="F100" s="95">
        <f>TRUNC(G108,2)</f>
        <v>40.64</v>
      </c>
      <c r="G100" s="90">
        <f>TRUNC(F100*1.2882,2)</f>
        <v>52.35</v>
      </c>
      <c r="H100" s="90">
        <f>TRUNC(F100*E100,2)</f>
        <v>3574.69</v>
      </c>
      <c r="I100" s="91">
        <f>TRUNC(E100*G100,2)</f>
        <v>4604.7</v>
      </c>
    </row>
    <row r="101" spans="2:9" s="67" customFormat="1" ht="28.5">
      <c r="B101" s="67" t="s">
        <v>297</v>
      </c>
      <c r="C101" s="67" t="s">
        <v>298</v>
      </c>
      <c r="D101" s="67" t="s">
        <v>5</v>
      </c>
      <c r="E101" s="67">
        <v>0.0711</v>
      </c>
      <c r="F101" s="68">
        <f>TRUNC(16.14,2)</f>
        <v>16.14</v>
      </c>
      <c r="G101" s="63">
        <f aca="true" t="shared" si="3" ref="G101:G107">TRUNC(E101*F101,2)</f>
        <v>1.14</v>
      </c>
      <c r="H101" s="63"/>
      <c r="I101" s="64"/>
    </row>
    <row r="102" spans="2:9" s="67" customFormat="1" ht="14.25">
      <c r="B102" s="67" t="s">
        <v>299</v>
      </c>
      <c r="C102" s="67" t="s">
        <v>300</v>
      </c>
      <c r="D102" s="67" t="s">
        <v>301</v>
      </c>
      <c r="E102" s="67">
        <v>0.0333</v>
      </c>
      <c r="F102" s="68">
        <f>TRUNC(31.38,2)</f>
        <v>31.38</v>
      </c>
      <c r="G102" s="63">
        <f t="shared" si="3"/>
        <v>1.04</v>
      </c>
      <c r="H102" s="63"/>
      <c r="I102" s="64"/>
    </row>
    <row r="103" spans="2:9" s="67" customFormat="1" ht="14.25">
      <c r="B103" s="67" t="s">
        <v>302</v>
      </c>
      <c r="C103" s="67" t="s">
        <v>303</v>
      </c>
      <c r="D103" s="67" t="s">
        <v>301</v>
      </c>
      <c r="E103" s="67">
        <v>0.0221</v>
      </c>
      <c r="F103" s="68">
        <f>TRUNC(18.3,2)</f>
        <v>18.3</v>
      </c>
      <c r="G103" s="63">
        <f t="shared" si="3"/>
        <v>0.4</v>
      </c>
      <c r="H103" s="63"/>
      <c r="I103" s="64"/>
    </row>
    <row r="104" spans="2:9" s="67" customFormat="1" ht="28.5">
      <c r="B104" s="67" t="s">
        <v>304</v>
      </c>
      <c r="C104" s="67" t="s">
        <v>305</v>
      </c>
      <c r="D104" s="67" t="s">
        <v>12</v>
      </c>
      <c r="E104" s="67">
        <v>2.2127</v>
      </c>
      <c r="F104" s="68">
        <f>TRUNC(1.23,2)</f>
        <v>1.23</v>
      </c>
      <c r="G104" s="63">
        <f t="shared" si="3"/>
        <v>2.72</v>
      </c>
      <c r="H104" s="63"/>
      <c r="I104" s="64"/>
    </row>
    <row r="105" spans="2:9" s="67" customFormat="1" ht="28.5">
      <c r="B105" s="67" t="s">
        <v>306</v>
      </c>
      <c r="C105" s="67" t="s">
        <v>307</v>
      </c>
      <c r="D105" s="67" t="s">
        <v>3</v>
      </c>
      <c r="E105" s="67">
        <v>2.4018</v>
      </c>
      <c r="F105" s="68">
        <f>TRUNC(3.28,2)</f>
        <v>3.28</v>
      </c>
      <c r="G105" s="63">
        <f t="shared" si="3"/>
        <v>7.87</v>
      </c>
      <c r="H105" s="63"/>
      <c r="I105" s="64"/>
    </row>
    <row r="106" spans="2:9" s="67" customFormat="1" ht="28.5">
      <c r="B106" s="67" t="s">
        <v>308</v>
      </c>
      <c r="C106" s="67" t="s">
        <v>309</v>
      </c>
      <c r="D106" s="67" t="s">
        <v>0</v>
      </c>
      <c r="E106" s="67">
        <v>1.0326</v>
      </c>
      <c r="F106" s="68">
        <f>TRUNC(12.6,2)</f>
        <v>12.6</v>
      </c>
      <c r="G106" s="63">
        <f t="shared" si="3"/>
        <v>13.01</v>
      </c>
      <c r="H106" s="63"/>
      <c r="I106" s="64"/>
    </row>
    <row r="107" spans="2:9" s="67" customFormat="1" ht="14.25">
      <c r="B107" s="67" t="s">
        <v>310</v>
      </c>
      <c r="C107" s="67" t="s">
        <v>164</v>
      </c>
      <c r="D107" s="67" t="s">
        <v>6</v>
      </c>
      <c r="E107" s="67">
        <v>0.5672</v>
      </c>
      <c r="F107" s="68">
        <f>TRUNC(25.5,2)</f>
        <v>25.5</v>
      </c>
      <c r="G107" s="63">
        <f t="shared" si="3"/>
        <v>14.46</v>
      </c>
      <c r="H107" s="63"/>
      <c r="I107" s="64"/>
    </row>
    <row r="108" spans="5:9" s="67" customFormat="1" ht="14.25">
      <c r="E108" s="67" t="s">
        <v>7</v>
      </c>
      <c r="F108" s="68"/>
      <c r="G108" s="63">
        <f>TRUNC(SUM(G101:G107),2)</f>
        <v>40.64</v>
      </c>
      <c r="H108" s="63"/>
      <c r="I108" s="64"/>
    </row>
    <row r="109" spans="1:9" s="94" customFormat="1" ht="42.75">
      <c r="A109" s="94" t="s">
        <v>711</v>
      </c>
      <c r="B109" s="94" t="s">
        <v>707</v>
      </c>
      <c r="C109" s="94" t="s">
        <v>708</v>
      </c>
      <c r="D109" s="94" t="s">
        <v>0</v>
      </c>
      <c r="E109" s="94">
        <v>2</v>
      </c>
      <c r="F109" s="95">
        <f>TRUNC(G113,2)</f>
        <v>63.82</v>
      </c>
      <c r="G109" s="90">
        <f>TRUNC(F109*1.2882,2)</f>
        <v>82.21</v>
      </c>
      <c r="H109" s="90">
        <f>TRUNC(F109*E109,2)</f>
        <v>127.64</v>
      </c>
      <c r="I109" s="91">
        <f>TRUNC(E109*G109,2)</f>
        <v>164.42</v>
      </c>
    </row>
    <row r="110" spans="2:9" s="67" customFormat="1" ht="28.5">
      <c r="B110" s="67" t="s">
        <v>709</v>
      </c>
      <c r="C110" s="67" t="s">
        <v>710</v>
      </c>
      <c r="D110" s="67" t="s">
        <v>12</v>
      </c>
      <c r="E110" s="67">
        <v>0.35</v>
      </c>
      <c r="F110" s="68">
        <f>TRUNC(96.68,2)</f>
        <v>96.68</v>
      </c>
      <c r="G110" s="63">
        <f>TRUNC(E110*F110,2)</f>
        <v>33.83</v>
      </c>
      <c r="H110" s="63"/>
      <c r="I110" s="64"/>
    </row>
    <row r="111" spans="2:9" s="67" customFormat="1" ht="28.5">
      <c r="B111" s="67" t="s">
        <v>56</v>
      </c>
      <c r="C111" s="67" t="s">
        <v>57</v>
      </c>
      <c r="D111" s="67" t="s">
        <v>6</v>
      </c>
      <c r="E111" s="67">
        <v>0.927</v>
      </c>
      <c r="F111" s="68">
        <f>TRUNC(13.6,2)</f>
        <v>13.6</v>
      </c>
      <c r="G111" s="63">
        <f>TRUNC(E111*F111,2)</f>
        <v>12.6</v>
      </c>
      <c r="H111" s="63"/>
      <c r="I111" s="64"/>
    </row>
    <row r="112" spans="2:9" s="67" customFormat="1" ht="14.25">
      <c r="B112" s="67" t="s">
        <v>275</v>
      </c>
      <c r="C112" s="67" t="s">
        <v>276</v>
      </c>
      <c r="D112" s="67" t="s">
        <v>6</v>
      </c>
      <c r="E112" s="67">
        <v>0.927</v>
      </c>
      <c r="F112" s="68">
        <f>TRUNC(18.77,2)</f>
        <v>18.77</v>
      </c>
      <c r="G112" s="63">
        <f>TRUNC(E112*F112,2)</f>
        <v>17.39</v>
      </c>
      <c r="H112" s="63"/>
      <c r="I112" s="64"/>
    </row>
    <row r="113" spans="5:9" s="67" customFormat="1" ht="14.25">
      <c r="E113" s="67" t="s">
        <v>7</v>
      </c>
      <c r="F113" s="68"/>
      <c r="G113" s="63">
        <f>TRUNC(SUM(G110:G112),2)</f>
        <v>63.82</v>
      </c>
      <c r="H113" s="63"/>
      <c r="I113" s="64"/>
    </row>
    <row r="114" spans="1:10" s="44" customFormat="1" ht="15.75">
      <c r="A114" s="53" t="s">
        <v>44</v>
      </c>
      <c r="B114" s="55"/>
      <c r="C114" s="54"/>
      <c r="D114" s="55"/>
      <c r="E114" s="55"/>
      <c r="F114" s="55"/>
      <c r="G114" s="55" t="s">
        <v>83</v>
      </c>
      <c r="H114" s="56">
        <f>H100+H92+H85+H76+H109</f>
        <v>14163.39</v>
      </c>
      <c r="I114" s="56">
        <f>I100+I92+I85+I76+I109</f>
        <v>18244.57</v>
      </c>
      <c r="J114" s="83"/>
    </row>
    <row r="115" spans="1:9" s="43" customFormat="1" ht="15.75">
      <c r="A115" s="43" t="s">
        <v>17</v>
      </c>
      <c r="B115" s="51"/>
      <c r="C115" s="52" t="s">
        <v>171</v>
      </c>
      <c r="D115" s="52"/>
      <c r="E115" s="52"/>
      <c r="F115" s="52"/>
      <c r="G115" s="52"/>
      <c r="H115" s="52"/>
      <c r="I115" s="50"/>
    </row>
    <row r="116" spans="1:9" s="94" customFormat="1" ht="71.25">
      <c r="A116" s="94" t="s">
        <v>45</v>
      </c>
      <c r="B116" s="94" t="s">
        <v>321</v>
      </c>
      <c r="C116" s="94" t="s">
        <v>322</v>
      </c>
      <c r="D116" s="94" t="s">
        <v>12</v>
      </c>
      <c r="E116" s="94">
        <v>2</v>
      </c>
      <c r="F116" s="95">
        <f>TRUNC(G119,2)</f>
        <v>242.6</v>
      </c>
      <c r="G116" s="90">
        <f>TRUNC(F116*1.2882,2)</f>
        <v>312.51</v>
      </c>
      <c r="H116" s="90">
        <f>TRUNC(F116*E116,2)</f>
        <v>485.2</v>
      </c>
      <c r="I116" s="91">
        <f>TRUNC(E116*G116,2)</f>
        <v>625.02</v>
      </c>
    </row>
    <row r="117" spans="2:9" s="67" customFormat="1" ht="28.5">
      <c r="B117" s="67" t="s">
        <v>323</v>
      </c>
      <c r="C117" s="67" t="s">
        <v>324</v>
      </c>
      <c r="D117" s="67" t="s">
        <v>12</v>
      </c>
      <c r="E117" s="67">
        <v>1</v>
      </c>
      <c r="F117" s="68">
        <f>TRUNC(231.59,2)</f>
        <v>231.59</v>
      </c>
      <c r="G117" s="63">
        <f>TRUNC(E117*F117,2)</f>
        <v>231.59</v>
      </c>
      <c r="H117" s="63"/>
      <c r="I117" s="64"/>
    </row>
    <row r="118" spans="2:9" s="67" customFormat="1" ht="14.25">
      <c r="B118" s="67" t="s">
        <v>176</v>
      </c>
      <c r="C118" s="67" t="s">
        <v>177</v>
      </c>
      <c r="D118" s="67" t="s">
        <v>12</v>
      </c>
      <c r="E118" s="67">
        <v>3</v>
      </c>
      <c r="F118" s="68">
        <f>TRUNC(3.67,2)</f>
        <v>3.67</v>
      </c>
      <c r="G118" s="63">
        <f>TRUNC(E118*F118,2)</f>
        <v>11.01</v>
      </c>
      <c r="H118" s="63"/>
      <c r="I118" s="64"/>
    </row>
    <row r="119" spans="5:9" s="67" customFormat="1" ht="14.25">
      <c r="E119" s="67" t="s">
        <v>7</v>
      </c>
      <c r="F119" s="68"/>
      <c r="G119" s="63">
        <f>TRUNC(SUM(G117:G118),2)</f>
        <v>242.6</v>
      </c>
      <c r="H119" s="63"/>
      <c r="I119" s="64"/>
    </row>
    <row r="120" spans="1:9" s="94" customFormat="1" ht="28.5">
      <c r="A120" s="94" t="s">
        <v>580</v>
      </c>
      <c r="B120" s="94" t="s">
        <v>557</v>
      </c>
      <c r="C120" s="94" t="s">
        <v>558</v>
      </c>
      <c r="D120" s="94" t="s">
        <v>12</v>
      </c>
      <c r="E120" s="94">
        <v>2</v>
      </c>
      <c r="F120" s="95">
        <f>TRUNC(G124,2)</f>
        <v>144.11</v>
      </c>
      <c r="G120" s="90">
        <f>TRUNC(F120*1.2882,2)</f>
        <v>185.64</v>
      </c>
      <c r="H120" s="90">
        <f>TRUNC(F120*E120,2)</f>
        <v>288.22</v>
      </c>
      <c r="I120" s="91">
        <f>TRUNC(E120*G120,2)</f>
        <v>371.28</v>
      </c>
    </row>
    <row r="121" spans="2:9" s="67" customFormat="1" ht="28.5">
      <c r="B121" s="67" t="s">
        <v>265</v>
      </c>
      <c r="C121" s="67" t="s">
        <v>266</v>
      </c>
      <c r="D121" s="67" t="s">
        <v>12</v>
      </c>
      <c r="E121" s="67">
        <v>1</v>
      </c>
      <c r="F121" s="68">
        <f>TRUNC(84.41,2)</f>
        <v>84.41</v>
      </c>
      <c r="G121" s="63">
        <f>TRUNC(E121*F121,2)</f>
        <v>84.41</v>
      </c>
      <c r="H121" s="63"/>
      <c r="I121" s="64"/>
    </row>
    <row r="122" spans="2:9" s="67" customFormat="1" ht="14.25">
      <c r="B122" s="67" t="s">
        <v>498</v>
      </c>
      <c r="C122" s="67" t="s">
        <v>499</v>
      </c>
      <c r="D122" s="67" t="s">
        <v>6</v>
      </c>
      <c r="E122" s="67">
        <v>1.53058</v>
      </c>
      <c r="F122" s="68">
        <f>TRUNC(23.32,2)</f>
        <v>23.32</v>
      </c>
      <c r="G122" s="63">
        <f>TRUNC(E122*F122,2)</f>
        <v>35.69</v>
      </c>
      <c r="H122" s="63"/>
      <c r="I122" s="64"/>
    </row>
    <row r="123" spans="2:9" s="67" customFormat="1" ht="14.25">
      <c r="B123" s="67" t="s">
        <v>89</v>
      </c>
      <c r="C123" s="67" t="s">
        <v>90</v>
      </c>
      <c r="D123" s="67" t="s">
        <v>6</v>
      </c>
      <c r="E123" s="67">
        <v>1.53058</v>
      </c>
      <c r="F123" s="68">
        <f>TRUNC(15.69,2)</f>
        <v>15.69</v>
      </c>
      <c r="G123" s="63">
        <f>TRUNC(E123*F123,2)</f>
        <v>24.01</v>
      </c>
      <c r="H123" s="63"/>
      <c r="I123" s="64"/>
    </row>
    <row r="124" spans="5:9" s="67" customFormat="1" ht="14.25">
      <c r="E124" s="67" t="s">
        <v>7</v>
      </c>
      <c r="F124" s="68"/>
      <c r="G124" s="63">
        <f>TRUNC(SUM(G121:G123),2)</f>
        <v>144.11</v>
      </c>
      <c r="H124" s="63"/>
      <c r="I124" s="64"/>
    </row>
    <row r="125" spans="1:9" s="94" customFormat="1" ht="28.5">
      <c r="A125" s="94" t="s">
        <v>581</v>
      </c>
      <c r="B125" s="94" t="s">
        <v>559</v>
      </c>
      <c r="C125" s="94" t="s">
        <v>560</v>
      </c>
      <c r="D125" s="94" t="s">
        <v>12</v>
      </c>
      <c r="E125" s="94">
        <v>6</v>
      </c>
      <c r="F125" s="95">
        <f>TRUNC(G129,2)</f>
        <v>111.73</v>
      </c>
      <c r="G125" s="90">
        <f>TRUNC(F125*1.2882,2)</f>
        <v>143.93</v>
      </c>
      <c r="H125" s="90">
        <f>TRUNC(F125*E125,2)</f>
        <v>670.38</v>
      </c>
      <c r="I125" s="91">
        <f>TRUNC(E125*G125,2)</f>
        <v>863.58</v>
      </c>
    </row>
    <row r="126" spans="2:9" s="67" customFormat="1" ht="14.25">
      <c r="B126" s="67" t="s">
        <v>561</v>
      </c>
      <c r="C126" s="67" t="s">
        <v>562</v>
      </c>
      <c r="D126" s="67" t="s">
        <v>12</v>
      </c>
      <c r="E126" s="67">
        <v>1</v>
      </c>
      <c r="F126" s="68">
        <f>TRUNC(69.96,2)</f>
        <v>69.96</v>
      </c>
      <c r="G126" s="63">
        <f>TRUNC(E126*F126,2)</f>
        <v>69.96</v>
      </c>
      <c r="H126" s="63"/>
      <c r="I126" s="64"/>
    </row>
    <row r="127" spans="2:9" s="67" customFormat="1" ht="28.5">
      <c r="B127" s="67" t="s">
        <v>56</v>
      </c>
      <c r="C127" s="67" t="s">
        <v>57</v>
      </c>
      <c r="D127" s="67" t="s">
        <v>6</v>
      </c>
      <c r="E127" s="67">
        <v>1.236</v>
      </c>
      <c r="F127" s="68">
        <f>TRUNC(13.6,2)</f>
        <v>13.6</v>
      </c>
      <c r="G127" s="63">
        <f>TRUNC(E127*F127,2)</f>
        <v>16.8</v>
      </c>
      <c r="H127" s="63"/>
      <c r="I127" s="64"/>
    </row>
    <row r="128" spans="2:9" s="67" customFormat="1" ht="28.5">
      <c r="B128" s="67" t="s">
        <v>60</v>
      </c>
      <c r="C128" s="67" t="s">
        <v>61</v>
      </c>
      <c r="D128" s="67" t="s">
        <v>6</v>
      </c>
      <c r="E128" s="67">
        <v>1.236</v>
      </c>
      <c r="F128" s="68">
        <f>TRUNC(20.21,2)</f>
        <v>20.21</v>
      </c>
      <c r="G128" s="63">
        <f>TRUNC(E128*F128,2)</f>
        <v>24.97</v>
      </c>
      <c r="H128" s="63"/>
      <c r="I128" s="64"/>
    </row>
    <row r="129" spans="5:9" s="67" customFormat="1" ht="14.25">
      <c r="E129" s="67" t="s">
        <v>7</v>
      </c>
      <c r="F129" s="68"/>
      <c r="G129" s="63">
        <f>TRUNC(SUM(G126:G128),2)</f>
        <v>111.73</v>
      </c>
      <c r="H129" s="63"/>
      <c r="I129" s="64"/>
    </row>
    <row r="130" spans="1:9" s="94" customFormat="1" ht="28.5">
      <c r="A130" s="94" t="s">
        <v>582</v>
      </c>
      <c r="B130" s="94" t="s">
        <v>563</v>
      </c>
      <c r="C130" s="94" t="s">
        <v>564</v>
      </c>
      <c r="D130" s="94" t="s">
        <v>12</v>
      </c>
      <c r="E130" s="94">
        <v>5</v>
      </c>
      <c r="F130" s="95">
        <f>TRUNC(G134,2)</f>
        <v>99.65</v>
      </c>
      <c r="G130" s="90">
        <f>TRUNC(F130*1.2882,2)</f>
        <v>128.36</v>
      </c>
      <c r="H130" s="90">
        <f>TRUNC(F130*E130,2)</f>
        <v>498.25</v>
      </c>
      <c r="I130" s="91">
        <f>TRUNC(E130*G130,2)</f>
        <v>641.8</v>
      </c>
    </row>
    <row r="131" spans="2:9" s="67" customFormat="1" ht="14.25">
      <c r="B131" s="67" t="s">
        <v>565</v>
      </c>
      <c r="C131" s="67" t="s">
        <v>566</v>
      </c>
      <c r="D131" s="67" t="s">
        <v>12</v>
      </c>
      <c r="E131" s="67">
        <v>1</v>
      </c>
      <c r="F131" s="68">
        <f>TRUNC(64.84,2)</f>
        <v>64.84</v>
      </c>
      <c r="G131" s="63">
        <f>TRUNC(E131*F131,2)</f>
        <v>64.84</v>
      </c>
      <c r="H131" s="63"/>
      <c r="I131" s="64"/>
    </row>
    <row r="132" spans="2:9" s="67" customFormat="1" ht="28.5">
      <c r="B132" s="67" t="s">
        <v>56</v>
      </c>
      <c r="C132" s="67" t="s">
        <v>57</v>
      </c>
      <c r="D132" s="67" t="s">
        <v>6</v>
      </c>
      <c r="E132" s="67">
        <v>1.03</v>
      </c>
      <c r="F132" s="68">
        <f>TRUNC(13.6,2)</f>
        <v>13.6</v>
      </c>
      <c r="G132" s="63">
        <f>TRUNC(E132*F132,2)</f>
        <v>14</v>
      </c>
      <c r="H132" s="63"/>
      <c r="I132" s="64"/>
    </row>
    <row r="133" spans="2:9" s="67" customFormat="1" ht="28.5">
      <c r="B133" s="67" t="s">
        <v>60</v>
      </c>
      <c r="C133" s="67" t="s">
        <v>61</v>
      </c>
      <c r="D133" s="67" t="s">
        <v>6</v>
      </c>
      <c r="E133" s="67">
        <v>1.03</v>
      </c>
      <c r="F133" s="68">
        <f>TRUNC(20.21,2)</f>
        <v>20.21</v>
      </c>
      <c r="G133" s="63">
        <f>TRUNC(E133*F133,2)</f>
        <v>20.81</v>
      </c>
      <c r="H133" s="63"/>
      <c r="I133" s="64"/>
    </row>
    <row r="134" spans="5:9" s="67" customFormat="1" ht="14.25">
      <c r="E134" s="67" t="s">
        <v>7</v>
      </c>
      <c r="F134" s="68"/>
      <c r="G134" s="63">
        <f>TRUNC(SUM(G131:G133),2)</f>
        <v>99.65</v>
      </c>
      <c r="H134" s="63"/>
      <c r="I134" s="64"/>
    </row>
    <row r="135" spans="1:9" s="94" customFormat="1" ht="42.75">
      <c r="A135" s="94" t="s">
        <v>583</v>
      </c>
      <c r="B135" s="94" t="s">
        <v>311</v>
      </c>
      <c r="C135" s="94" t="s">
        <v>312</v>
      </c>
      <c r="D135" s="94" t="s">
        <v>12</v>
      </c>
      <c r="E135" s="94">
        <v>1</v>
      </c>
      <c r="F135" s="95">
        <f>TRUNC(G143,2)</f>
        <v>409.17</v>
      </c>
      <c r="G135" s="90">
        <f>TRUNC(F135*1.2882,2)</f>
        <v>527.09</v>
      </c>
      <c r="H135" s="90">
        <f>TRUNC(F135*E135,2)</f>
        <v>409.17</v>
      </c>
      <c r="I135" s="91">
        <f>TRUNC(E135*G135,2)</f>
        <v>527.09</v>
      </c>
    </row>
    <row r="136" spans="2:9" s="67" customFormat="1" ht="14.25">
      <c r="B136" s="67" t="s">
        <v>172</v>
      </c>
      <c r="C136" s="67" t="s">
        <v>173</v>
      </c>
      <c r="D136" s="67" t="s">
        <v>3</v>
      </c>
      <c r="E136" s="67">
        <v>10.6</v>
      </c>
      <c r="F136" s="68">
        <f>TRUNC(3.27,2)</f>
        <v>3.27</v>
      </c>
      <c r="G136" s="63">
        <f aca="true" t="shared" si="4" ref="G136:G142">TRUNC(E136*F136,2)</f>
        <v>34.66</v>
      </c>
      <c r="H136" s="63"/>
      <c r="I136" s="64"/>
    </row>
    <row r="137" spans="2:9" s="67" customFormat="1" ht="14.25">
      <c r="B137" s="67" t="s">
        <v>174</v>
      </c>
      <c r="C137" s="67" t="s">
        <v>175</v>
      </c>
      <c r="D137" s="67" t="s">
        <v>3</v>
      </c>
      <c r="E137" s="67">
        <v>5.3</v>
      </c>
      <c r="F137" s="68">
        <f>TRUNC(16.3,2)</f>
        <v>16.3</v>
      </c>
      <c r="G137" s="63">
        <f t="shared" si="4"/>
        <v>86.39</v>
      </c>
      <c r="H137" s="63"/>
      <c r="I137" s="64"/>
    </row>
    <row r="138" spans="2:9" s="67" customFormat="1" ht="14.25">
      <c r="B138" s="67" t="s">
        <v>313</v>
      </c>
      <c r="C138" s="67" t="s">
        <v>314</v>
      </c>
      <c r="D138" s="67" t="s">
        <v>12</v>
      </c>
      <c r="E138" s="67">
        <v>1</v>
      </c>
      <c r="F138" s="68">
        <f>TRUNC(71.07,2)</f>
        <v>71.07</v>
      </c>
      <c r="G138" s="63">
        <f t="shared" si="4"/>
        <v>71.07</v>
      </c>
      <c r="H138" s="63"/>
      <c r="I138" s="64"/>
    </row>
    <row r="139" spans="2:9" s="67" customFormat="1" ht="28.5">
      <c r="B139" s="67" t="s">
        <v>4</v>
      </c>
      <c r="C139" s="67" t="s">
        <v>55</v>
      </c>
      <c r="D139" s="67" t="s">
        <v>5</v>
      </c>
      <c r="E139" s="67">
        <v>0.16</v>
      </c>
      <c r="F139" s="68">
        <f>TRUNC(10.3,2)</f>
        <v>10.3</v>
      </c>
      <c r="G139" s="63">
        <f t="shared" si="4"/>
        <v>1.64</v>
      </c>
      <c r="H139" s="63"/>
      <c r="I139" s="64"/>
    </row>
    <row r="140" spans="2:9" s="67" customFormat="1" ht="28.5">
      <c r="B140" s="67" t="s">
        <v>56</v>
      </c>
      <c r="C140" s="67" t="s">
        <v>57</v>
      </c>
      <c r="D140" s="67" t="s">
        <v>6</v>
      </c>
      <c r="E140" s="67">
        <v>6.18</v>
      </c>
      <c r="F140" s="68">
        <f>TRUNC(13.6,2)</f>
        <v>13.6</v>
      </c>
      <c r="G140" s="63">
        <f t="shared" si="4"/>
        <v>84.04</v>
      </c>
      <c r="H140" s="63"/>
      <c r="I140" s="64"/>
    </row>
    <row r="141" spans="2:9" s="67" customFormat="1" ht="28.5">
      <c r="B141" s="67" t="s">
        <v>60</v>
      </c>
      <c r="C141" s="67" t="s">
        <v>61</v>
      </c>
      <c r="D141" s="67" t="s">
        <v>6</v>
      </c>
      <c r="E141" s="67">
        <v>6.18</v>
      </c>
      <c r="F141" s="68">
        <f>TRUNC(20.21,2)</f>
        <v>20.21</v>
      </c>
      <c r="G141" s="63">
        <f t="shared" si="4"/>
        <v>124.89</v>
      </c>
      <c r="H141" s="63"/>
      <c r="I141" s="64"/>
    </row>
    <row r="142" spans="2:9" s="67" customFormat="1" ht="14.25">
      <c r="B142" s="67" t="s">
        <v>272</v>
      </c>
      <c r="C142" s="67" t="s">
        <v>273</v>
      </c>
      <c r="D142" s="67" t="s">
        <v>12</v>
      </c>
      <c r="E142" s="67">
        <v>6</v>
      </c>
      <c r="F142" s="68">
        <f>TRUNC(1.0861,2)</f>
        <v>1.08</v>
      </c>
      <c r="G142" s="63">
        <f t="shared" si="4"/>
        <v>6.48</v>
      </c>
      <c r="H142" s="63"/>
      <c r="I142" s="64"/>
    </row>
    <row r="143" spans="5:9" s="67" customFormat="1" ht="14.25">
      <c r="E143" s="67" t="s">
        <v>7</v>
      </c>
      <c r="F143" s="68"/>
      <c r="G143" s="63">
        <f>TRUNC(SUM(G136:G142),2)</f>
        <v>409.17</v>
      </c>
      <c r="H143" s="63"/>
      <c r="I143" s="64"/>
    </row>
    <row r="144" spans="1:9" s="94" customFormat="1" ht="42.75">
      <c r="A144" s="94" t="s">
        <v>584</v>
      </c>
      <c r="B144" s="94" t="s">
        <v>315</v>
      </c>
      <c r="C144" s="94" t="s">
        <v>316</v>
      </c>
      <c r="D144" s="94" t="s">
        <v>12</v>
      </c>
      <c r="E144" s="94">
        <v>1</v>
      </c>
      <c r="F144" s="95">
        <f>TRUNC(G152,2)</f>
        <v>452.17</v>
      </c>
      <c r="G144" s="90">
        <f>TRUNC(F144*1.2882,2)</f>
        <v>582.48</v>
      </c>
      <c r="H144" s="90">
        <f>TRUNC(F144*E144,2)</f>
        <v>452.17</v>
      </c>
      <c r="I144" s="91">
        <f>TRUNC(E144*G144,2)</f>
        <v>582.48</v>
      </c>
    </row>
    <row r="145" spans="2:9" s="67" customFormat="1" ht="14.25">
      <c r="B145" s="67" t="s">
        <v>317</v>
      </c>
      <c r="C145" s="67" t="s">
        <v>318</v>
      </c>
      <c r="D145" s="67" t="s">
        <v>12</v>
      </c>
      <c r="E145" s="67">
        <v>1</v>
      </c>
      <c r="F145" s="68">
        <f>TRUNC(109.5,2)</f>
        <v>109.5</v>
      </c>
      <c r="G145" s="63">
        <f aca="true" t="shared" si="5" ref="G145:G151">TRUNC(E145*F145,2)</f>
        <v>109.5</v>
      </c>
      <c r="H145" s="63"/>
      <c r="I145" s="64"/>
    </row>
    <row r="146" spans="2:9" s="67" customFormat="1" ht="14.25">
      <c r="B146" s="67" t="s">
        <v>172</v>
      </c>
      <c r="C146" s="67" t="s">
        <v>173</v>
      </c>
      <c r="D146" s="67" t="s">
        <v>3</v>
      </c>
      <c r="E146" s="67">
        <v>11</v>
      </c>
      <c r="F146" s="68">
        <f>TRUNC(3.27,2)</f>
        <v>3.27</v>
      </c>
      <c r="G146" s="63">
        <f t="shared" si="5"/>
        <v>35.97</v>
      </c>
      <c r="H146" s="63"/>
      <c r="I146" s="64"/>
    </row>
    <row r="147" spans="2:9" s="67" customFormat="1" ht="14.25">
      <c r="B147" s="67" t="s">
        <v>174</v>
      </c>
      <c r="C147" s="67" t="s">
        <v>175</v>
      </c>
      <c r="D147" s="67" t="s">
        <v>3</v>
      </c>
      <c r="E147" s="67">
        <v>5.5</v>
      </c>
      <c r="F147" s="68">
        <f>TRUNC(16.3,2)</f>
        <v>16.3</v>
      </c>
      <c r="G147" s="63">
        <f t="shared" si="5"/>
        <v>89.65</v>
      </c>
      <c r="H147" s="63"/>
      <c r="I147" s="64"/>
    </row>
    <row r="148" spans="2:9" s="67" customFormat="1" ht="28.5">
      <c r="B148" s="67" t="s">
        <v>4</v>
      </c>
      <c r="C148" s="67" t="s">
        <v>55</v>
      </c>
      <c r="D148" s="67" t="s">
        <v>5</v>
      </c>
      <c r="E148" s="67">
        <v>0.16</v>
      </c>
      <c r="F148" s="68">
        <f>TRUNC(10.3,2)</f>
        <v>10.3</v>
      </c>
      <c r="G148" s="63">
        <f t="shared" si="5"/>
        <v>1.64</v>
      </c>
      <c r="H148" s="63"/>
      <c r="I148" s="64"/>
    </row>
    <row r="149" spans="2:9" s="67" customFormat="1" ht="28.5">
      <c r="B149" s="67" t="s">
        <v>56</v>
      </c>
      <c r="C149" s="67" t="s">
        <v>57</v>
      </c>
      <c r="D149" s="67" t="s">
        <v>6</v>
      </c>
      <c r="E149" s="67">
        <v>6.18</v>
      </c>
      <c r="F149" s="68">
        <f>TRUNC(13.6,2)</f>
        <v>13.6</v>
      </c>
      <c r="G149" s="63">
        <f t="shared" si="5"/>
        <v>84.04</v>
      </c>
      <c r="H149" s="63"/>
      <c r="I149" s="64"/>
    </row>
    <row r="150" spans="2:9" s="67" customFormat="1" ht="28.5">
      <c r="B150" s="67" t="s">
        <v>60</v>
      </c>
      <c r="C150" s="67" t="s">
        <v>61</v>
      </c>
      <c r="D150" s="67" t="s">
        <v>6</v>
      </c>
      <c r="E150" s="67">
        <v>6.18</v>
      </c>
      <c r="F150" s="68">
        <f>TRUNC(20.21,2)</f>
        <v>20.21</v>
      </c>
      <c r="G150" s="63">
        <f t="shared" si="5"/>
        <v>124.89</v>
      </c>
      <c r="H150" s="63"/>
      <c r="I150" s="64"/>
    </row>
    <row r="151" spans="2:9" s="67" customFormat="1" ht="14.25">
      <c r="B151" s="67" t="s">
        <v>272</v>
      </c>
      <c r="C151" s="67" t="s">
        <v>273</v>
      </c>
      <c r="D151" s="67" t="s">
        <v>12</v>
      </c>
      <c r="E151" s="67">
        <v>6</v>
      </c>
      <c r="F151" s="68">
        <f>TRUNC(1.0861,2)</f>
        <v>1.08</v>
      </c>
      <c r="G151" s="63">
        <f t="shared" si="5"/>
        <v>6.48</v>
      </c>
      <c r="H151" s="63"/>
      <c r="I151" s="64"/>
    </row>
    <row r="152" spans="5:9" s="67" customFormat="1" ht="14.25">
      <c r="E152" s="67" t="s">
        <v>7</v>
      </c>
      <c r="F152" s="68"/>
      <c r="G152" s="63">
        <f>TRUNC(SUM(G145:G151),2)</f>
        <v>452.17</v>
      </c>
      <c r="H152" s="63"/>
      <c r="I152" s="64"/>
    </row>
    <row r="153" spans="1:9" s="94" customFormat="1" ht="42.75">
      <c r="A153" s="94" t="s">
        <v>585</v>
      </c>
      <c r="B153" s="94" t="s">
        <v>462</v>
      </c>
      <c r="C153" s="94" t="s">
        <v>463</v>
      </c>
      <c r="D153" s="94" t="s">
        <v>0</v>
      </c>
      <c r="E153" s="94">
        <v>11.75</v>
      </c>
      <c r="F153" s="95">
        <f>TRUNC(G159,2)</f>
        <v>252.61</v>
      </c>
      <c r="G153" s="90">
        <f>TRUNC(F153*1.2882,2)</f>
        <v>325.41</v>
      </c>
      <c r="H153" s="90">
        <f>TRUNC(F153*E153,2)</f>
        <v>2968.16</v>
      </c>
      <c r="I153" s="91">
        <f>TRUNC(E153*G153,2)</f>
        <v>3823.56</v>
      </c>
    </row>
    <row r="154" spans="2:9" s="67" customFormat="1" ht="14.25">
      <c r="B154" s="67" t="s">
        <v>464</v>
      </c>
      <c r="C154" s="67" t="s">
        <v>465</v>
      </c>
      <c r="D154" s="67" t="s">
        <v>12</v>
      </c>
      <c r="E154" s="67">
        <v>0.6233</v>
      </c>
      <c r="F154" s="68">
        <f>TRUNC(16.1,2)</f>
        <v>16.1</v>
      </c>
      <c r="G154" s="63">
        <f>TRUNC(E154*F154,2)</f>
        <v>10.03</v>
      </c>
      <c r="H154" s="63"/>
      <c r="I154" s="64"/>
    </row>
    <row r="155" spans="2:9" s="67" customFormat="1" ht="28.5">
      <c r="B155" s="67" t="s">
        <v>466</v>
      </c>
      <c r="C155" s="67" t="s">
        <v>467</v>
      </c>
      <c r="D155" s="67" t="s">
        <v>12</v>
      </c>
      <c r="E155" s="67">
        <v>0.694</v>
      </c>
      <c r="F155" s="68">
        <f>TRUNC(321.58,2)</f>
        <v>321.58</v>
      </c>
      <c r="G155" s="63">
        <f>TRUNC(E155*F155,2)</f>
        <v>223.17</v>
      </c>
      <c r="H155" s="63"/>
      <c r="I155" s="64"/>
    </row>
    <row r="156" spans="2:9" s="67" customFormat="1" ht="28.5">
      <c r="B156" s="67" t="s">
        <v>468</v>
      </c>
      <c r="C156" s="67" t="s">
        <v>469</v>
      </c>
      <c r="D156" s="67" t="s">
        <v>12</v>
      </c>
      <c r="E156" s="67">
        <v>9.2</v>
      </c>
      <c r="F156" s="68">
        <f>TRUNC(0.12,2)</f>
        <v>0.12</v>
      </c>
      <c r="G156" s="63">
        <f>TRUNC(E156*F156,2)</f>
        <v>1.1</v>
      </c>
      <c r="H156" s="63"/>
      <c r="I156" s="64"/>
    </row>
    <row r="157" spans="2:9" s="67" customFormat="1" ht="14.25">
      <c r="B157" s="67" t="s">
        <v>319</v>
      </c>
      <c r="C157" s="67" t="s">
        <v>78</v>
      </c>
      <c r="D157" s="67" t="s">
        <v>6</v>
      </c>
      <c r="E157" s="67">
        <v>0.259</v>
      </c>
      <c r="F157" s="68">
        <f>TRUNC(20.11,2)</f>
        <v>20.11</v>
      </c>
      <c r="G157" s="63">
        <f>TRUNC(E157*F157,2)</f>
        <v>5.2</v>
      </c>
      <c r="H157" s="63"/>
      <c r="I157" s="64"/>
    </row>
    <row r="158" spans="2:9" s="67" customFormat="1" ht="14.25">
      <c r="B158" s="67" t="s">
        <v>320</v>
      </c>
      <c r="C158" s="67" t="s">
        <v>105</v>
      </c>
      <c r="D158" s="67" t="s">
        <v>6</v>
      </c>
      <c r="E158" s="67">
        <v>0.519</v>
      </c>
      <c r="F158" s="68">
        <f>TRUNC(25.27,2)</f>
        <v>25.27</v>
      </c>
      <c r="G158" s="63">
        <f>TRUNC(E158*F158,2)</f>
        <v>13.11</v>
      </c>
      <c r="H158" s="63"/>
      <c r="I158" s="64"/>
    </row>
    <row r="159" spans="5:9" s="67" customFormat="1" ht="14.25">
      <c r="E159" s="67" t="s">
        <v>7</v>
      </c>
      <c r="F159" s="68"/>
      <c r="G159" s="63">
        <f>TRUNC(SUM(G154:G158),2)</f>
        <v>252.61</v>
      </c>
      <c r="H159" s="63"/>
      <c r="I159" s="64"/>
    </row>
    <row r="160" spans="1:9" s="94" customFormat="1" ht="42.75">
      <c r="A160" s="94" t="s">
        <v>586</v>
      </c>
      <c r="B160" s="94" t="s">
        <v>470</v>
      </c>
      <c r="C160" s="94" t="s">
        <v>471</v>
      </c>
      <c r="D160" s="94" t="s">
        <v>0</v>
      </c>
      <c r="E160" s="94">
        <v>4.25</v>
      </c>
      <c r="F160" s="95">
        <f>TRUNC(G165,2)</f>
        <v>491.82</v>
      </c>
      <c r="G160" s="90">
        <f>TRUNC(F160*1.2882,2)</f>
        <v>633.56</v>
      </c>
      <c r="H160" s="90">
        <f>TRUNC(F160*E160,2)</f>
        <v>2090.23</v>
      </c>
      <c r="I160" s="91">
        <f>TRUNC(E160*G160,2)</f>
        <v>2692.63</v>
      </c>
    </row>
    <row r="161" spans="2:9" s="76" customFormat="1" ht="15">
      <c r="B161" s="76" t="s">
        <v>180</v>
      </c>
      <c r="C161" s="76" t="s">
        <v>181</v>
      </c>
      <c r="D161" s="76" t="s">
        <v>0</v>
      </c>
      <c r="E161" s="76">
        <v>1</v>
      </c>
      <c r="F161" s="79">
        <v>142</v>
      </c>
      <c r="G161" s="77">
        <f>TRUNC(E161*F161,2)</f>
        <v>142</v>
      </c>
      <c r="H161" s="77"/>
      <c r="I161" s="78"/>
    </row>
    <row r="162" spans="2:9" s="67" customFormat="1" ht="14.25">
      <c r="B162" s="67" t="s">
        <v>178</v>
      </c>
      <c r="C162" s="67" t="s">
        <v>179</v>
      </c>
      <c r="D162" s="67" t="s">
        <v>5</v>
      </c>
      <c r="E162" s="67">
        <v>12.177</v>
      </c>
      <c r="F162" s="68">
        <f>TRUNC(20.15,2)</f>
        <v>20.15</v>
      </c>
      <c r="G162" s="63">
        <f>TRUNC(E162*F162,2)</f>
        <v>245.36</v>
      </c>
      <c r="H162" s="63"/>
      <c r="I162" s="64"/>
    </row>
    <row r="163" spans="2:9" s="67" customFormat="1" ht="28.5">
      <c r="B163" s="67" t="s">
        <v>56</v>
      </c>
      <c r="C163" s="67" t="s">
        <v>57</v>
      </c>
      <c r="D163" s="67" t="s">
        <v>6</v>
      </c>
      <c r="E163" s="67">
        <v>3.09</v>
      </c>
      <c r="F163" s="68">
        <f>TRUNC(13.6,2)</f>
        <v>13.6</v>
      </c>
      <c r="G163" s="63">
        <f>TRUNC(E163*F163,2)</f>
        <v>42.02</v>
      </c>
      <c r="H163" s="63"/>
      <c r="I163" s="64"/>
    </row>
    <row r="164" spans="2:9" s="67" customFormat="1" ht="28.5">
      <c r="B164" s="67" t="s">
        <v>67</v>
      </c>
      <c r="C164" s="67" t="s">
        <v>68</v>
      </c>
      <c r="D164" s="67" t="s">
        <v>6</v>
      </c>
      <c r="E164" s="67">
        <v>3.09</v>
      </c>
      <c r="F164" s="68">
        <f>TRUNC(20.21,2)</f>
        <v>20.21</v>
      </c>
      <c r="G164" s="63">
        <f>TRUNC(E164*F164,2)</f>
        <v>62.44</v>
      </c>
      <c r="H164" s="63"/>
      <c r="I164" s="64"/>
    </row>
    <row r="165" spans="5:9" s="67" customFormat="1" ht="14.25">
      <c r="E165" s="67" t="s">
        <v>7</v>
      </c>
      <c r="F165" s="68"/>
      <c r="G165" s="63">
        <f>TRUNC(SUM(G161:G164),2)</f>
        <v>491.82</v>
      </c>
      <c r="H165" s="63"/>
      <c r="I165" s="64"/>
    </row>
    <row r="166" spans="1:9" s="94" customFormat="1" ht="42.75">
      <c r="A166" s="94" t="s">
        <v>587</v>
      </c>
      <c r="B166" s="94" t="s">
        <v>441</v>
      </c>
      <c r="C166" s="94" t="s">
        <v>442</v>
      </c>
      <c r="D166" s="94" t="s">
        <v>0</v>
      </c>
      <c r="E166" s="94">
        <v>26.15</v>
      </c>
      <c r="F166" s="95">
        <f>TRUNC(G170,2)</f>
        <v>171.69</v>
      </c>
      <c r="G166" s="90">
        <f>TRUNC(F166*1.2882,2)</f>
        <v>221.17</v>
      </c>
      <c r="H166" s="90">
        <f>TRUNC(F166*E166,2)</f>
        <v>4489.69</v>
      </c>
      <c r="I166" s="91">
        <f>TRUNC(E166*G166,2)</f>
        <v>5783.59</v>
      </c>
    </row>
    <row r="167" spans="2:9" s="67" customFormat="1" ht="14.25">
      <c r="B167" s="67" t="s">
        <v>443</v>
      </c>
      <c r="C167" s="67" t="s">
        <v>444</v>
      </c>
      <c r="D167" s="67" t="s">
        <v>0</v>
      </c>
      <c r="E167" s="67">
        <v>1</v>
      </c>
      <c r="F167" s="68">
        <f>TRUNC(77,2)</f>
        <v>77</v>
      </c>
      <c r="G167" s="63">
        <f>TRUNC(E167*F167,2)</f>
        <v>77</v>
      </c>
      <c r="H167" s="63"/>
      <c r="I167" s="64"/>
    </row>
    <row r="168" spans="2:9" s="67" customFormat="1" ht="28.5">
      <c r="B168" s="67" t="s">
        <v>56</v>
      </c>
      <c r="C168" s="67" t="s">
        <v>57</v>
      </c>
      <c r="D168" s="67" t="s">
        <v>6</v>
      </c>
      <c r="E168" s="67">
        <v>4.12</v>
      </c>
      <c r="F168" s="68">
        <f>TRUNC(13.6,2)</f>
        <v>13.6</v>
      </c>
      <c r="G168" s="63">
        <f>TRUNC(E168*F168,2)</f>
        <v>56.03</v>
      </c>
      <c r="H168" s="63"/>
      <c r="I168" s="64"/>
    </row>
    <row r="169" spans="2:9" s="67" customFormat="1" ht="14.25">
      <c r="B169" s="67" t="s">
        <v>65</v>
      </c>
      <c r="C169" s="67" t="s">
        <v>66</v>
      </c>
      <c r="D169" s="67" t="s">
        <v>6</v>
      </c>
      <c r="E169" s="67">
        <v>2.06</v>
      </c>
      <c r="F169" s="68">
        <f>TRUNC(18.77,2)</f>
        <v>18.77</v>
      </c>
      <c r="G169" s="63">
        <f>TRUNC(E169*F169,2)</f>
        <v>38.66</v>
      </c>
      <c r="H169" s="63"/>
      <c r="I169" s="64"/>
    </row>
    <row r="170" spans="5:9" s="67" customFormat="1" ht="14.25">
      <c r="E170" s="67" t="s">
        <v>7</v>
      </c>
      <c r="F170" s="68"/>
      <c r="G170" s="63">
        <f>TRUNC(SUM(G167:G169),2)</f>
        <v>171.69</v>
      </c>
      <c r="H170" s="63"/>
      <c r="I170" s="64"/>
    </row>
    <row r="171" spans="1:9" s="44" customFormat="1" ht="15.75">
      <c r="A171" s="53" t="s">
        <v>44</v>
      </c>
      <c r="B171" s="55"/>
      <c r="C171" s="54"/>
      <c r="D171" s="55"/>
      <c r="E171" s="55"/>
      <c r="F171" s="55"/>
      <c r="G171" s="55" t="s">
        <v>46</v>
      </c>
      <c r="H171" s="58">
        <f>H166+H160+H153+H144+H135+H116+H130+H125+H120</f>
        <v>12351.47</v>
      </c>
      <c r="I171" s="58">
        <f>I166+I160+I153+I144+I135+I116+I130+I125+I120</f>
        <v>15911.03</v>
      </c>
    </row>
    <row r="172" spans="1:9" s="43" customFormat="1" ht="15.75">
      <c r="A172" s="43" t="s">
        <v>18</v>
      </c>
      <c r="B172" s="51"/>
      <c r="C172" s="52" t="s">
        <v>53</v>
      </c>
      <c r="D172" s="52"/>
      <c r="E172" s="52"/>
      <c r="F172" s="52"/>
      <c r="G172" s="52"/>
      <c r="H172" s="52"/>
      <c r="I172" s="50"/>
    </row>
    <row r="173" spans="1:9" s="94" customFormat="1" ht="71.25">
      <c r="A173" s="94" t="s">
        <v>13</v>
      </c>
      <c r="B173" s="94" t="s">
        <v>116</v>
      </c>
      <c r="C173" s="94" t="s">
        <v>117</v>
      </c>
      <c r="D173" s="94" t="s">
        <v>0</v>
      </c>
      <c r="E173" s="94">
        <v>146.85</v>
      </c>
      <c r="F173" s="95">
        <f>TRUNC(G179,2)</f>
        <v>14.41</v>
      </c>
      <c r="G173" s="90">
        <f>TRUNC(F173*1.2882,2)</f>
        <v>18.56</v>
      </c>
      <c r="H173" s="90">
        <f>TRUNC(F173*E173,2)</f>
        <v>2116.1</v>
      </c>
      <c r="I173" s="91">
        <f>TRUNC(E173*G173,2)</f>
        <v>2725.53</v>
      </c>
    </row>
    <row r="174" spans="2:9" s="67" customFormat="1" ht="14.25">
      <c r="B174" s="67" t="s">
        <v>112</v>
      </c>
      <c r="C174" s="67" t="s">
        <v>113</v>
      </c>
      <c r="D174" s="67" t="s">
        <v>12</v>
      </c>
      <c r="E174" s="67">
        <v>0.5</v>
      </c>
      <c r="F174" s="68">
        <f>TRUNC(0.72,2)</f>
        <v>0.72</v>
      </c>
      <c r="G174" s="63">
        <f>TRUNC(E174*F174,2)</f>
        <v>0.36</v>
      </c>
      <c r="H174" s="63"/>
      <c r="I174" s="64"/>
    </row>
    <row r="175" spans="2:9" s="67" customFormat="1" ht="14.25">
      <c r="B175" s="67" t="s">
        <v>114</v>
      </c>
      <c r="C175" s="67" t="s">
        <v>115</v>
      </c>
      <c r="D175" s="67" t="s">
        <v>43</v>
      </c>
      <c r="E175" s="67">
        <v>0.04</v>
      </c>
      <c r="F175" s="68">
        <f>TRUNC(14.51,2)</f>
        <v>14.51</v>
      </c>
      <c r="G175" s="63">
        <f>TRUNC(E175*F175,2)</f>
        <v>0.58</v>
      </c>
      <c r="H175" s="63"/>
      <c r="I175" s="64"/>
    </row>
    <row r="176" spans="2:9" s="67" customFormat="1" ht="28.5">
      <c r="B176" s="67" t="s">
        <v>118</v>
      </c>
      <c r="C176" s="67" t="s">
        <v>119</v>
      </c>
      <c r="D176" s="67" t="s">
        <v>12</v>
      </c>
      <c r="E176" s="67">
        <v>0.012</v>
      </c>
      <c r="F176" s="68">
        <f>TRUNC(355.25,2)</f>
        <v>355.25</v>
      </c>
      <c r="G176" s="63">
        <f>TRUNC(E176*F176,2)</f>
        <v>4.26</v>
      </c>
      <c r="H176" s="63"/>
      <c r="I176" s="64"/>
    </row>
    <row r="177" spans="2:9" s="67" customFormat="1" ht="28.5">
      <c r="B177" s="67" t="s">
        <v>56</v>
      </c>
      <c r="C177" s="67" t="s">
        <v>57</v>
      </c>
      <c r="D177" s="67" t="s">
        <v>6</v>
      </c>
      <c r="E177" s="67">
        <v>0.18025</v>
      </c>
      <c r="F177" s="68">
        <f>TRUNC(13.6,2)</f>
        <v>13.6</v>
      </c>
      <c r="G177" s="63">
        <f>TRUNC(E177*F177,2)</f>
        <v>2.45</v>
      </c>
      <c r="H177" s="63"/>
      <c r="I177" s="64"/>
    </row>
    <row r="178" spans="2:9" s="67" customFormat="1" ht="14.25">
      <c r="B178" s="67" t="s">
        <v>58</v>
      </c>
      <c r="C178" s="67" t="s">
        <v>59</v>
      </c>
      <c r="D178" s="67" t="s">
        <v>6</v>
      </c>
      <c r="E178" s="67">
        <v>0.3605</v>
      </c>
      <c r="F178" s="68">
        <f>TRUNC(18.77,2)</f>
        <v>18.77</v>
      </c>
      <c r="G178" s="63">
        <f>TRUNC(E178*F178,2)</f>
        <v>6.76</v>
      </c>
      <c r="H178" s="63"/>
      <c r="I178" s="64"/>
    </row>
    <row r="179" spans="5:9" s="67" customFormat="1" ht="14.25">
      <c r="E179" s="67" t="s">
        <v>7</v>
      </c>
      <c r="F179" s="68"/>
      <c r="G179" s="63">
        <f>TRUNC(SUM(G174:G178),2)</f>
        <v>14.41</v>
      </c>
      <c r="H179" s="63"/>
      <c r="I179" s="64"/>
    </row>
    <row r="180" spans="1:9" s="94" customFormat="1" ht="71.25">
      <c r="A180" s="94" t="s">
        <v>588</v>
      </c>
      <c r="B180" s="94" t="s">
        <v>274</v>
      </c>
      <c r="C180" s="94" t="s">
        <v>232</v>
      </c>
      <c r="D180" s="94" t="s">
        <v>0</v>
      </c>
      <c r="E180" s="94">
        <v>8.52</v>
      </c>
      <c r="F180" s="95">
        <f>TRUNC(G186,2)</f>
        <v>60.23</v>
      </c>
      <c r="G180" s="90">
        <f>TRUNC(F180*1.2882,2)</f>
        <v>77.58</v>
      </c>
      <c r="H180" s="90">
        <f>TRUNC(F180*E180,2)</f>
        <v>513.15</v>
      </c>
      <c r="I180" s="91">
        <f>TRUNC(E180*G180,2)</f>
        <v>660.98</v>
      </c>
    </row>
    <row r="181" spans="2:9" s="67" customFormat="1" ht="14.25">
      <c r="B181" s="67" t="s">
        <v>233</v>
      </c>
      <c r="C181" s="67" t="s">
        <v>234</v>
      </c>
      <c r="D181" s="67" t="s">
        <v>5</v>
      </c>
      <c r="E181" s="67">
        <v>2</v>
      </c>
      <c r="F181" s="68">
        <f>TRUNC(2.64,2)</f>
        <v>2.64</v>
      </c>
      <c r="G181" s="63">
        <f>TRUNC(E181*F181,2)</f>
        <v>5.28</v>
      </c>
      <c r="H181" s="63"/>
      <c r="I181" s="64"/>
    </row>
    <row r="182" spans="2:9" s="67" customFormat="1" ht="28.5">
      <c r="B182" s="67" t="s">
        <v>235</v>
      </c>
      <c r="C182" s="67" t="s">
        <v>236</v>
      </c>
      <c r="D182" s="67" t="s">
        <v>5</v>
      </c>
      <c r="E182" s="67">
        <v>3</v>
      </c>
      <c r="F182" s="68">
        <f>TRUNC(7.47,2)</f>
        <v>7.47</v>
      </c>
      <c r="G182" s="63">
        <f>TRUNC(E182*F182,2)</f>
        <v>22.41</v>
      </c>
      <c r="H182" s="63"/>
      <c r="I182" s="64"/>
    </row>
    <row r="183" spans="2:9" s="67" customFormat="1" ht="14.25">
      <c r="B183" s="67" t="s">
        <v>237</v>
      </c>
      <c r="C183" s="67" t="s">
        <v>238</v>
      </c>
      <c r="D183" s="67" t="s">
        <v>0</v>
      </c>
      <c r="E183" s="67">
        <v>1.1</v>
      </c>
      <c r="F183" s="68">
        <f>TRUNC(2.8,2)</f>
        <v>2.8</v>
      </c>
      <c r="G183" s="63">
        <f>TRUNC(E183*F183,2)</f>
        <v>3.08</v>
      </c>
      <c r="H183" s="63"/>
      <c r="I183" s="64"/>
    </row>
    <row r="184" spans="2:9" s="67" customFormat="1" ht="28.5">
      <c r="B184" s="67" t="s">
        <v>56</v>
      </c>
      <c r="C184" s="67" t="s">
        <v>57</v>
      </c>
      <c r="D184" s="67" t="s">
        <v>6</v>
      </c>
      <c r="E184" s="67">
        <v>1.03</v>
      </c>
      <c r="F184" s="68">
        <f>TRUNC(13.6,2)</f>
        <v>13.6</v>
      </c>
      <c r="G184" s="63">
        <f>TRUNC(E184*F184,2)</f>
        <v>14</v>
      </c>
      <c r="H184" s="63"/>
      <c r="I184" s="64"/>
    </row>
    <row r="185" spans="2:9" s="67" customFormat="1" ht="14.25">
      <c r="B185" s="67" t="s">
        <v>275</v>
      </c>
      <c r="C185" s="67" t="s">
        <v>276</v>
      </c>
      <c r="D185" s="67" t="s">
        <v>6</v>
      </c>
      <c r="E185" s="67">
        <v>0.8240000000000001</v>
      </c>
      <c r="F185" s="68">
        <f>TRUNC(18.77,2)</f>
        <v>18.77</v>
      </c>
      <c r="G185" s="63">
        <f>TRUNC(E185*F185,2)</f>
        <v>15.46</v>
      </c>
      <c r="H185" s="63"/>
      <c r="I185" s="64"/>
    </row>
    <row r="186" spans="5:9" s="67" customFormat="1" ht="14.25">
      <c r="E186" s="67" t="s">
        <v>7</v>
      </c>
      <c r="F186" s="68"/>
      <c r="G186" s="63">
        <f>TRUNC(SUM(G181:G185),2)</f>
        <v>60.23</v>
      </c>
      <c r="H186" s="63"/>
      <c r="I186" s="64"/>
    </row>
    <row r="187" spans="1:9" s="44" customFormat="1" ht="15.75">
      <c r="A187" s="53" t="s">
        <v>44</v>
      </c>
      <c r="B187" s="55"/>
      <c r="C187" s="54"/>
      <c r="D187" s="55"/>
      <c r="E187" s="55"/>
      <c r="F187" s="55" t="s">
        <v>48</v>
      </c>
      <c r="G187" s="55"/>
      <c r="H187" s="57">
        <f>H180+H173</f>
        <v>2629.25</v>
      </c>
      <c r="I187" s="57">
        <f>I180+I173</f>
        <v>3386.51</v>
      </c>
    </row>
    <row r="188" spans="1:9" s="43" customFormat="1" ht="15.75">
      <c r="A188" s="43" t="s">
        <v>19</v>
      </c>
      <c r="B188" s="51"/>
      <c r="C188" s="52" t="s">
        <v>221</v>
      </c>
      <c r="D188" s="52"/>
      <c r="E188" s="52"/>
      <c r="F188" s="52"/>
      <c r="G188" s="52"/>
      <c r="H188" s="52"/>
      <c r="I188" s="50"/>
    </row>
    <row r="189" spans="1:9" s="94" customFormat="1" ht="42.75">
      <c r="A189" s="94" t="s">
        <v>84</v>
      </c>
      <c r="B189" s="94" t="s">
        <v>277</v>
      </c>
      <c r="C189" s="94" t="s">
        <v>184</v>
      </c>
      <c r="D189" s="94" t="s">
        <v>12</v>
      </c>
      <c r="E189" s="94">
        <v>4</v>
      </c>
      <c r="F189" s="95">
        <f>TRUNC(G194,2)</f>
        <v>352.54</v>
      </c>
      <c r="G189" s="90">
        <f>TRUNC(F189*1.2882,2)</f>
        <v>454.14</v>
      </c>
      <c r="H189" s="90">
        <f>TRUNC(F189*E189,2)</f>
        <v>1410.16</v>
      </c>
      <c r="I189" s="91">
        <f>TRUNC(E189*G189,2)</f>
        <v>1816.56</v>
      </c>
    </row>
    <row r="190" spans="2:9" s="67" customFormat="1" ht="14.25">
      <c r="B190" s="67" t="s">
        <v>457</v>
      </c>
      <c r="C190" s="67" t="s">
        <v>458</v>
      </c>
      <c r="D190" s="67" t="s">
        <v>12</v>
      </c>
      <c r="E190" s="67">
        <v>1</v>
      </c>
      <c r="F190" s="68">
        <f>TRUNC(5.5,2)</f>
        <v>5.5</v>
      </c>
      <c r="G190" s="63">
        <f>TRUNC(E190*F190,2)</f>
        <v>5.5</v>
      </c>
      <c r="H190" s="63"/>
      <c r="I190" s="64"/>
    </row>
    <row r="191" spans="2:9" s="67" customFormat="1" ht="14.25">
      <c r="B191" s="67" t="s">
        <v>185</v>
      </c>
      <c r="C191" s="67" t="s">
        <v>476</v>
      </c>
      <c r="D191" s="67" t="s">
        <v>12</v>
      </c>
      <c r="E191" s="67">
        <v>1</v>
      </c>
      <c r="F191" s="68">
        <f>TRUNC(334.65,2)</f>
        <v>334.65</v>
      </c>
      <c r="G191" s="63">
        <f>TRUNC(E191*F191,2)</f>
        <v>334.65</v>
      </c>
      <c r="H191" s="63"/>
      <c r="I191" s="64"/>
    </row>
    <row r="192" spans="2:9" s="67" customFormat="1" ht="14.25">
      <c r="B192" s="67" t="s">
        <v>182</v>
      </c>
      <c r="C192" s="67" t="s">
        <v>183</v>
      </c>
      <c r="D192" s="67" t="s">
        <v>12</v>
      </c>
      <c r="E192" s="67">
        <v>1</v>
      </c>
      <c r="F192" s="68">
        <f>TRUNC(1.27,2)</f>
        <v>1.27</v>
      </c>
      <c r="G192" s="63">
        <f>TRUNC(E192*F192,2)</f>
        <v>1.27</v>
      </c>
      <c r="H192" s="63"/>
      <c r="I192" s="64"/>
    </row>
    <row r="193" spans="2:9" s="67" customFormat="1" ht="14.25">
      <c r="B193" s="67" t="s">
        <v>186</v>
      </c>
      <c r="C193" s="67" t="s">
        <v>187</v>
      </c>
      <c r="D193" s="67" t="s">
        <v>12</v>
      </c>
      <c r="E193" s="67">
        <v>1</v>
      </c>
      <c r="F193" s="68">
        <f>TRUNC(11.12,2)</f>
        <v>11.12</v>
      </c>
      <c r="G193" s="63">
        <f>TRUNC(E193*F193,2)</f>
        <v>11.12</v>
      </c>
      <c r="H193" s="63"/>
      <c r="I193" s="64"/>
    </row>
    <row r="194" spans="5:9" s="67" customFormat="1" ht="14.25">
      <c r="E194" s="67" t="s">
        <v>7</v>
      </c>
      <c r="F194" s="68"/>
      <c r="G194" s="63">
        <f>TRUNC(SUM(G190:G193),2)</f>
        <v>352.54</v>
      </c>
      <c r="H194" s="63"/>
      <c r="I194" s="64"/>
    </row>
    <row r="195" spans="1:9" s="94" customFormat="1" ht="28.5">
      <c r="A195" s="94" t="s">
        <v>85</v>
      </c>
      <c r="B195" s="94" t="s">
        <v>278</v>
      </c>
      <c r="C195" s="94" t="s">
        <v>188</v>
      </c>
      <c r="D195" s="94" t="s">
        <v>12</v>
      </c>
      <c r="E195" s="94">
        <v>5</v>
      </c>
      <c r="F195" s="95">
        <f>TRUNC(G200,2)</f>
        <v>27.33</v>
      </c>
      <c r="G195" s="90">
        <f>TRUNC(F195*1.2882,2)</f>
        <v>35.2</v>
      </c>
      <c r="H195" s="90">
        <f>TRUNC(F195*E195,2)</f>
        <v>136.65</v>
      </c>
      <c r="I195" s="91">
        <f>TRUNC(E195*G195,2)</f>
        <v>176</v>
      </c>
    </row>
    <row r="196" spans="2:9" s="67" customFormat="1" ht="14.25">
      <c r="B196" s="67" t="s">
        <v>157</v>
      </c>
      <c r="C196" s="67" t="s">
        <v>473</v>
      </c>
      <c r="D196" s="67" t="s">
        <v>12</v>
      </c>
      <c r="E196" s="67">
        <v>1</v>
      </c>
      <c r="F196" s="68">
        <f>TRUNC(5.73,2)</f>
        <v>5.73</v>
      </c>
      <c r="G196" s="63">
        <f>TRUNC(E196*F196,2)</f>
        <v>5.73</v>
      </c>
      <c r="H196" s="63"/>
      <c r="I196" s="64"/>
    </row>
    <row r="197" spans="2:9" s="67" customFormat="1" ht="14.25">
      <c r="B197" s="67" t="s">
        <v>80</v>
      </c>
      <c r="C197" s="67" t="s">
        <v>81</v>
      </c>
      <c r="D197" s="67" t="s">
        <v>12</v>
      </c>
      <c r="E197" s="67">
        <v>0.001</v>
      </c>
      <c r="F197" s="68">
        <f>TRUNC(3.21,2)</f>
        <v>3.21</v>
      </c>
      <c r="G197" s="63">
        <f>TRUNC(E197*F197,2)</f>
        <v>0</v>
      </c>
      <c r="H197" s="63"/>
      <c r="I197" s="64"/>
    </row>
    <row r="198" spans="2:9" s="67" customFormat="1" ht="14.25">
      <c r="B198" s="67" t="s">
        <v>79</v>
      </c>
      <c r="C198" s="67" t="s">
        <v>62</v>
      </c>
      <c r="D198" s="67" t="s">
        <v>3</v>
      </c>
      <c r="E198" s="67">
        <v>1</v>
      </c>
      <c r="F198" s="68">
        <f>TRUNC(2.2782,2)</f>
        <v>2.27</v>
      </c>
      <c r="G198" s="63">
        <f>TRUNC(E198*F198,2)</f>
        <v>2.27</v>
      </c>
      <c r="H198" s="63"/>
      <c r="I198" s="64"/>
    </row>
    <row r="199" spans="2:9" s="67" customFormat="1" ht="28.5">
      <c r="B199" s="67" t="s">
        <v>133</v>
      </c>
      <c r="C199" s="67" t="s">
        <v>134</v>
      </c>
      <c r="D199" s="67" t="s">
        <v>6</v>
      </c>
      <c r="E199" s="67">
        <v>1.03</v>
      </c>
      <c r="F199" s="68">
        <f>TRUNC(18.77,2)</f>
        <v>18.77</v>
      </c>
      <c r="G199" s="63">
        <f>TRUNC(E199*F199,2)</f>
        <v>19.33</v>
      </c>
      <c r="H199" s="63"/>
      <c r="I199" s="64"/>
    </row>
    <row r="200" spans="5:9" s="67" customFormat="1" ht="14.25">
      <c r="E200" s="67" t="s">
        <v>7</v>
      </c>
      <c r="F200" s="68"/>
      <c r="G200" s="63">
        <f>TRUNC(SUM(G196:G199),2)</f>
        <v>27.33</v>
      </c>
      <c r="H200" s="63"/>
      <c r="I200" s="64"/>
    </row>
    <row r="201" spans="1:9" s="94" customFormat="1" ht="57">
      <c r="A201" s="94" t="s">
        <v>137</v>
      </c>
      <c r="B201" s="94" t="s">
        <v>279</v>
      </c>
      <c r="C201" s="94" t="s">
        <v>189</v>
      </c>
      <c r="D201" s="94" t="s">
        <v>12</v>
      </c>
      <c r="E201" s="94">
        <v>1</v>
      </c>
      <c r="F201" s="95">
        <f>TRUNC(G217,2)</f>
        <v>147.94</v>
      </c>
      <c r="G201" s="90">
        <f>TRUNC(F201*1.2882,2)</f>
        <v>190.57</v>
      </c>
      <c r="H201" s="90">
        <f>TRUNC(F201*E201,2)</f>
        <v>147.94</v>
      </c>
      <c r="I201" s="91">
        <f>TRUNC(E201*G201,2)</f>
        <v>190.57</v>
      </c>
    </row>
    <row r="202" spans="2:9" s="67" customFormat="1" ht="14.25">
      <c r="B202" s="67" t="s">
        <v>190</v>
      </c>
      <c r="C202" s="67" t="s">
        <v>191</v>
      </c>
      <c r="D202" s="67" t="s">
        <v>12</v>
      </c>
      <c r="E202" s="67">
        <v>1</v>
      </c>
      <c r="F202" s="68">
        <f>TRUNC(9.71,2)</f>
        <v>9.71</v>
      </c>
      <c r="G202" s="63">
        <f aca="true" t="shared" si="6" ref="G202:G216">TRUNC(E202*F202,2)</f>
        <v>9.71</v>
      </c>
      <c r="H202" s="63"/>
      <c r="I202" s="64"/>
    </row>
    <row r="203" spans="2:9" s="67" customFormat="1" ht="14.25">
      <c r="B203" s="67" t="s">
        <v>192</v>
      </c>
      <c r="C203" s="67" t="s">
        <v>193</v>
      </c>
      <c r="D203" s="67" t="s">
        <v>12</v>
      </c>
      <c r="E203" s="67">
        <v>2</v>
      </c>
      <c r="F203" s="68">
        <f>TRUNC(0.96,2)</f>
        <v>0.96</v>
      </c>
      <c r="G203" s="63">
        <f t="shared" si="6"/>
        <v>1.92</v>
      </c>
      <c r="H203" s="63"/>
      <c r="I203" s="64"/>
    </row>
    <row r="204" spans="2:9" s="67" customFormat="1" ht="14.25">
      <c r="B204" s="67" t="s">
        <v>194</v>
      </c>
      <c r="C204" s="67" t="s">
        <v>195</v>
      </c>
      <c r="D204" s="67" t="s">
        <v>12</v>
      </c>
      <c r="E204" s="67">
        <v>1</v>
      </c>
      <c r="F204" s="68">
        <f>TRUNC(3.5003,2)</f>
        <v>3.5</v>
      </c>
      <c r="G204" s="63">
        <f t="shared" si="6"/>
        <v>3.5</v>
      </c>
      <c r="H204" s="63"/>
      <c r="I204" s="64"/>
    </row>
    <row r="205" spans="2:9" s="67" customFormat="1" ht="14.25">
      <c r="B205" s="67" t="s">
        <v>196</v>
      </c>
      <c r="C205" s="67" t="s">
        <v>197</v>
      </c>
      <c r="D205" s="67" t="s">
        <v>12</v>
      </c>
      <c r="E205" s="67">
        <v>2</v>
      </c>
      <c r="F205" s="68">
        <f>TRUNC(0.4627,2)</f>
        <v>0.46</v>
      </c>
      <c r="G205" s="63">
        <f t="shared" si="6"/>
        <v>0.92</v>
      </c>
      <c r="H205" s="63"/>
      <c r="I205" s="64"/>
    </row>
    <row r="206" spans="2:9" s="67" customFormat="1" ht="14.25">
      <c r="B206" s="67" t="s">
        <v>198</v>
      </c>
      <c r="C206" s="67" t="s">
        <v>199</v>
      </c>
      <c r="D206" s="67" t="s">
        <v>12</v>
      </c>
      <c r="E206" s="67">
        <v>1</v>
      </c>
      <c r="F206" s="68">
        <f>TRUNC(0.73,2)</f>
        <v>0.73</v>
      </c>
      <c r="G206" s="63">
        <f t="shared" si="6"/>
        <v>0.73</v>
      </c>
      <c r="H206" s="63"/>
      <c r="I206" s="64"/>
    </row>
    <row r="207" spans="2:9" s="67" customFormat="1" ht="14.25">
      <c r="B207" s="67" t="s">
        <v>200</v>
      </c>
      <c r="C207" s="67" t="s">
        <v>201</v>
      </c>
      <c r="D207" s="67" t="s">
        <v>12</v>
      </c>
      <c r="E207" s="67">
        <v>0.05</v>
      </c>
      <c r="F207" s="68">
        <f>TRUNC(35.18,2)</f>
        <v>35.18</v>
      </c>
      <c r="G207" s="63">
        <f t="shared" si="6"/>
        <v>1.75</v>
      </c>
      <c r="H207" s="63"/>
      <c r="I207" s="64"/>
    </row>
    <row r="208" spans="2:9" s="67" customFormat="1" ht="14.25">
      <c r="B208" s="67" t="s">
        <v>202</v>
      </c>
      <c r="C208" s="67" t="s">
        <v>203</v>
      </c>
      <c r="D208" s="67" t="s">
        <v>12</v>
      </c>
      <c r="E208" s="67">
        <v>0.5</v>
      </c>
      <c r="F208" s="68">
        <f>TRUNC(11.01,2)</f>
        <v>11.01</v>
      </c>
      <c r="G208" s="63">
        <f t="shared" si="6"/>
        <v>5.5</v>
      </c>
      <c r="H208" s="63"/>
      <c r="I208" s="64"/>
    </row>
    <row r="209" spans="2:9" s="67" customFormat="1" ht="14.25">
      <c r="B209" s="67" t="s">
        <v>204</v>
      </c>
      <c r="C209" s="67" t="s">
        <v>205</v>
      </c>
      <c r="D209" s="67" t="s">
        <v>12</v>
      </c>
      <c r="E209" s="67">
        <v>0.25</v>
      </c>
      <c r="F209" s="68">
        <f>TRUNC(29.4,2)</f>
        <v>29.4</v>
      </c>
      <c r="G209" s="63">
        <f t="shared" si="6"/>
        <v>7.35</v>
      </c>
      <c r="H209" s="63"/>
      <c r="I209" s="64"/>
    </row>
    <row r="210" spans="2:9" s="67" customFormat="1" ht="28.5">
      <c r="B210" s="67" t="s">
        <v>206</v>
      </c>
      <c r="C210" s="67" t="s">
        <v>207</v>
      </c>
      <c r="D210" s="67" t="s">
        <v>12</v>
      </c>
      <c r="E210" s="67">
        <v>0.25</v>
      </c>
      <c r="F210" s="68">
        <f>TRUNC(17.34,2)</f>
        <v>17.34</v>
      </c>
      <c r="G210" s="63">
        <f t="shared" si="6"/>
        <v>4.33</v>
      </c>
      <c r="H210" s="63"/>
      <c r="I210" s="64"/>
    </row>
    <row r="211" spans="2:9" s="67" customFormat="1" ht="14.25">
      <c r="B211" s="67" t="s">
        <v>82</v>
      </c>
      <c r="C211" s="67" t="s">
        <v>77</v>
      </c>
      <c r="D211" s="67" t="s">
        <v>12</v>
      </c>
      <c r="E211" s="67">
        <v>1</v>
      </c>
      <c r="F211" s="68">
        <f>TRUNC(0.86,2)</f>
        <v>0.86</v>
      </c>
      <c r="G211" s="63">
        <f t="shared" si="6"/>
        <v>0.86</v>
      </c>
      <c r="H211" s="63"/>
      <c r="I211" s="64"/>
    </row>
    <row r="212" spans="2:9" s="67" customFormat="1" ht="14.25">
      <c r="B212" s="67" t="s">
        <v>208</v>
      </c>
      <c r="C212" s="67" t="s">
        <v>209</v>
      </c>
      <c r="D212" s="67" t="s">
        <v>12</v>
      </c>
      <c r="E212" s="67">
        <v>0.4</v>
      </c>
      <c r="F212" s="68">
        <f>TRUNC(3.23,2)</f>
        <v>3.23</v>
      </c>
      <c r="G212" s="63">
        <f t="shared" si="6"/>
        <v>1.29</v>
      </c>
      <c r="H212" s="63"/>
      <c r="I212" s="64"/>
    </row>
    <row r="213" spans="2:9" s="67" customFormat="1" ht="14.25">
      <c r="B213" s="67" t="s">
        <v>151</v>
      </c>
      <c r="C213" s="67" t="s">
        <v>152</v>
      </c>
      <c r="D213" s="67" t="s">
        <v>12</v>
      </c>
      <c r="E213" s="67">
        <v>2</v>
      </c>
      <c r="F213" s="68">
        <f>TRUNC(0.07,2)</f>
        <v>0.07</v>
      </c>
      <c r="G213" s="63">
        <f t="shared" si="6"/>
        <v>0.14</v>
      </c>
      <c r="H213" s="63"/>
      <c r="I213" s="64"/>
    </row>
    <row r="214" spans="2:9" s="67" customFormat="1" ht="14.25">
      <c r="B214" s="67" t="s">
        <v>153</v>
      </c>
      <c r="C214" s="67" t="s">
        <v>154</v>
      </c>
      <c r="D214" s="67" t="s">
        <v>12</v>
      </c>
      <c r="E214" s="67">
        <v>2</v>
      </c>
      <c r="F214" s="68">
        <f>TRUNC(1.63,2)</f>
        <v>1.63</v>
      </c>
      <c r="G214" s="63">
        <f t="shared" si="6"/>
        <v>3.26</v>
      </c>
      <c r="H214" s="63"/>
      <c r="I214" s="64"/>
    </row>
    <row r="215" spans="2:9" s="67" customFormat="1" ht="28.5">
      <c r="B215" s="67" t="s">
        <v>56</v>
      </c>
      <c r="C215" s="67" t="s">
        <v>57</v>
      </c>
      <c r="D215" s="67" t="s">
        <v>6</v>
      </c>
      <c r="E215" s="67">
        <v>3.2960000000000003</v>
      </c>
      <c r="F215" s="68">
        <f>TRUNC(13.6,2)</f>
        <v>13.6</v>
      </c>
      <c r="G215" s="63">
        <f t="shared" si="6"/>
        <v>44.82</v>
      </c>
      <c r="H215" s="63"/>
      <c r="I215" s="64"/>
    </row>
    <row r="216" spans="2:9" s="67" customFormat="1" ht="28.5">
      <c r="B216" s="67" t="s">
        <v>133</v>
      </c>
      <c r="C216" s="67" t="s">
        <v>134</v>
      </c>
      <c r="D216" s="67" t="s">
        <v>6</v>
      </c>
      <c r="E216" s="67">
        <v>3.2960000000000003</v>
      </c>
      <c r="F216" s="68">
        <f>TRUNC(18.77,2)</f>
        <v>18.77</v>
      </c>
      <c r="G216" s="63">
        <f t="shared" si="6"/>
        <v>61.86</v>
      </c>
      <c r="H216" s="63"/>
      <c r="I216" s="64"/>
    </row>
    <row r="217" spans="5:9" s="67" customFormat="1" ht="14.25">
      <c r="E217" s="67" t="s">
        <v>7</v>
      </c>
      <c r="F217" s="68"/>
      <c r="G217" s="63">
        <f>TRUNC(SUM(G202:G216),2)</f>
        <v>147.94</v>
      </c>
      <c r="H217" s="63"/>
      <c r="I217" s="64"/>
    </row>
    <row r="218" spans="1:9" s="94" customFormat="1" ht="42.75">
      <c r="A218" s="94" t="s">
        <v>107</v>
      </c>
      <c r="B218" s="94" t="s">
        <v>280</v>
      </c>
      <c r="C218" s="94" t="s">
        <v>477</v>
      </c>
      <c r="D218" s="94" t="s">
        <v>12</v>
      </c>
      <c r="E218" s="94">
        <v>1</v>
      </c>
      <c r="F218" s="95">
        <f>TRUNC(G223,2)</f>
        <v>200.85</v>
      </c>
      <c r="G218" s="90">
        <f>TRUNC(F218*1.2882,2)</f>
        <v>258.73</v>
      </c>
      <c r="H218" s="90">
        <f>TRUNC(F218*E218,2)</f>
        <v>200.85</v>
      </c>
      <c r="I218" s="91">
        <f>TRUNC(E218*G218,2)</f>
        <v>258.73</v>
      </c>
    </row>
    <row r="219" spans="2:9" s="67" customFormat="1" ht="14.25">
      <c r="B219" s="67" t="s">
        <v>457</v>
      </c>
      <c r="C219" s="67" t="s">
        <v>458</v>
      </c>
      <c r="D219" s="67" t="s">
        <v>12</v>
      </c>
      <c r="E219" s="67">
        <v>1</v>
      </c>
      <c r="F219" s="68">
        <f>TRUNC(5.5,2)</f>
        <v>5.5</v>
      </c>
      <c r="G219" s="63">
        <f>TRUNC(E219*F219,2)</f>
        <v>5.5</v>
      </c>
      <c r="H219" s="63"/>
      <c r="I219" s="64"/>
    </row>
    <row r="220" spans="2:9" s="67" customFormat="1" ht="14.25">
      <c r="B220" s="67" t="s">
        <v>210</v>
      </c>
      <c r="C220" s="67" t="s">
        <v>211</v>
      </c>
      <c r="D220" s="67" t="s">
        <v>12</v>
      </c>
      <c r="E220" s="67">
        <v>1</v>
      </c>
      <c r="F220" s="68">
        <f>TRUNC(161.34,2)</f>
        <v>161.34</v>
      </c>
      <c r="G220" s="63">
        <f>TRUNC(E220*F220,2)</f>
        <v>161.34</v>
      </c>
      <c r="H220" s="63"/>
      <c r="I220" s="64"/>
    </row>
    <row r="221" spans="2:9" s="67" customFormat="1" ht="14.25">
      <c r="B221" s="67" t="s">
        <v>212</v>
      </c>
      <c r="C221" s="67" t="s">
        <v>213</v>
      </c>
      <c r="D221" s="67" t="s">
        <v>12</v>
      </c>
      <c r="E221" s="67">
        <v>1</v>
      </c>
      <c r="F221" s="68">
        <f>TRUNC(9.96,2)</f>
        <v>9.96</v>
      </c>
      <c r="G221" s="63">
        <f>TRUNC(E221*F221,2)</f>
        <v>9.96</v>
      </c>
      <c r="H221" s="63"/>
      <c r="I221" s="64"/>
    </row>
    <row r="222" spans="2:9" s="67" customFormat="1" ht="14.25">
      <c r="B222" s="67" t="s">
        <v>214</v>
      </c>
      <c r="C222" s="67" t="s">
        <v>215</v>
      </c>
      <c r="D222" s="67" t="s">
        <v>12</v>
      </c>
      <c r="E222" s="67">
        <v>1</v>
      </c>
      <c r="F222" s="68">
        <f>TRUNC(24.05,2)</f>
        <v>24.05</v>
      </c>
      <c r="G222" s="63">
        <f>TRUNC(E222*F222,2)</f>
        <v>24.05</v>
      </c>
      <c r="H222" s="63"/>
      <c r="I222" s="64"/>
    </row>
    <row r="223" spans="5:9" s="67" customFormat="1" ht="14.25">
      <c r="E223" s="67" t="s">
        <v>7</v>
      </c>
      <c r="F223" s="68"/>
      <c r="G223" s="63">
        <f>TRUNC(SUM(G219:G222),2)</f>
        <v>200.85</v>
      </c>
      <c r="H223" s="63"/>
      <c r="I223" s="64"/>
    </row>
    <row r="224" spans="1:9" s="94" customFormat="1" ht="57">
      <c r="A224" s="94" t="s">
        <v>589</v>
      </c>
      <c r="B224" s="94" t="s">
        <v>553</v>
      </c>
      <c r="C224" s="94" t="s">
        <v>550</v>
      </c>
      <c r="D224" s="94" t="s">
        <v>12</v>
      </c>
      <c r="E224" s="94">
        <v>4</v>
      </c>
      <c r="F224" s="95">
        <f>TRUNC(G231,2)</f>
        <v>215.63</v>
      </c>
      <c r="G224" s="90">
        <f>TRUNC(F224*1.2882,2)</f>
        <v>277.77</v>
      </c>
      <c r="H224" s="90">
        <f>TRUNC(F224*E224,2)</f>
        <v>862.52</v>
      </c>
      <c r="I224" s="91">
        <f>TRUNC(E224*G224,2)</f>
        <v>1111.08</v>
      </c>
    </row>
    <row r="225" spans="2:9" s="67" customFormat="1" ht="14.25">
      <c r="B225" s="67" t="s">
        <v>457</v>
      </c>
      <c r="C225" s="67" t="s">
        <v>458</v>
      </c>
      <c r="D225" s="67" t="s">
        <v>12</v>
      </c>
      <c r="E225" s="67">
        <v>1</v>
      </c>
      <c r="F225" s="68">
        <f>TRUNC(5.5,2)</f>
        <v>5.5</v>
      </c>
      <c r="G225" s="63">
        <f aca="true" t="shared" si="7" ref="G225:G230">TRUNC(E225*F225,2)</f>
        <v>5.5</v>
      </c>
      <c r="H225" s="63"/>
      <c r="I225" s="64"/>
    </row>
    <row r="226" spans="2:9" s="67" customFormat="1" ht="14.25">
      <c r="B226" s="67" t="s">
        <v>216</v>
      </c>
      <c r="C226" s="67" t="s">
        <v>217</v>
      </c>
      <c r="D226" s="67" t="s">
        <v>12</v>
      </c>
      <c r="E226" s="67">
        <v>1</v>
      </c>
      <c r="F226" s="68">
        <f>TRUNC(9.26,2)</f>
        <v>9.26</v>
      </c>
      <c r="G226" s="63">
        <f t="shared" si="7"/>
        <v>9.26</v>
      </c>
      <c r="H226" s="63"/>
      <c r="I226" s="64"/>
    </row>
    <row r="227" spans="2:9" s="67" customFormat="1" ht="14.25">
      <c r="B227" s="67" t="s">
        <v>218</v>
      </c>
      <c r="C227" s="67" t="s">
        <v>459</v>
      </c>
      <c r="D227" s="67" t="s">
        <v>12</v>
      </c>
      <c r="E227" s="67">
        <v>1</v>
      </c>
      <c r="F227" s="68">
        <f>TRUNC(25.9,2)</f>
        <v>25.9</v>
      </c>
      <c r="G227" s="63">
        <f t="shared" si="7"/>
        <v>25.9</v>
      </c>
      <c r="H227" s="63"/>
      <c r="I227" s="64"/>
    </row>
    <row r="228" spans="2:9" s="67" customFormat="1" ht="14.25">
      <c r="B228" s="67" t="s">
        <v>219</v>
      </c>
      <c r="C228" s="67" t="s">
        <v>220</v>
      </c>
      <c r="D228" s="67" t="s">
        <v>12</v>
      </c>
      <c r="E228" s="67">
        <v>1</v>
      </c>
      <c r="F228" s="68">
        <f>TRUNC(103.42,2)</f>
        <v>103.42</v>
      </c>
      <c r="G228" s="63">
        <f t="shared" si="7"/>
        <v>103.42</v>
      </c>
      <c r="H228" s="63"/>
      <c r="I228" s="64"/>
    </row>
    <row r="229" spans="2:9" s="67" customFormat="1" ht="14.25">
      <c r="B229" s="67" t="s">
        <v>551</v>
      </c>
      <c r="C229" s="67" t="s">
        <v>552</v>
      </c>
      <c r="D229" s="67" t="s">
        <v>12</v>
      </c>
      <c r="E229" s="67">
        <v>1</v>
      </c>
      <c r="F229" s="68">
        <f>TRUNC(69.03,2)</f>
        <v>69.03</v>
      </c>
      <c r="G229" s="63">
        <f t="shared" si="7"/>
        <v>69.03</v>
      </c>
      <c r="H229" s="63"/>
      <c r="I229" s="64"/>
    </row>
    <row r="230" spans="2:9" s="67" customFormat="1" ht="14.25">
      <c r="B230" s="67" t="s">
        <v>149</v>
      </c>
      <c r="C230" s="67" t="s">
        <v>150</v>
      </c>
      <c r="D230" s="67" t="s">
        <v>12</v>
      </c>
      <c r="E230" s="67">
        <v>1</v>
      </c>
      <c r="F230" s="68">
        <f>TRUNC(2.52,2)</f>
        <v>2.52</v>
      </c>
      <c r="G230" s="63">
        <f t="shared" si="7"/>
        <v>2.52</v>
      </c>
      <c r="H230" s="63"/>
      <c r="I230" s="64"/>
    </row>
    <row r="231" spans="5:9" s="67" customFormat="1" ht="14.25">
      <c r="E231" s="67" t="s">
        <v>7</v>
      </c>
      <c r="F231" s="68"/>
      <c r="G231" s="63">
        <f>TRUNC(SUM(G225:G230),2)</f>
        <v>215.63</v>
      </c>
      <c r="H231" s="63"/>
      <c r="I231" s="64"/>
    </row>
    <row r="232" spans="1:9" s="94" customFormat="1" ht="42.75">
      <c r="A232" s="94" t="s">
        <v>590</v>
      </c>
      <c r="B232" s="94" t="s">
        <v>281</v>
      </c>
      <c r="C232" s="94" t="s">
        <v>239</v>
      </c>
      <c r="D232" s="94" t="s">
        <v>3</v>
      </c>
      <c r="E232" s="94">
        <v>32.33</v>
      </c>
      <c r="F232" s="95">
        <f>TRUNC(G237,2)</f>
        <v>7.54</v>
      </c>
      <c r="G232" s="90">
        <f>TRUNC(F232*1.2882,2)</f>
        <v>9.71</v>
      </c>
      <c r="H232" s="90">
        <f>TRUNC(F232*E232,2)</f>
        <v>243.76</v>
      </c>
      <c r="I232" s="91">
        <f>TRUNC(E232*G232,2)</f>
        <v>313.92</v>
      </c>
    </row>
    <row r="233" spans="2:9" s="67" customFormat="1" ht="14.25">
      <c r="B233" s="67" t="s">
        <v>202</v>
      </c>
      <c r="C233" s="67" t="s">
        <v>203</v>
      </c>
      <c r="D233" s="67" t="s">
        <v>12</v>
      </c>
      <c r="E233" s="67">
        <v>0.1925</v>
      </c>
      <c r="F233" s="68">
        <f>TRUNC(11.01,2)</f>
        <v>11.01</v>
      </c>
      <c r="G233" s="63">
        <f>TRUNC(E233*F233,2)</f>
        <v>2.11</v>
      </c>
      <c r="H233" s="63"/>
      <c r="I233" s="64"/>
    </row>
    <row r="234" spans="2:9" s="67" customFormat="1" ht="14.25">
      <c r="B234" s="67" t="s">
        <v>208</v>
      </c>
      <c r="C234" s="67" t="s">
        <v>209</v>
      </c>
      <c r="D234" s="67" t="s">
        <v>12</v>
      </c>
      <c r="E234" s="67">
        <v>0.1375</v>
      </c>
      <c r="F234" s="68">
        <f>TRUNC(3.23,2)</f>
        <v>3.23</v>
      </c>
      <c r="G234" s="63">
        <f>TRUNC(E234*F234,2)</f>
        <v>0.44</v>
      </c>
      <c r="H234" s="63"/>
      <c r="I234" s="64"/>
    </row>
    <row r="235" spans="2:9" s="67" customFormat="1" ht="28.5">
      <c r="B235" s="67" t="s">
        <v>56</v>
      </c>
      <c r="C235" s="67" t="s">
        <v>57</v>
      </c>
      <c r="D235" s="67" t="s">
        <v>6</v>
      </c>
      <c r="E235" s="67">
        <v>0.1545</v>
      </c>
      <c r="F235" s="68">
        <f>TRUNC(13.6,2)</f>
        <v>13.6</v>
      </c>
      <c r="G235" s="63">
        <f>TRUNC(E235*F235,2)</f>
        <v>2.1</v>
      </c>
      <c r="H235" s="63"/>
      <c r="I235" s="64"/>
    </row>
    <row r="236" spans="2:9" s="67" customFormat="1" ht="28.5">
      <c r="B236" s="67" t="s">
        <v>133</v>
      </c>
      <c r="C236" s="67" t="s">
        <v>134</v>
      </c>
      <c r="D236" s="67" t="s">
        <v>6</v>
      </c>
      <c r="E236" s="67">
        <v>0.1545</v>
      </c>
      <c r="F236" s="68">
        <f>TRUNC(18.77,2)</f>
        <v>18.77</v>
      </c>
      <c r="G236" s="63">
        <f>TRUNC(E236*F236,2)</f>
        <v>2.89</v>
      </c>
      <c r="H236" s="63"/>
      <c r="I236" s="64"/>
    </row>
    <row r="237" spans="5:9" s="67" customFormat="1" ht="14.25">
      <c r="E237" s="67" t="s">
        <v>7</v>
      </c>
      <c r="F237" s="68"/>
      <c r="G237" s="63">
        <f>TRUNC(SUM(G233:G236),2)</f>
        <v>7.54</v>
      </c>
      <c r="H237" s="63"/>
      <c r="I237" s="64"/>
    </row>
    <row r="238" spans="1:9" s="94" customFormat="1" ht="42.75">
      <c r="A238" s="94" t="s">
        <v>591</v>
      </c>
      <c r="B238" s="94" t="s">
        <v>282</v>
      </c>
      <c r="C238" s="94" t="s">
        <v>240</v>
      </c>
      <c r="D238" s="94" t="s">
        <v>3</v>
      </c>
      <c r="E238" s="94">
        <v>9.7</v>
      </c>
      <c r="F238" s="95">
        <f>TRUNC(G243,2)</f>
        <v>6.88</v>
      </c>
      <c r="G238" s="90">
        <f>TRUNC(F238*1.2882,2)</f>
        <v>8.86</v>
      </c>
      <c r="H238" s="90">
        <f>TRUNC(F238*E238,2)</f>
        <v>66.73</v>
      </c>
      <c r="I238" s="91">
        <f>TRUNC(E238*G238,2)</f>
        <v>85.94</v>
      </c>
    </row>
    <row r="239" spans="2:9" s="67" customFormat="1" ht="14.25">
      <c r="B239" s="67" t="s">
        <v>241</v>
      </c>
      <c r="C239" s="67" t="s">
        <v>242</v>
      </c>
      <c r="D239" s="67" t="s">
        <v>12</v>
      </c>
      <c r="E239" s="67">
        <v>0.1925</v>
      </c>
      <c r="F239" s="68">
        <f>TRUNC(9.4,2)</f>
        <v>9.4</v>
      </c>
      <c r="G239" s="63">
        <f>TRUNC(E239*F239,2)</f>
        <v>1.8</v>
      </c>
      <c r="H239" s="63"/>
      <c r="I239" s="64"/>
    </row>
    <row r="240" spans="2:9" s="67" customFormat="1" ht="14.25">
      <c r="B240" s="67" t="s">
        <v>208</v>
      </c>
      <c r="C240" s="67" t="s">
        <v>209</v>
      </c>
      <c r="D240" s="67" t="s">
        <v>12</v>
      </c>
      <c r="E240" s="67">
        <v>0.132</v>
      </c>
      <c r="F240" s="68">
        <f>TRUNC(3.23,2)</f>
        <v>3.23</v>
      </c>
      <c r="G240" s="63">
        <f>TRUNC(E240*F240,2)</f>
        <v>0.42</v>
      </c>
      <c r="H240" s="63"/>
      <c r="I240" s="64"/>
    </row>
    <row r="241" spans="2:9" s="67" customFormat="1" ht="28.5">
      <c r="B241" s="67" t="s">
        <v>56</v>
      </c>
      <c r="C241" s="67" t="s">
        <v>57</v>
      </c>
      <c r="D241" s="67" t="s">
        <v>6</v>
      </c>
      <c r="E241" s="67">
        <v>0.14420000000000002</v>
      </c>
      <c r="F241" s="68">
        <f>TRUNC(13.6,2)</f>
        <v>13.6</v>
      </c>
      <c r="G241" s="63">
        <f>TRUNC(E241*F241,2)</f>
        <v>1.96</v>
      </c>
      <c r="H241" s="63"/>
      <c r="I241" s="64"/>
    </row>
    <row r="242" spans="2:9" s="67" customFormat="1" ht="28.5">
      <c r="B242" s="67" t="s">
        <v>133</v>
      </c>
      <c r="C242" s="67" t="s">
        <v>134</v>
      </c>
      <c r="D242" s="67" t="s">
        <v>6</v>
      </c>
      <c r="E242" s="67">
        <v>0.14420000000000002</v>
      </c>
      <c r="F242" s="68">
        <f>TRUNC(18.77,2)</f>
        <v>18.77</v>
      </c>
      <c r="G242" s="63">
        <f>TRUNC(E242*F242,2)</f>
        <v>2.7</v>
      </c>
      <c r="H242" s="63"/>
      <c r="I242" s="64"/>
    </row>
    <row r="243" spans="5:9" s="67" customFormat="1" ht="14.25">
      <c r="E243" s="67" t="s">
        <v>7</v>
      </c>
      <c r="F243" s="68"/>
      <c r="G243" s="63">
        <f>TRUNC(SUM(G239:G242),2)</f>
        <v>6.88</v>
      </c>
      <c r="H243" s="63"/>
      <c r="I243" s="64"/>
    </row>
    <row r="244" spans="1:9" s="94" customFormat="1" ht="28.5">
      <c r="A244" s="94" t="s">
        <v>108</v>
      </c>
      <c r="B244" s="94" t="s">
        <v>409</v>
      </c>
      <c r="C244" s="94" t="s">
        <v>223</v>
      </c>
      <c r="D244" s="94" t="s">
        <v>3</v>
      </c>
      <c r="E244" s="94">
        <v>42.03</v>
      </c>
      <c r="F244" s="95">
        <f>TRUNC(G248,2)</f>
        <v>10.7</v>
      </c>
      <c r="G244" s="90">
        <f>TRUNC(F244*1.2882,2)</f>
        <v>13.78</v>
      </c>
      <c r="H244" s="90">
        <f>TRUNC(F244*E244,2)</f>
        <v>449.72</v>
      </c>
      <c r="I244" s="91">
        <f>TRUNC(E244*G244,2)</f>
        <v>579.17</v>
      </c>
    </row>
    <row r="245" spans="2:9" s="67" customFormat="1" ht="28.5">
      <c r="B245" s="67" t="s">
        <v>56</v>
      </c>
      <c r="C245" s="67" t="s">
        <v>57</v>
      </c>
      <c r="D245" s="67" t="s">
        <v>6</v>
      </c>
      <c r="E245" s="67">
        <v>0.41200000000000003</v>
      </c>
      <c r="F245" s="68">
        <f>TRUNC(13.6,2)</f>
        <v>13.6</v>
      </c>
      <c r="G245" s="63">
        <f>TRUNC(E245*F245,2)</f>
        <v>5.6</v>
      </c>
      <c r="H245" s="63"/>
      <c r="I245" s="64"/>
    </row>
    <row r="246" spans="2:9" s="67" customFormat="1" ht="14.25">
      <c r="B246" s="67" t="s">
        <v>65</v>
      </c>
      <c r="C246" s="67" t="s">
        <v>66</v>
      </c>
      <c r="D246" s="67" t="s">
        <v>6</v>
      </c>
      <c r="E246" s="67">
        <v>0.2575</v>
      </c>
      <c r="F246" s="68">
        <f>TRUNC(18.77,2)</f>
        <v>18.77</v>
      </c>
      <c r="G246" s="63">
        <f>TRUNC(E246*F246,2)</f>
        <v>4.83</v>
      </c>
      <c r="H246" s="63"/>
      <c r="I246" s="64"/>
    </row>
    <row r="247" spans="2:9" s="67" customFormat="1" ht="14.25">
      <c r="B247" s="67" t="s">
        <v>101</v>
      </c>
      <c r="C247" s="67" t="s">
        <v>102</v>
      </c>
      <c r="D247" s="67" t="s">
        <v>1</v>
      </c>
      <c r="E247" s="67">
        <v>0.001</v>
      </c>
      <c r="F247" s="68">
        <f>TRUNC(273.1478,2)</f>
        <v>273.14</v>
      </c>
      <c r="G247" s="63">
        <f>TRUNC(E247*F247,2)</f>
        <v>0.27</v>
      </c>
      <c r="H247" s="63"/>
      <c r="I247" s="64"/>
    </row>
    <row r="248" spans="5:9" s="67" customFormat="1" ht="14.25">
      <c r="E248" s="67" t="s">
        <v>7</v>
      </c>
      <c r="F248" s="68"/>
      <c r="G248" s="63">
        <f>TRUNC(SUM(G245:G247),2)</f>
        <v>10.7</v>
      </c>
      <c r="H248" s="63"/>
      <c r="I248" s="64"/>
    </row>
    <row r="249" spans="1:9" s="94" customFormat="1" ht="28.5">
      <c r="A249" s="94" t="s">
        <v>109</v>
      </c>
      <c r="B249" s="94" t="s">
        <v>410</v>
      </c>
      <c r="C249" s="94" t="s">
        <v>411</v>
      </c>
      <c r="D249" s="94" t="s">
        <v>12</v>
      </c>
      <c r="E249" s="94">
        <v>2</v>
      </c>
      <c r="F249" s="95">
        <f>TRUNC(G253,2)</f>
        <v>52.73</v>
      </c>
      <c r="G249" s="90">
        <f>TRUNC(F249*1.2882,2)</f>
        <v>67.92</v>
      </c>
      <c r="H249" s="90">
        <f>TRUNC(F249*E249,2)</f>
        <v>105.46</v>
      </c>
      <c r="I249" s="91">
        <f>TRUNC(E249*G249,2)</f>
        <v>135.84</v>
      </c>
    </row>
    <row r="250" spans="2:9" s="67" customFormat="1" ht="14.25">
      <c r="B250" s="67" t="s">
        <v>412</v>
      </c>
      <c r="C250" s="67" t="s">
        <v>413</v>
      </c>
      <c r="D250" s="67" t="s">
        <v>12</v>
      </c>
      <c r="E250" s="67">
        <v>1</v>
      </c>
      <c r="F250" s="68">
        <f>TRUNC(32.7426,2)</f>
        <v>32.74</v>
      </c>
      <c r="G250" s="63">
        <f>TRUNC(E250*F250,2)</f>
        <v>32.74</v>
      </c>
      <c r="H250" s="63"/>
      <c r="I250" s="64"/>
    </row>
    <row r="251" spans="2:9" s="67" customFormat="1" ht="28.5">
      <c r="B251" s="67" t="s">
        <v>56</v>
      </c>
      <c r="C251" s="67" t="s">
        <v>57</v>
      </c>
      <c r="D251" s="67" t="s">
        <v>6</v>
      </c>
      <c r="E251" s="67">
        <v>0.618</v>
      </c>
      <c r="F251" s="68">
        <f>TRUNC(13.6,2)</f>
        <v>13.6</v>
      </c>
      <c r="G251" s="63">
        <f>TRUNC(E251*F251,2)</f>
        <v>8.4</v>
      </c>
      <c r="H251" s="63"/>
      <c r="I251" s="64"/>
    </row>
    <row r="252" spans="2:9" s="67" customFormat="1" ht="28.5">
      <c r="B252" s="67" t="s">
        <v>133</v>
      </c>
      <c r="C252" s="67" t="s">
        <v>134</v>
      </c>
      <c r="D252" s="67" t="s">
        <v>6</v>
      </c>
      <c r="E252" s="67">
        <v>0.618</v>
      </c>
      <c r="F252" s="68">
        <f>TRUNC(18.77,2)</f>
        <v>18.77</v>
      </c>
      <c r="G252" s="63">
        <f>TRUNC(E252*F252,2)</f>
        <v>11.59</v>
      </c>
      <c r="H252" s="63"/>
      <c r="I252" s="64"/>
    </row>
    <row r="253" spans="5:9" s="67" customFormat="1" ht="14.25">
      <c r="E253" s="67" t="s">
        <v>7</v>
      </c>
      <c r="F253" s="68"/>
      <c r="G253" s="63">
        <f>TRUNC(SUM(G250:G252),2)</f>
        <v>52.73</v>
      </c>
      <c r="H253" s="63"/>
      <c r="I253" s="64"/>
    </row>
    <row r="254" spans="1:9" s="94" customFormat="1" ht="28.5">
      <c r="A254" s="94" t="s">
        <v>138</v>
      </c>
      <c r="B254" s="94" t="s">
        <v>414</v>
      </c>
      <c r="C254" s="94" t="s">
        <v>415</v>
      </c>
      <c r="D254" s="94" t="s">
        <v>12</v>
      </c>
      <c r="E254" s="94">
        <v>5</v>
      </c>
      <c r="F254" s="95">
        <f>TRUNC(G256,2)</f>
        <v>24.05</v>
      </c>
      <c r="G254" s="90">
        <f>TRUNC(F254*1.2882,2)</f>
        <v>30.98</v>
      </c>
      <c r="H254" s="90">
        <f>TRUNC(F254*E254,2)</f>
        <v>120.25</v>
      </c>
      <c r="I254" s="91">
        <f>TRUNC(E254*G254,2)</f>
        <v>154.9</v>
      </c>
    </row>
    <row r="255" spans="2:9" s="67" customFormat="1" ht="14.25">
      <c r="B255" s="67" t="s">
        <v>214</v>
      </c>
      <c r="C255" s="67" t="s">
        <v>215</v>
      </c>
      <c r="D255" s="67" t="s">
        <v>12</v>
      </c>
      <c r="E255" s="67">
        <v>1</v>
      </c>
      <c r="F255" s="68">
        <f>TRUNC(24.05,2)</f>
        <v>24.05</v>
      </c>
      <c r="G255" s="63">
        <f>TRUNC(E255*F255,2)</f>
        <v>24.05</v>
      </c>
      <c r="H255" s="63"/>
      <c r="I255" s="64"/>
    </row>
    <row r="256" spans="5:9" s="67" customFormat="1" ht="14.25">
      <c r="E256" s="67" t="s">
        <v>7</v>
      </c>
      <c r="F256" s="68"/>
      <c r="G256" s="63">
        <f>TRUNC(SUM(G255:G255),2)</f>
        <v>24.05</v>
      </c>
      <c r="H256" s="63"/>
      <c r="I256" s="64"/>
    </row>
    <row r="257" spans="1:9" s="94" customFormat="1" ht="28.5">
      <c r="A257" s="94" t="s">
        <v>110</v>
      </c>
      <c r="B257" s="94" t="s">
        <v>416</v>
      </c>
      <c r="C257" s="94" t="s">
        <v>243</v>
      </c>
      <c r="D257" s="94" t="s">
        <v>12</v>
      </c>
      <c r="E257" s="94">
        <v>2</v>
      </c>
      <c r="F257" s="95">
        <f>TRUNC(G264,2)</f>
        <v>10.77</v>
      </c>
      <c r="G257" s="90">
        <f>TRUNC(F257*1.2882,2)</f>
        <v>13.87</v>
      </c>
      <c r="H257" s="90">
        <f>TRUNC(F257*E257,2)</f>
        <v>21.54</v>
      </c>
      <c r="I257" s="91">
        <f>TRUNC(E257*G257,2)</f>
        <v>27.74</v>
      </c>
    </row>
    <row r="258" spans="2:9" s="67" customFormat="1" ht="14.25">
      <c r="B258" s="67" t="s">
        <v>417</v>
      </c>
      <c r="C258" s="67" t="s">
        <v>244</v>
      </c>
      <c r="D258" s="67" t="s">
        <v>12</v>
      </c>
      <c r="E258" s="67">
        <v>0.017</v>
      </c>
      <c r="F258" s="68">
        <f>TRUNC(1.57,2)</f>
        <v>1.57</v>
      </c>
      <c r="G258" s="63">
        <f aca="true" t="shared" si="8" ref="G258:G263">TRUNC(E258*F258,2)</f>
        <v>0.02</v>
      </c>
      <c r="H258" s="63"/>
      <c r="I258" s="64"/>
    </row>
    <row r="259" spans="2:9" s="67" customFormat="1" ht="14.25">
      <c r="B259" s="67" t="s">
        <v>418</v>
      </c>
      <c r="C259" s="67" t="s">
        <v>245</v>
      </c>
      <c r="D259" s="67" t="s">
        <v>12</v>
      </c>
      <c r="E259" s="67">
        <v>0.0075</v>
      </c>
      <c r="F259" s="68">
        <f>TRUNC(46.2,2)</f>
        <v>46.2</v>
      </c>
      <c r="G259" s="63">
        <f t="shared" si="8"/>
        <v>0.34</v>
      </c>
      <c r="H259" s="63"/>
      <c r="I259" s="64"/>
    </row>
    <row r="260" spans="2:9" s="67" customFormat="1" ht="14.25">
      <c r="B260" s="67" t="s">
        <v>419</v>
      </c>
      <c r="C260" s="67" t="s">
        <v>246</v>
      </c>
      <c r="D260" s="67" t="s">
        <v>12</v>
      </c>
      <c r="E260" s="67">
        <v>1</v>
      </c>
      <c r="F260" s="68">
        <f>TRUNC(7.06,2)</f>
        <v>7.06</v>
      </c>
      <c r="G260" s="63">
        <f t="shared" si="8"/>
        <v>7.06</v>
      </c>
      <c r="H260" s="63"/>
      <c r="I260" s="64"/>
    </row>
    <row r="261" spans="2:9" s="67" customFormat="1" ht="14.25">
      <c r="B261" s="67" t="s">
        <v>420</v>
      </c>
      <c r="C261" s="67" t="s">
        <v>247</v>
      </c>
      <c r="D261" s="67" t="s">
        <v>12</v>
      </c>
      <c r="E261" s="67">
        <v>0.0049</v>
      </c>
      <c r="F261" s="68">
        <f>TRUNC(53.2,2)</f>
        <v>53.2</v>
      </c>
      <c r="G261" s="63">
        <f t="shared" si="8"/>
        <v>0.26</v>
      </c>
      <c r="H261" s="63"/>
      <c r="I261" s="64"/>
    </row>
    <row r="262" spans="2:9" s="67" customFormat="1" ht="14.25">
      <c r="B262" s="67" t="s">
        <v>421</v>
      </c>
      <c r="C262" s="67" t="s">
        <v>248</v>
      </c>
      <c r="D262" s="67" t="s">
        <v>6</v>
      </c>
      <c r="E262" s="67">
        <v>0.07</v>
      </c>
      <c r="F262" s="68">
        <f>TRUNC(24.84,2)</f>
        <v>24.84</v>
      </c>
      <c r="G262" s="63">
        <f t="shared" si="8"/>
        <v>1.73</v>
      </c>
      <c r="H262" s="63"/>
      <c r="I262" s="64"/>
    </row>
    <row r="263" spans="2:9" s="67" customFormat="1" ht="14.25">
      <c r="B263" s="67" t="s">
        <v>422</v>
      </c>
      <c r="C263" s="67" t="s">
        <v>249</v>
      </c>
      <c r="D263" s="67" t="s">
        <v>6</v>
      </c>
      <c r="E263" s="67">
        <v>0.07</v>
      </c>
      <c r="F263" s="68">
        <f>TRUNC(19.46,2)</f>
        <v>19.46</v>
      </c>
      <c r="G263" s="63">
        <f t="shared" si="8"/>
        <v>1.36</v>
      </c>
      <c r="H263" s="63"/>
      <c r="I263" s="64"/>
    </row>
    <row r="264" spans="5:9" s="67" customFormat="1" ht="14.25">
      <c r="E264" s="67" t="s">
        <v>7</v>
      </c>
      <c r="F264" s="68"/>
      <c r="G264" s="63">
        <f>TRUNC(SUM(G258:G263),2)</f>
        <v>10.77</v>
      </c>
      <c r="H264" s="63"/>
      <c r="I264" s="64"/>
    </row>
    <row r="265" spans="1:9" s="94" customFormat="1" ht="28.5">
      <c r="A265" s="94" t="s">
        <v>110</v>
      </c>
      <c r="B265" s="94" t="s">
        <v>423</v>
      </c>
      <c r="C265" s="94" t="s">
        <v>250</v>
      </c>
      <c r="D265" s="94" t="s">
        <v>12</v>
      </c>
      <c r="E265" s="94">
        <v>4</v>
      </c>
      <c r="F265" s="95">
        <f>TRUNC(G272,2)</f>
        <v>10.56</v>
      </c>
      <c r="G265" s="90">
        <f>TRUNC(F265*1.2882,2)</f>
        <v>13.6</v>
      </c>
      <c r="H265" s="90">
        <f>TRUNC(F265*E265,2)</f>
        <v>42.24</v>
      </c>
      <c r="I265" s="91">
        <f>TRUNC(E265*G265,2)</f>
        <v>54.4</v>
      </c>
    </row>
    <row r="266" spans="2:9" s="67" customFormat="1" ht="14.25">
      <c r="B266" s="67" t="s">
        <v>417</v>
      </c>
      <c r="C266" s="67" t="s">
        <v>244</v>
      </c>
      <c r="D266" s="67" t="s">
        <v>12</v>
      </c>
      <c r="E266" s="67">
        <v>0.017</v>
      </c>
      <c r="F266" s="68">
        <f>TRUNC(1.57,2)</f>
        <v>1.57</v>
      </c>
      <c r="G266" s="63">
        <f aca="true" t="shared" si="9" ref="G266:G271">TRUNC(E266*F266,2)</f>
        <v>0.02</v>
      </c>
      <c r="H266" s="63"/>
      <c r="I266" s="64"/>
    </row>
    <row r="267" spans="2:9" s="67" customFormat="1" ht="14.25">
      <c r="B267" s="67" t="s">
        <v>418</v>
      </c>
      <c r="C267" s="67" t="s">
        <v>245</v>
      </c>
      <c r="D267" s="67" t="s">
        <v>12</v>
      </c>
      <c r="E267" s="67">
        <v>0.0075</v>
      </c>
      <c r="F267" s="68">
        <f>TRUNC(46.2,2)</f>
        <v>46.2</v>
      </c>
      <c r="G267" s="63">
        <f t="shared" si="9"/>
        <v>0.34</v>
      </c>
      <c r="H267" s="63"/>
      <c r="I267" s="64"/>
    </row>
    <row r="268" spans="2:9" s="67" customFormat="1" ht="14.25">
      <c r="B268" s="67" t="s">
        <v>424</v>
      </c>
      <c r="C268" s="67" t="s">
        <v>251</v>
      </c>
      <c r="D268" s="67" t="s">
        <v>12</v>
      </c>
      <c r="E268" s="67">
        <v>1</v>
      </c>
      <c r="F268" s="68">
        <f>TRUNC(6.85,2)</f>
        <v>6.85</v>
      </c>
      <c r="G268" s="63">
        <f t="shared" si="9"/>
        <v>6.85</v>
      </c>
      <c r="H268" s="63"/>
      <c r="I268" s="64"/>
    </row>
    <row r="269" spans="2:9" s="67" customFormat="1" ht="14.25">
      <c r="B269" s="67" t="s">
        <v>420</v>
      </c>
      <c r="C269" s="67" t="s">
        <v>247</v>
      </c>
      <c r="D269" s="67" t="s">
        <v>12</v>
      </c>
      <c r="E269" s="67">
        <v>0.0049</v>
      </c>
      <c r="F269" s="68">
        <f>TRUNC(53.2,2)</f>
        <v>53.2</v>
      </c>
      <c r="G269" s="63">
        <f t="shared" si="9"/>
        <v>0.26</v>
      </c>
      <c r="H269" s="63"/>
      <c r="I269" s="64"/>
    </row>
    <row r="270" spans="2:9" s="67" customFormat="1" ht="14.25">
      <c r="B270" s="67" t="s">
        <v>421</v>
      </c>
      <c r="C270" s="67" t="s">
        <v>248</v>
      </c>
      <c r="D270" s="67" t="s">
        <v>6</v>
      </c>
      <c r="E270" s="67">
        <v>0.07</v>
      </c>
      <c r="F270" s="68">
        <f>TRUNC(24.84,2)</f>
        <v>24.84</v>
      </c>
      <c r="G270" s="63">
        <f t="shared" si="9"/>
        <v>1.73</v>
      </c>
      <c r="H270" s="63"/>
      <c r="I270" s="64"/>
    </row>
    <row r="271" spans="2:9" s="67" customFormat="1" ht="14.25">
      <c r="B271" s="67" t="s">
        <v>422</v>
      </c>
      <c r="C271" s="67" t="s">
        <v>249</v>
      </c>
      <c r="D271" s="67" t="s">
        <v>6</v>
      </c>
      <c r="E271" s="67">
        <v>0.07</v>
      </c>
      <c r="F271" s="68">
        <f>TRUNC(19.46,2)</f>
        <v>19.46</v>
      </c>
      <c r="G271" s="63">
        <f t="shared" si="9"/>
        <v>1.36</v>
      </c>
      <c r="H271" s="63"/>
      <c r="I271" s="64"/>
    </row>
    <row r="272" spans="5:9" s="67" customFormat="1" ht="14.25">
      <c r="E272" s="67" t="s">
        <v>7</v>
      </c>
      <c r="F272" s="68"/>
      <c r="G272" s="63">
        <f>TRUNC(SUM(G266:G271),2)</f>
        <v>10.56</v>
      </c>
      <c r="H272" s="63"/>
      <c r="I272" s="64"/>
    </row>
    <row r="273" spans="1:9" s="94" customFormat="1" ht="28.5">
      <c r="A273" s="94" t="s">
        <v>592</v>
      </c>
      <c r="B273" s="94" t="s">
        <v>429</v>
      </c>
      <c r="C273" s="94" t="s">
        <v>425</v>
      </c>
      <c r="D273" s="94" t="s">
        <v>3</v>
      </c>
      <c r="E273" s="94">
        <v>19.97</v>
      </c>
      <c r="F273" s="95">
        <f>TRUNC(G278,2)</f>
        <v>16.83</v>
      </c>
      <c r="G273" s="90">
        <f>TRUNC(F273*1.2882,2)</f>
        <v>21.68</v>
      </c>
      <c r="H273" s="90">
        <f>TRUNC(F273*E273,2)</f>
        <v>336.09</v>
      </c>
      <c r="I273" s="91">
        <f>TRUNC(E273*G273,2)</f>
        <v>432.94</v>
      </c>
    </row>
    <row r="274" spans="2:9" s="67" customFormat="1" ht="14.25">
      <c r="B274" s="67" t="s">
        <v>417</v>
      </c>
      <c r="C274" s="67" t="s">
        <v>244</v>
      </c>
      <c r="D274" s="67" t="s">
        <v>12</v>
      </c>
      <c r="E274" s="67">
        <v>0.1</v>
      </c>
      <c r="F274" s="68">
        <f>TRUNC(1.57,2)</f>
        <v>1.57</v>
      </c>
      <c r="G274" s="63">
        <f>TRUNC(E274*F274,2)</f>
        <v>0.15</v>
      </c>
      <c r="H274" s="63"/>
      <c r="I274" s="64"/>
    </row>
    <row r="275" spans="2:9" s="67" customFormat="1" ht="14.25">
      <c r="B275" s="67" t="s">
        <v>430</v>
      </c>
      <c r="C275" s="67" t="s">
        <v>426</v>
      </c>
      <c r="D275" s="67" t="s">
        <v>3</v>
      </c>
      <c r="E275" s="67">
        <v>1.05</v>
      </c>
      <c r="F275" s="68">
        <f>TRUNC(3.24,2)</f>
        <v>3.24</v>
      </c>
      <c r="G275" s="63">
        <f>TRUNC(E275*F275,2)</f>
        <v>3.4</v>
      </c>
      <c r="H275" s="63"/>
      <c r="I275" s="64"/>
    </row>
    <row r="276" spans="2:9" s="67" customFormat="1" ht="14.25">
      <c r="B276" s="67" t="s">
        <v>421</v>
      </c>
      <c r="C276" s="67" t="s">
        <v>248</v>
      </c>
      <c r="D276" s="67" t="s">
        <v>6</v>
      </c>
      <c r="E276" s="67">
        <v>0.3</v>
      </c>
      <c r="F276" s="68">
        <f>TRUNC(24.84,2)</f>
        <v>24.84</v>
      </c>
      <c r="G276" s="63">
        <f>TRUNC(E276*F276,2)</f>
        <v>7.45</v>
      </c>
      <c r="H276" s="63"/>
      <c r="I276" s="64"/>
    </row>
    <row r="277" spans="2:9" s="67" customFormat="1" ht="14.25">
      <c r="B277" s="67" t="s">
        <v>422</v>
      </c>
      <c r="C277" s="67" t="s">
        <v>249</v>
      </c>
      <c r="D277" s="67" t="s">
        <v>6</v>
      </c>
      <c r="E277" s="67">
        <v>0.3</v>
      </c>
      <c r="F277" s="68">
        <f>TRUNC(19.46,2)</f>
        <v>19.46</v>
      </c>
      <c r="G277" s="63">
        <f>TRUNC(E277*F277,2)</f>
        <v>5.83</v>
      </c>
      <c r="H277" s="63"/>
      <c r="I277" s="64"/>
    </row>
    <row r="278" spans="5:9" s="67" customFormat="1" ht="14.25">
      <c r="E278" s="67" t="s">
        <v>7</v>
      </c>
      <c r="F278" s="68"/>
      <c r="G278" s="63">
        <f>TRUNC(SUM(G274:G277),2)</f>
        <v>16.83</v>
      </c>
      <c r="H278" s="63"/>
      <c r="I278" s="64"/>
    </row>
    <row r="279" spans="1:9" s="94" customFormat="1" ht="28.5">
      <c r="A279" s="94" t="s">
        <v>593</v>
      </c>
      <c r="B279" s="94" t="s">
        <v>431</v>
      </c>
      <c r="C279" s="94" t="s">
        <v>427</v>
      </c>
      <c r="D279" s="94" t="s">
        <v>3</v>
      </c>
      <c r="E279" s="94">
        <v>3.47</v>
      </c>
      <c r="F279" s="95">
        <f>TRUNC(G286,2)</f>
        <v>24.12</v>
      </c>
      <c r="G279" s="90">
        <f>TRUNC(F279*1.2882,2)</f>
        <v>31.07</v>
      </c>
      <c r="H279" s="90">
        <f>TRUNC(F279*E279,2)</f>
        <v>83.69</v>
      </c>
      <c r="I279" s="91">
        <f>TRUNC(E279*G279,2)</f>
        <v>107.81</v>
      </c>
    </row>
    <row r="280" spans="2:9" s="67" customFormat="1" ht="14.25">
      <c r="B280" s="67" t="s">
        <v>417</v>
      </c>
      <c r="C280" s="67" t="s">
        <v>244</v>
      </c>
      <c r="D280" s="67" t="s">
        <v>12</v>
      </c>
      <c r="E280" s="67">
        <v>0.127</v>
      </c>
      <c r="F280" s="68">
        <f>TRUNC(1.57,2)</f>
        <v>1.57</v>
      </c>
      <c r="G280" s="63">
        <f aca="true" t="shared" si="10" ref="G280:G285">TRUNC(E280*F280,2)</f>
        <v>0.19</v>
      </c>
      <c r="H280" s="63"/>
      <c r="I280" s="64"/>
    </row>
    <row r="281" spans="2:9" s="67" customFormat="1" ht="14.25">
      <c r="B281" s="67" t="s">
        <v>418</v>
      </c>
      <c r="C281" s="67" t="s">
        <v>245</v>
      </c>
      <c r="D281" s="67" t="s">
        <v>12</v>
      </c>
      <c r="E281" s="67">
        <v>0.0163</v>
      </c>
      <c r="F281" s="68">
        <f>TRUNC(46.2,2)</f>
        <v>46.2</v>
      </c>
      <c r="G281" s="63">
        <f t="shared" si="10"/>
        <v>0.75</v>
      </c>
      <c r="H281" s="63"/>
      <c r="I281" s="64"/>
    </row>
    <row r="282" spans="2:9" s="67" customFormat="1" ht="14.25">
      <c r="B282" s="67" t="s">
        <v>432</v>
      </c>
      <c r="C282" s="67" t="s">
        <v>428</v>
      </c>
      <c r="D282" s="67" t="s">
        <v>3</v>
      </c>
      <c r="E282" s="67">
        <v>1.05</v>
      </c>
      <c r="F282" s="68">
        <f>TRUNC(5.52,2)</f>
        <v>5.52</v>
      </c>
      <c r="G282" s="63">
        <f t="shared" si="10"/>
        <v>5.79</v>
      </c>
      <c r="H282" s="63"/>
      <c r="I282" s="64"/>
    </row>
    <row r="283" spans="2:9" s="67" customFormat="1" ht="14.25">
      <c r="B283" s="67" t="s">
        <v>420</v>
      </c>
      <c r="C283" s="67" t="s">
        <v>247</v>
      </c>
      <c r="D283" s="67" t="s">
        <v>12</v>
      </c>
      <c r="E283" s="67">
        <v>0.0108</v>
      </c>
      <c r="F283" s="68">
        <f>TRUNC(53.2,2)</f>
        <v>53.2</v>
      </c>
      <c r="G283" s="63">
        <f t="shared" si="10"/>
        <v>0.57</v>
      </c>
      <c r="H283" s="63"/>
      <c r="I283" s="64"/>
    </row>
    <row r="284" spans="2:9" s="67" customFormat="1" ht="14.25">
      <c r="B284" s="67" t="s">
        <v>421</v>
      </c>
      <c r="C284" s="67" t="s">
        <v>248</v>
      </c>
      <c r="D284" s="67" t="s">
        <v>6</v>
      </c>
      <c r="E284" s="67">
        <v>0.38</v>
      </c>
      <c r="F284" s="68">
        <f>TRUNC(24.84,2)</f>
        <v>24.84</v>
      </c>
      <c r="G284" s="63">
        <f t="shared" si="10"/>
        <v>9.43</v>
      </c>
      <c r="H284" s="63"/>
      <c r="I284" s="64"/>
    </row>
    <row r="285" spans="2:9" s="67" customFormat="1" ht="14.25">
      <c r="B285" s="67" t="s">
        <v>422</v>
      </c>
      <c r="C285" s="67" t="s">
        <v>249</v>
      </c>
      <c r="D285" s="67" t="s">
        <v>6</v>
      </c>
      <c r="E285" s="67">
        <v>0.38</v>
      </c>
      <c r="F285" s="68">
        <f>TRUNC(19.46,2)</f>
        <v>19.46</v>
      </c>
      <c r="G285" s="63">
        <f t="shared" si="10"/>
        <v>7.39</v>
      </c>
      <c r="H285" s="63"/>
      <c r="I285" s="64"/>
    </row>
    <row r="286" spans="5:9" s="67" customFormat="1" ht="14.25">
      <c r="E286" s="67" t="s">
        <v>7</v>
      </c>
      <c r="F286" s="68"/>
      <c r="G286" s="63">
        <f>TRUNC(SUM(G280:G285),2)</f>
        <v>24.12</v>
      </c>
      <c r="H286" s="63"/>
      <c r="I286" s="64"/>
    </row>
    <row r="287" spans="1:9" s="94" customFormat="1" ht="28.5">
      <c r="A287" s="94" t="s">
        <v>594</v>
      </c>
      <c r="B287" s="94" t="s">
        <v>433</v>
      </c>
      <c r="C287" s="94" t="s">
        <v>434</v>
      </c>
      <c r="D287" s="94" t="s">
        <v>3</v>
      </c>
      <c r="E287" s="94">
        <v>7.7</v>
      </c>
      <c r="F287" s="95">
        <f>TRUNC(G294,2)</f>
        <v>36.52</v>
      </c>
      <c r="G287" s="90">
        <f>TRUNC(F287*1.2882,2)</f>
        <v>47.04</v>
      </c>
      <c r="H287" s="90">
        <f>TRUNC(F287*E287,2)</f>
        <v>281.2</v>
      </c>
      <c r="I287" s="91">
        <f>TRUNC(E287*G287,2)</f>
        <v>362.2</v>
      </c>
    </row>
    <row r="288" spans="2:9" s="67" customFormat="1" ht="14.25">
      <c r="B288" s="67" t="s">
        <v>417</v>
      </c>
      <c r="C288" s="67" t="s">
        <v>244</v>
      </c>
      <c r="D288" s="67" t="s">
        <v>12</v>
      </c>
      <c r="E288" s="67">
        <v>0.187</v>
      </c>
      <c r="F288" s="68">
        <f>TRUNC(1.57,2)</f>
        <v>1.57</v>
      </c>
      <c r="G288" s="63">
        <f aca="true" t="shared" si="11" ref="G288:G293">TRUNC(E288*F288,2)</f>
        <v>0.29</v>
      </c>
      <c r="H288" s="63"/>
      <c r="I288" s="64"/>
    </row>
    <row r="289" spans="2:9" s="67" customFormat="1" ht="14.25">
      <c r="B289" s="67" t="s">
        <v>418</v>
      </c>
      <c r="C289" s="67" t="s">
        <v>245</v>
      </c>
      <c r="D289" s="67" t="s">
        <v>12</v>
      </c>
      <c r="E289" s="67">
        <v>0.0385</v>
      </c>
      <c r="F289" s="68">
        <f>TRUNC(46.2,2)</f>
        <v>46.2</v>
      </c>
      <c r="G289" s="63">
        <f t="shared" si="11"/>
        <v>1.77</v>
      </c>
      <c r="H289" s="63"/>
      <c r="I289" s="64"/>
    </row>
    <row r="290" spans="2:9" s="67" customFormat="1" ht="14.25">
      <c r="B290" s="67" t="s">
        <v>435</v>
      </c>
      <c r="C290" s="67" t="s">
        <v>436</v>
      </c>
      <c r="D290" s="67" t="s">
        <v>3</v>
      </c>
      <c r="E290" s="67">
        <v>1.05</v>
      </c>
      <c r="F290" s="68">
        <f>TRUNC(7.96,2)</f>
        <v>7.96</v>
      </c>
      <c r="G290" s="63">
        <f t="shared" si="11"/>
        <v>8.35</v>
      </c>
      <c r="H290" s="63"/>
      <c r="I290" s="64"/>
    </row>
    <row r="291" spans="2:9" s="67" customFormat="1" ht="14.25">
      <c r="B291" s="67" t="s">
        <v>420</v>
      </c>
      <c r="C291" s="67" t="s">
        <v>247</v>
      </c>
      <c r="D291" s="67" t="s">
        <v>12</v>
      </c>
      <c r="E291" s="67">
        <v>0.0247</v>
      </c>
      <c r="F291" s="68">
        <f>TRUNC(53.2,2)</f>
        <v>53.2</v>
      </c>
      <c r="G291" s="63">
        <f t="shared" si="11"/>
        <v>1.31</v>
      </c>
      <c r="H291" s="63"/>
      <c r="I291" s="64"/>
    </row>
    <row r="292" spans="2:9" s="67" customFormat="1" ht="14.25">
      <c r="B292" s="67" t="s">
        <v>421</v>
      </c>
      <c r="C292" s="67" t="s">
        <v>248</v>
      </c>
      <c r="D292" s="67" t="s">
        <v>6</v>
      </c>
      <c r="E292" s="67">
        <v>0.56</v>
      </c>
      <c r="F292" s="68">
        <f>TRUNC(24.84,2)</f>
        <v>24.84</v>
      </c>
      <c r="G292" s="63">
        <f t="shared" si="11"/>
        <v>13.91</v>
      </c>
      <c r="H292" s="63"/>
      <c r="I292" s="64"/>
    </row>
    <row r="293" spans="2:9" s="67" customFormat="1" ht="14.25">
      <c r="B293" s="67" t="s">
        <v>422</v>
      </c>
      <c r="C293" s="67" t="s">
        <v>249</v>
      </c>
      <c r="D293" s="67" t="s">
        <v>6</v>
      </c>
      <c r="E293" s="67">
        <v>0.56</v>
      </c>
      <c r="F293" s="68">
        <f>TRUNC(19.46,2)</f>
        <v>19.46</v>
      </c>
      <c r="G293" s="63">
        <f t="shared" si="11"/>
        <v>10.89</v>
      </c>
      <c r="H293" s="63"/>
      <c r="I293" s="64"/>
    </row>
    <row r="294" spans="5:9" s="67" customFormat="1" ht="14.25">
      <c r="E294" s="67" t="s">
        <v>7</v>
      </c>
      <c r="F294" s="68"/>
      <c r="G294" s="63">
        <f>TRUNC(SUM(G288:G293),2)</f>
        <v>36.52</v>
      </c>
      <c r="H294" s="63"/>
      <c r="I294" s="64"/>
    </row>
    <row r="295" spans="1:9" s="94" customFormat="1" ht="28.5">
      <c r="A295" s="94" t="s">
        <v>595</v>
      </c>
      <c r="B295" s="94" t="s">
        <v>437</v>
      </c>
      <c r="C295" s="94" t="s">
        <v>438</v>
      </c>
      <c r="D295" s="94" t="s">
        <v>3</v>
      </c>
      <c r="E295" s="94">
        <v>8</v>
      </c>
      <c r="F295" s="95">
        <f>TRUNC(G302,2)</f>
        <v>47.25</v>
      </c>
      <c r="G295" s="90">
        <f>TRUNC(F295*1.2882,2)</f>
        <v>60.86</v>
      </c>
      <c r="H295" s="90">
        <f>TRUNC(F295*E295,2)</f>
        <v>378</v>
      </c>
      <c r="I295" s="91">
        <f>TRUNC(E295*G295,2)</f>
        <v>486.88</v>
      </c>
    </row>
    <row r="296" spans="2:9" s="67" customFormat="1" ht="14.25">
      <c r="B296" s="67" t="s">
        <v>417</v>
      </c>
      <c r="C296" s="67" t="s">
        <v>244</v>
      </c>
      <c r="D296" s="67" t="s">
        <v>12</v>
      </c>
      <c r="E296" s="67">
        <v>0.247</v>
      </c>
      <c r="F296" s="68">
        <f>TRUNC(1.57,2)</f>
        <v>1.57</v>
      </c>
      <c r="G296" s="63">
        <f aca="true" t="shared" si="12" ref="G296:G301">TRUNC(E296*F296,2)</f>
        <v>0.38</v>
      </c>
      <c r="H296" s="63"/>
      <c r="I296" s="64"/>
    </row>
    <row r="297" spans="2:9" s="67" customFormat="1" ht="14.25">
      <c r="B297" s="67" t="s">
        <v>418</v>
      </c>
      <c r="C297" s="67" t="s">
        <v>245</v>
      </c>
      <c r="D297" s="67" t="s">
        <v>12</v>
      </c>
      <c r="E297" s="67">
        <v>0.0593</v>
      </c>
      <c r="F297" s="68">
        <f>TRUNC(46.2,2)</f>
        <v>46.2</v>
      </c>
      <c r="G297" s="63">
        <f t="shared" si="12"/>
        <v>2.73</v>
      </c>
      <c r="H297" s="63"/>
      <c r="I297" s="64"/>
    </row>
    <row r="298" spans="2:9" s="67" customFormat="1" ht="14.25">
      <c r="B298" s="67" t="s">
        <v>439</v>
      </c>
      <c r="C298" s="67" t="s">
        <v>440</v>
      </c>
      <c r="D298" s="67" t="s">
        <v>3</v>
      </c>
      <c r="E298" s="67">
        <v>1.05</v>
      </c>
      <c r="F298" s="68">
        <f>TRUNC(8.99,2)</f>
        <v>8.99</v>
      </c>
      <c r="G298" s="63">
        <f t="shared" si="12"/>
        <v>9.43</v>
      </c>
      <c r="H298" s="63"/>
      <c r="I298" s="64"/>
    </row>
    <row r="299" spans="2:9" s="67" customFormat="1" ht="14.25">
      <c r="B299" s="67" t="s">
        <v>420</v>
      </c>
      <c r="C299" s="67" t="s">
        <v>247</v>
      </c>
      <c r="D299" s="67" t="s">
        <v>12</v>
      </c>
      <c r="E299" s="67">
        <v>0.0363</v>
      </c>
      <c r="F299" s="68">
        <f>TRUNC(53.2,2)</f>
        <v>53.2</v>
      </c>
      <c r="G299" s="63">
        <f t="shared" si="12"/>
        <v>1.93</v>
      </c>
      <c r="H299" s="63"/>
      <c r="I299" s="64"/>
    </row>
    <row r="300" spans="2:9" s="67" customFormat="1" ht="14.25">
      <c r="B300" s="67" t="s">
        <v>421</v>
      </c>
      <c r="C300" s="67" t="s">
        <v>248</v>
      </c>
      <c r="D300" s="67" t="s">
        <v>6</v>
      </c>
      <c r="E300" s="67">
        <v>0.74</v>
      </c>
      <c r="F300" s="68">
        <f>TRUNC(24.84,2)</f>
        <v>24.84</v>
      </c>
      <c r="G300" s="63">
        <f t="shared" si="12"/>
        <v>18.38</v>
      </c>
      <c r="H300" s="63"/>
      <c r="I300" s="64"/>
    </row>
    <row r="301" spans="2:9" s="67" customFormat="1" ht="14.25">
      <c r="B301" s="67" t="s">
        <v>422</v>
      </c>
      <c r="C301" s="67" t="s">
        <v>249</v>
      </c>
      <c r="D301" s="67" t="s">
        <v>6</v>
      </c>
      <c r="E301" s="67">
        <v>0.74</v>
      </c>
      <c r="F301" s="68">
        <f>TRUNC(19.46,2)</f>
        <v>19.46</v>
      </c>
      <c r="G301" s="63">
        <f t="shared" si="12"/>
        <v>14.4</v>
      </c>
      <c r="H301" s="63"/>
      <c r="I301" s="64"/>
    </row>
    <row r="302" spans="5:9" s="67" customFormat="1" ht="14.25">
      <c r="E302" s="67" t="s">
        <v>7</v>
      </c>
      <c r="F302" s="68"/>
      <c r="G302" s="63">
        <f>TRUNC(SUM(G296:G301),2)</f>
        <v>47.25</v>
      </c>
      <c r="H302" s="63"/>
      <c r="I302" s="64"/>
    </row>
    <row r="303" spans="1:9" s="94" customFormat="1" ht="28.5">
      <c r="A303" s="94" t="s">
        <v>596</v>
      </c>
      <c r="B303" s="94" t="s">
        <v>445</v>
      </c>
      <c r="C303" s="94" t="s">
        <v>446</v>
      </c>
      <c r="D303" s="94" t="s">
        <v>3</v>
      </c>
      <c r="E303" s="94">
        <v>31.14</v>
      </c>
      <c r="F303" s="95">
        <f>TRUNC(G308,2)</f>
        <v>29.51</v>
      </c>
      <c r="G303" s="90">
        <f>TRUNC(F303*1.2882,2)</f>
        <v>38.01</v>
      </c>
      <c r="H303" s="90">
        <f>TRUNC(F303*E303,2)</f>
        <v>918.94</v>
      </c>
      <c r="I303" s="91">
        <f>TRUNC(E303*G303,2)</f>
        <v>1183.63</v>
      </c>
    </row>
    <row r="304" spans="2:9" s="67" customFormat="1" ht="14.25">
      <c r="B304" s="67" t="s">
        <v>421</v>
      </c>
      <c r="C304" s="67" t="s">
        <v>248</v>
      </c>
      <c r="D304" s="67" t="s">
        <v>6</v>
      </c>
      <c r="E304" s="67">
        <v>0.537</v>
      </c>
      <c r="F304" s="68">
        <f>TRUNC(24.84,2)</f>
        <v>24.84</v>
      </c>
      <c r="G304" s="63">
        <f>TRUNC(E304*F304,2)</f>
        <v>13.33</v>
      </c>
      <c r="H304" s="63"/>
      <c r="I304" s="64"/>
    </row>
    <row r="305" spans="2:9" s="67" customFormat="1" ht="14.25">
      <c r="B305" s="67" t="s">
        <v>422</v>
      </c>
      <c r="C305" s="67" t="s">
        <v>249</v>
      </c>
      <c r="D305" s="67" t="s">
        <v>6</v>
      </c>
      <c r="E305" s="67">
        <v>0.084</v>
      </c>
      <c r="F305" s="68">
        <f>TRUNC(19.46,2)</f>
        <v>19.46</v>
      </c>
      <c r="G305" s="63">
        <f>TRUNC(E305*F305,2)</f>
        <v>1.63</v>
      </c>
      <c r="H305" s="63"/>
      <c r="I305" s="64"/>
    </row>
    <row r="306" spans="2:9" s="67" customFormat="1" ht="28.5">
      <c r="B306" s="67" t="s">
        <v>447</v>
      </c>
      <c r="C306" s="67" t="s">
        <v>448</v>
      </c>
      <c r="D306" s="67" t="s">
        <v>449</v>
      </c>
      <c r="E306" s="67">
        <v>0.369</v>
      </c>
      <c r="F306" s="68">
        <f>TRUNC(26.69,2)</f>
        <v>26.69</v>
      </c>
      <c r="G306" s="63">
        <f>TRUNC(E306*F306,2)</f>
        <v>9.84</v>
      </c>
      <c r="H306" s="63"/>
      <c r="I306" s="64"/>
    </row>
    <row r="307" spans="2:9" s="67" customFormat="1" ht="28.5">
      <c r="B307" s="67" t="s">
        <v>450</v>
      </c>
      <c r="C307" s="67" t="s">
        <v>451</v>
      </c>
      <c r="D307" s="67" t="s">
        <v>452</v>
      </c>
      <c r="E307" s="67">
        <v>0.168</v>
      </c>
      <c r="F307" s="68">
        <f>TRUNC(28.07,2)</f>
        <v>28.07</v>
      </c>
      <c r="G307" s="63">
        <f>TRUNC(E307*F307,2)</f>
        <v>4.71</v>
      </c>
      <c r="H307" s="63"/>
      <c r="I307" s="64"/>
    </row>
    <row r="308" spans="5:9" s="67" customFormat="1" ht="14.25">
      <c r="E308" s="67" t="s">
        <v>7</v>
      </c>
      <c r="F308" s="68"/>
      <c r="G308" s="63">
        <f>TRUNC(SUM(G304:G307),2)</f>
        <v>29.51</v>
      </c>
      <c r="H308" s="63"/>
      <c r="I308" s="64"/>
    </row>
    <row r="309" spans="1:9" s="94" customFormat="1" ht="28.5">
      <c r="A309" s="94" t="s">
        <v>597</v>
      </c>
      <c r="B309" s="94" t="s">
        <v>453</v>
      </c>
      <c r="C309" s="94" t="s">
        <v>454</v>
      </c>
      <c r="D309" s="94" t="s">
        <v>3</v>
      </c>
      <c r="E309" s="94">
        <v>8</v>
      </c>
      <c r="F309" s="95">
        <f>TRUNC(G314,2)</f>
        <v>32.08</v>
      </c>
      <c r="G309" s="90">
        <f>TRUNC(F309*1.2882,2)</f>
        <v>41.32</v>
      </c>
      <c r="H309" s="90">
        <f>TRUNC(F309*E309,2)</f>
        <v>256.64</v>
      </c>
      <c r="I309" s="91">
        <f>TRUNC(E309*G309,2)</f>
        <v>330.56</v>
      </c>
    </row>
    <row r="310" spans="2:9" s="67" customFormat="1" ht="14.25">
      <c r="B310" s="67" t="s">
        <v>421</v>
      </c>
      <c r="C310" s="67" t="s">
        <v>248</v>
      </c>
      <c r="D310" s="67" t="s">
        <v>6</v>
      </c>
      <c r="E310" s="67">
        <v>0.583</v>
      </c>
      <c r="F310" s="68">
        <f>TRUNC(24.84,2)</f>
        <v>24.84</v>
      </c>
      <c r="G310" s="63">
        <f>TRUNC(E310*F310,2)</f>
        <v>14.48</v>
      </c>
      <c r="H310" s="63"/>
      <c r="I310" s="64"/>
    </row>
    <row r="311" spans="2:9" s="67" customFormat="1" ht="14.25">
      <c r="B311" s="67" t="s">
        <v>422</v>
      </c>
      <c r="C311" s="67" t="s">
        <v>249</v>
      </c>
      <c r="D311" s="67" t="s">
        <v>6</v>
      </c>
      <c r="E311" s="67">
        <v>0.091</v>
      </c>
      <c r="F311" s="68">
        <f>TRUNC(19.46,2)</f>
        <v>19.46</v>
      </c>
      <c r="G311" s="63">
        <f>TRUNC(E311*F311,2)</f>
        <v>1.77</v>
      </c>
      <c r="H311" s="63"/>
      <c r="I311" s="64"/>
    </row>
    <row r="312" spans="2:9" s="67" customFormat="1" ht="28.5">
      <c r="B312" s="67" t="s">
        <v>447</v>
      </c>
      <c r="C312" s="67" t="s">
        <v>448</v>
      </c>
      <c r="D312" s="67" t="s">
        <v>449</v>
      </c>
      <c r="E312" s="67">
        <v>0.401</v>
      </c>
      <c r="F312" s="68">
        <f>TRUNC(26.69,2)</f>
        <v>26.69</v>
      </c>
      <c r="G312" s="63">
        <f>TRUNC(E312*F312,2)</f>
        <v>10.7</v>
      </c>
      <c r="H312" s="63"/>
      <c r="I312" s="64"/>
    </row>
    <row r="313" spans="2:9" s="67" customFormat="1" ht="28.5">
      <c r="B313" s="67" t="s">
        <v>450</v>
      </c>
      <c r="C313" s="67" t="s">
        <v>451</v>
      </c>
      <c r="D313" s="67" t="s">
        <v>452</v>
      </c>
      <c r="E313" s="67">
        <v>0.183</v>
      </c>
      <c r="F313" s="68">
        <f>TRUNC(28.07,2)</f>
        <v>28.07</v>
      </c>
      <c r="G313" s="63">
        <f>TRUNC(E313*F313,2)</f>
        <v>5.13</v>
      </c>
      <c r="H313" s="63"/>
      <c r="I313" s="64"/>
    </row>
    <row r="314" spans="5:9" s="67" customFormat="1" ht="14.25">
      <c r="E314" s="67" t="s">
        <v>7</v>
      </c>
      <c r="F314" s="68"/>
      <c r="G314" s="63">
        <f>TRUNC(SUM(G310:G313),2)</f>
        <v>32.08</v>
      </c>
      <c r="H314" s="63"/>
      <c r="I314" s="64"/>
    </row>
    <row r="315" spans="1:9" s="94" customFormat="1" ht="42.75">
      <c r="A315" s="94" t="s">
        <v>598</v>
      </c>
      <c r="B315" s="94" t="s">
        <v>571</v>
      </c>
      <c r="C315" s="94" t="s">
        <v>572</v>
      </c>
      <c r="D315" s="94" t="s">
        <v>3</v>
      </c>
      <c r="E315" s="94">
        <v>3</v>
      </c>
      <c r="F315" s="95">
        <f>TRUNC(G321,2)</f>
        <v>263.41</v>
      </c>
      <c r="G315" s="90">
        <f>TRUNC(F315*1.2882,2)</f>
        <v>339.32</v>
      </c>
      <c r="H315" s="90">
        <f>TRUNC(F315*E315,2)</f>
        <v>790.23</v>
      </c>
      <c r="I315" s="91">
        <f>TRUNC(E315*G315,2)</f>
        <v>1017.96</v>
      </c>
    </row>
    <row r="316" spans="2:9" s="67" customFormat="1" ht="14.25">
      <c r="B316" s="67" t="s">
        <v>573</v>
      </c>
      <c r="C316" s="67" t="s">
        <v>574</v>
      </c>
      <c r="D316" s="67" t="s">
        <v>3</v>
      </c>
      <c r="E316" s="67">
        <v>1</v>
      </c>
      <c r="F316" s="68">
        <f>TRUNC(174.85,2)</f>
        <v>174.85</v>
      </c>
      <c r="G316" s="63">
        <f>TRUNC(E316*F316,2)</f>
        <v>174.85</v>
      </c>
      <c r="H316" s="63"/>
      <c r="I316" s="64"/>
    </row>
    <row r="317" spans="2:9" s="67" customFormat="1" ht="28.5">
      <c r="B317" s="67" t="s">
        <v>56</v>
      </c>
      <c r="C317" s="67" t="s">
        <v>57</v>
      </c>
      <c r="D317" s="67" t="s">
        <v>6</v>
      </c>
      <c r="E317" s="67">
        <v>0.4326</v>
      </c>
      <c r="F317" s="68">
        <f>TRUNC(13.6,2)</f>
        <v>13.6</v>
      </c>
      <c r="G317" s="63">
        <f>TRUNC(E317*F317,2)</f>
        <v>5.88</v>
      </c>
      <c r="H317" s="63"/>
      <c r="I317" s="64"/>
    </row>
    <row r="318" spans="2:9" s="67" customFormat="1" ht="14.25">
      <c r="B318" s="67" t="s">
        <v>65</v>
      </c>
      <c r="C318" s="67" t="s">
        <v>66</v>
      </c>
      <c r="D318" s="67" t="s">
        <v>6</v>
      </c>
      <c r="E318" s="67">
        <v>0.4326</v>
      </c>
      <c r="F318" s="68">
        <f>TRUNC(18.77,2)</f>
        <v>18.77</v>
      </c>
      <c r="G318" s="63">
        <f>TRUNC(E318*F318,2)</f>
        <v>8.11</v>
      </c>
      <c r="H318" s="63"/>
      <c r="I318" s="64"/>
    </row>
    <row r="319" spans="2:9" s="67" customFormat="1" ht="14.25">
      <c r="B319" s="67" t="s">
        <v>575</v>
      </c>
      <c r="C319" s="67" t="s">
        <v>576</v>
      </c>
      <c r="D319" s="67" t="s">
        <v>0</v>
      </c>
      <c r="E319" s="67">
        <v>0.99</v>
      </c>
      <c r="F319" s="68">
        <f>TRUNC(45.8821,2)</f>
        <v>45.88</v>
      </c>
      <c r="G319" s="63">
        <f>TRUNC(E319*F319,2)</f>
        <v>45.42</v>
      </c>
      <c r="H319" s="63"/>
      <c r="I319" s="64"/>
    </row>
    <row r="320" spans="2:9" s="67" customFormat="1" ht="14.25">
      <c r="B320" s="67" t="s">
        <v>577</v>
      </c>
      <c r="C320" s="67" t="s">
        <v>578</v>
      </c>
      <c r="D320" s="67" t="s">
        <v>1</v>
      </c>
      <c r="E320" s="67">
        <v>0.02</v>
      </c>
      <c r="F320" s="68">
        <f>TRUNC(1457.7715,2)</f>
        <v>1457.77</v>
      </c>
      <c r="G320" s="63">
        <f>TRUNC(E320*F320,2)</f>
        <v>29.15</v>
      </c>
      <c r="H320" s="63"/>
      <c r="I320" s="64"/>
    </row>
    <row r="321" spans="5:9" s="67" customFormat="1" ht="14.25">
      <c r="E321" s="67" t="s">
        <v>7</v>
      </c>
      <c r="F321" s="68"/>
      <c r="G321" s="63">
        <f>TRUNC(SUM(G316:G320),2)</f>
        <v>263.41</v>
      </c>
      <c r="H321" s="63"/>
      <c r="I321" s="64"/>
    </row>
    <row r="322" spans="1:9" s="44" customFormat="1" ht="15.75">
      <c r="A322" s="53" t="s">
        <v>44</v>
      </c>
      <c r="B322" s="55"/>
      <c r="C322" s="54"/>
      <c r="D322" s="55"/>
      <c r="E322" s="55"/>
      <c r="F322" s="55" t="s">
        <v>139</v>
      </c>
      <c r="G322" s="55"/>
      <c r="H322" s="56">
        <f>H309+H303+H295+H287+H279+H273+H265+H257+H254+H249+H244+H238+H232+H218+H201+H195+H189+H224+H315</f>
        <v>6852.609999999999</v>
      </c>
      <c r="I322" s="56">
        <f>I309+I303+I295+I287+I279+I273+I265+I257+I254+I249+I244+I238+I232+I218+I201+I195+I189+I224+I315</f>
        <v>8826.829999999998</v>
      </c>
    </row>
    <row r="323" spans="1:9" s="43" customFormat="1" ht="15.75">
      <c r="A323" s="43" t="s">
        <v>20</v>
      </c>
      <c r="B323" s="51"/>
      <c r="C323" s="52" t="s">
        <v>222</v>
      </c>
      <c r="D323" s="52"/>
      <c r="E323" s="52"/>
      <c r="F323" s="52"/>
      <c r="G323" s="52"/>
      <c r="H323" s="52"/>
      <c r="I323" s="50"/>
    </row>
    <row r="324" spans="1:9" s="94" customFormat="1" ht="42.75">
      <c r="A324" s="94" t="s">
        <v>599</v>
      </c>
      <c r="B324" s="94" t="s">
        <v>359</v>
      </c>
      <c r="C324" s="94" t="s">
        <v>360</v>
      </c>
      <c r="D324" s="94" t="s">
        <v>12</v>
      </c>
      <c r="E324" s="94">
        <v>2</v>
      </c>
      <c r="F324" s="95">
        <f>TRUNC(G328,2)</f>
        <v>387.91</v>
      </c>
      <c r="G324" s="90">
        <f>TRUNC(F324*1.2882,2)</f>
        <v>499.7</v>
      </c>
      <c r="H324" s="90">
        <f>TRUNC(F324*E324,2)</f>
        <v>775.82</v>
      </c>
      <c r="I324" s="91">
        <f>TRUNC(E324*G324,2)</f>
        <v>999.4</v>
      </c>
    </row>
    <row r="325" spans="1:9" s="82" customFormat="1" ht="28.5">
      <c r="A325" s="67"/>
      <c r="B325" s="67" t="s">
        <v>361</v>
      </c>
      <c r="C325" s="67" t="s">
        <v>362</v>
      </c>
      <c r="D325" s="67" t="s">
        <v>12</v>
      </c>
      <c r="E325" s="67">
        <v>1</v>
      </c>
      <c r="F325" s="68">
        <f>TRUNC(274.32,2)</f>
        <v>274.32</v>
      </c>
      <c r="G325" s="63">
        <f>TRUNC(E325*F325,2)</f>
        <v>274.32</v>
      </c>
      <c r="H325" s="63"/>
      <c r="I325" s="64"/>
    </row>
    <row r="326" spans="1:9" s="82" customFormat="1" ht="14.25">
      <c r="A326" s="67"/>
      <c r="B326" s="67" t="s">
        <v>327</v>
      </c>
      <c r="C326" s="67" t="s">
        <v>103</v>
      </c>
      <c r="D326" s="67" t="s">
        <v>6</v>
      </c>
      <c r="E326" s="67">
        <v>2.5</v>
      </c>
      <c r="F326" s="68">
        <f>TRUNC(25.49,2)</f>
        <v>25.49</v>
      </c>
      <c r="G326" s="63">
        <f>TRUNC(E326*F326,2)</f>
        <v>63.72</v>
      </c>
      <c r="H326" s="63"/>
      <c r="I326" s="64"/>
    </row>
    <row r="327" spans="1:9" s="82" customFormat="1" ht="14.25">
      <c r="A327" s="67"/>
      <c r="B327" s="67" t="s">
        <v>328</v>
      </c>
      <c r="C327" s="67" t="s">
        <v>104</v>
      </c>
      <c r="D327" s="67" t="s">
        <v>6</v>
      </c>
      <c r="E327" s="67">
        <v>2.5</v>
      </c>
      <c r="F327" s="68">
        <f>TRUNC(19.95,2)</f>
        <v>19.95</v>
      </c>
      <c r="G327" s="63">
        <f>TRUNC(E327*F327,2)</f>
        <v>49.87</v>
      </c>
      <c r="H327" s="63"/>
      <c r="I327" s="64"/>
    </row>
    <row r="328" spans="1:9" s="82" customFormat="1" ht="14.25">
      <c r="A328" s="67"/>
      <c r="B328" s="67"/>
      <c r="C328" s="67"/>
      <c r="D328" s="67"/>
      <c r="E328" s="67" t="s">
        <v>7</v>
      </c>
      <c r="F328" s="68"/>
      <c r="G328" s="63">
        <f>TRUNC(SUM(G325:G327),2)</f>
        <v>387.91</v>
      </c>
      <c r="H328" s="63"/>
      <c r="I328" s="64"/>
    </row>
    <row r="329" spans="1:9" s="94" customFormat="1" ht="28.5">
      <c r="A329" s="94" t="s">
        <v>600</v>
      </c>
      <c r="B329" s="94" t="s">
        <v>355</v>
      </c>
      <c r="C329" s="94" t="s">
        <v>356</v>
      </c>
      <c r="D329" s="94" t="s">
        <v>12</v>
      </c>
      <c r="E329" s="94">
        <v>4</v>
      </c>
      <c r="F329" s="95">
        <f>TRUNC(G334,2)</f>
        <v>10.03</v>
      </c>
      <c r="G329" s="90">
        <f>TRUNC(F329*1.2882,2)</f>
        <v>12.92</v>
      </c>
      <c r="H329" s="90">
        <f>TRUNC(F329*E329,2)</f>
        <v>40.12</v>
      </c>
      <c r="I329" s="91">
        <f>TRUNC(E329*G329,2)</f>
        <v>51.68</v>
      </c>
    </row>
    <row r="330" spans="1:9" s="82" customFormat="1" ht="14.25">
      <c r="A330" s="67"/>
      <c r="B330" s="67" t="s">
        <v>341</v>
      </c>
      <c r="C330" s="67" t="s">
        <v>342</v>
      </c>
      <c r="D330" s="67" t="s">
        <v>12</v>
      </c>
      <c r="E330" s="67">
        <v>1</v>
      </c>
      <c r="F330" s="68">
        <f>TRUNC(7.8,2)</f>
        <v>7.8</v>
      </c>
      <c r="G330" s="63">
        <f>TRUNC(E330*F330,2)</f>
        <v>7.8</v>
      </c>
      <c r="H330" s="63"/>
      <c r="I330" s="64"/>
    </row>
    <row r="331" spans="1:9" s="82" customFormat="1" ht="28.5">
      <c r="A331" s="67"/>
      <c r="B331" s="67" t="s">
        <v>343</v>
      </c>
      <c r="C331" s="67" t="s">
        <v>344</v>
      </c>
      <c r="D331" s="67" t="s">
        <v>12</v>
      </c>
      <c r="E331" s="67">
        <v>1</v>
      </c>
      <c r="F331" s="68">
        <f>TRUNC(0.65,2)</f>
        <v>0.65</v>
      </c>
      <c r="G331" s="63">
        <f>TRUNC(E331*F331,2)</f>
        <v>0.65</v>
      </c>
      <c r="H331" s="63"/>
      <c r="I331" s="64"/>
    </row>
    <row r="332" spans="1:9" s="82" customFormat="1" ht="14.25">
      <c r="A332" s="67"/>
      <c r="B332" s="67" t="s">
        <v>327</v>
      </c>
      <c r="C332" s="67" t="s">
        <v>103</v>
      </c>
      <c r="D332" s="67" t="s">
        <v>6</v>
      </c>
      <c r="E332" s="67">
        <v>0.035</v>
      </c>
      <c r="F332" s="68">
        <f>TRUNC(25.49,2)</f>
        <v>25.49</v>
      </c>
      <c r="G332" s="63">
        <f>TRUNC(E332*F332,2)</f>
        <v>0.89</v>
      </c>
      <c r="H332" s="63"/>
      <c r="I332" s="64"/>
    </row>
    <row r="333" spans="1:9" s="82" customFormat="1" ht="14.25">
      <c r="A333" s="67"/>
      <c r="B333" s="67" t="s">
        <v>328</v>
      </c>
      <c r="C333" s="67" t="s">
        <v>104</v>
      </c>
      <c r="D333" s="67" t="s">
        <v>6</v>
      </c>
      <c r="E333" s="67">
        <v>0.035</v>
      </c>
      <c r="F333" s="68">
        <f>TRUNC(19.95,2)</f>
        <v>19.95</v>
      </c>
      <c r="G333" s="63">
        <f>TRUNC(E333*F333,2)</f>
        <v>0.69</v>
      </c>
      <c r="H333" s="63"/>
      <c r="I333" s="64"/>
    </row>
    <row r="334" spans="1:9" s="82" customFormat="1" ht="14.25">
      <c r="A334" s="67"/>
      <c r="B334" s="67"/>
      <c r="C334" s="67"/>
      <c r="D334" s="67"/>
      <c r="E334" s="67" t="s">
        <v>7</v>
      </c>
      <c r="F334" s="68"/>
      <c r="G334" s="63">
        <f>TRUNC(SUM(G330:G333),2)</f>
        <v>10.03</v>
      </c>
      <c r="H334" s="63"/>
      <c r="I334" s="64"/>
    </row>
    <row r="335" spans="1:9" s="94" customFormat="1" ht="28.5">
      <c r="A335" s="94" t="s">
        <v>601</v>
      </c>
      <c r="B335" s="94" t="s">
        <v>357</v>
      </c>
      <c r="C335" s="94" t="s">
        <v>358</v>
      </c>
      <c r="D335" s="94" t="s">
        <v>12</v>
      </c>
      <c r="E335" s="94">
        <v>1</v>
      </c>
      <c r="F335" s="95">
        <f>TRUNC(G340,2)</f>
        <v>49.17</v>
      </c>
      <c r="G335" s="90">
        <f>TRUNC(F335*1.2882,2)</f>
        <v>63.34</v>
      </c>
      <c r="H335" s="90">
        <f>TRUNC(F335*E335,2)</f>
        <v>49.17</v>
      </c>
      <c r="I335" s="91">
        <f>TRUNC(E335*G335,2)</f>
        <v>63.34</v>
      </c>
    </row>
    <row r="336" spans="1:9" s="82" customFormat="1" ht="14.25">
      <c r="A336" s="67"/>
      <c r="B336" s="67" t="s">
        <v>347</v>
      </c>
      <c r="C336" s="67" t="s">
        <v>348</v>
      </c>
      <c r="D336" s="67" t="s">
        <v>12</v>
      </c>
      <c r="E336" s="67">
        <v>1</v>
      </c>
      <c r="F336" s="68">
        <f>TRUNC(44.7,2)</f>
        <v>44.7</v>
      </c>
      <c r="G336" s="63">
        <f>TRUNC(E336*F336,2)</f>
        <v>44.7</v>
      </c>
      <c r="H336" s="63"/>
      <c r="I336" s="64"/>
    </row>
    <row r="337" spans="1:9" s="82" customFormat="1" ht="28.5">
      <c r="A337" s="67"/>
      <c r="B337" s="67" t="s">
        <v>343</v>
      </c>
      <c r="C337" s="67" t="s">
        <v>344</v>
      </c>
      <c r="D337" s="67" t="s">
        <v>12</v>
      </c>
      <c r="E337" s="67">
        <v>2</v>
      </c>
      <c r="F337" s="68">
        <f>TRUNC(0.65,2)</f>
        <v>0.65</v>
      </c>
      <c r="G337" s="63">
        <f>TRUNC(E337*F337,2)</f>
        <v>1.3</v>
      </c>
      <c r="H337" s="63"/>
      <c r="I337" s="64"/>
    </row>
    <row r="338" spans="1:9" s="82" customFormat="1" ht="14.25">
      <c r="A338" s="67"/>
      <c r="B338" s="67" t="s">
        <v>327</v>
      </c>
      <c r="C338" s="67" t="s">
        <v>103</v>
      </c>
      <c r="D338" s="67" t="s">
        <v>6</v>
      </c>
      <c r="E338" s="67">
        <v>0.07</v>
      </c>
      <c r="F338" s="68">
        <f>TRUNC(25.49,2)</f>
        <v>25.49</v>
      </c>
      <c r="G338" s="63">
        <f>TRUNC(E338*F338,2)</f>
        <v>1.78</v>
      </c>
      <c r="H338" s="63"/>
      <c r="I338" s="64"/>
    </row>
    <row r="339" spans="1:9" s="82" customFormat="1" ht="14.25">
      <c r="A339" s="67"/>
      <c r="B339" s="67" t="s">
        <v>328</v>
      </c>
      <c r="C339" s="67" t="s">
        <v>104</v>
      </c>
      <c r="D339" s="67" t="s">
        <v>6</v>
      </c>
      <c r="E339" s="67">
        <v>0.07</v>
      </c>
      <c r="F339" s="68">
        <f>TRUNC(19.95,2)</f>
        <v>19.95</v>
      </c>
      <c r="G339" s="63">
        <f>TRUNC(E339*F339,2)</f>
        <v>1.39</v>
      </c>
      <c r="H339" s="63"/>
      <c r="I339" s="64"/>
    </row>
    <row r="340" spans="1:9" s="82" customFormat="1" ht="14.25">
      <c r="A340" s="67"/>
      <c r="B340" s="67"/>
      <c r="C340" s="67"/>
      <c r="D340" s="67"/>
      <c r="E340" s="67" t="s">
        <v>7</v>
      </c>
      <c r="F340" s="68"/>
      <c r="G340" s="63">
        <f>TRUNC(SUM(G336:G339),2)</f>
        <v>49.17</v>
      </c>
      <c r="H340" s="63"/>
      <c r="I340" s="64"/>
    </row>
    <row r="341" spans="1:9" s="94" customFormat="1" ht="28.5">
      <c r="A341" s="94" t="s">
        <v>602</v>
      </c>
      <c r="B341" s="94" t="s">
        <v>339</v>
      </c>
      <c r="C341" s="94" t="s">
        <v>340</v>
      </c>
      <c r="D341" s="94" t="s">
        <v>12</v>
      </c>
      <c r="E341" s="94">
        <v>3</v>
      </c>
      <c r="F341" s="95">
        <f>TRUNC(G346,2)</f>
        <v>10.62</v>
      </c>
      <c r="G341" s="90">
        <f>TRUNC(F341*1.2882,2)</f>
        <v>13.68</v>
      </c>
      <c r="H341" s="90">
        <f>TRUNC(F341*E341,2)</f>
        <v>31.86</v>
      </c>
      <c r="I341" s="91">
        <f>TRUNC(E341*G341,2)</f>
        <v>41.04</v>
      </c>
    </row>
    <row r="342" spans="1:9" s="82" customFormat="1" ht="14.25">
      <c r="A342" s="67"/>
      <c r="B342" s="67" t="s">
        <v>341</v>
      </c>
      <c r="C342" s="67" t="s">
        <v>342</v>
      </c>
      <c r="D342" s="67" t="s">
        <v>12</v>
      </c>
      <c r="E342" s="67">
        <v>1</v>
      </c>
      <c r="F342" s="68">
        <f>TRUNC(7.8,2)</f>
        <v>7.8</v>
      </c>
      <c r="G342" s="63">
        <f>TRUNC(E342*F342,2)</f>
        <v>7.8</v>
      </c>
      <c r="H342" s="63"/>
      <c r="I342" s="64"/>
    </row>
    <row r="343" spans="1:9" s="82" customFormat="1" ht="28.5">
      <c r="A343" s="67"/>
      <c r="B343" s="67" t="s">
        <v>343</v>
      </c>
      <c r="C343" s="67" t="s">
        <v>344</v>
      </c>
      <c r="D343" s="67" t="s">
        <v>12</v>
      </c>
      <c r="E343" s="67">
        <v>1</v>
      </c>
      <c r="F343" s="68">
        <f>TRUNC(0.65,2)</f>
        <v>0.65</v>
      </c>
      <c r="G343" s="63">
        <f>TRUNC(E343*F343,2)</f>
        <v>0.65</v>
      </c>
      <c r="H343" s="63"/>
      <c r="I343" s="64"/>
    </row>
    <row r="344" spans="1:9" s="82" customFormat="1" ht="14.25">
      <c r="A344" s="67"/>
      <c r="B344" s="67" t="s">
        <v>327</v>
      </c>
      <c r="C344" s="67" t="s">
        <v>103</v>
      </c>
      <c r="D344" s="67" t="s">
        <v>6</v>
      </c>
      <c r="E344" s="67">
        <v>0.048</v>
      </c>
      <c r="F344" s="68">
        <f>TRUNC(25.49,2)</f>
        <v>25.49</v>
      </c>
      <c r="G344" s="63">
        <f>TRUNC(E344*F344,2)</f>
        <v>1.22</v>
      </c>
      <c r="H344" s="63"/>
      <c r="I344" s="64"/>
    </row>
    <row r="345" spans="1:9" s="82" customFormat="1" ht="14.25">
      <c r="A345" s="67"/>
      <c r="B345" s="67" t="s">
        <v>328</v>
      </c>
      <c r="C345" s="67" t="s">
        <v>104</v>
      </c>
      <c r="D345" s="67" t="s">
        <v>6</v>
      </c>
      <c r="E345" s="67">
        <v>0.048</v>
      </c>
      <c r="F345" s="68">
        <f>TRUNC(19.95,2)</f>
        <v>19.95</v>
      </c>
      <c r="G345" s="63">
        <f>TRUNC(E345*F345,2)</f>
        <v>0.95</v>
      </c>
      <c r="H345" s="63"/>
      <c r="I345" s="64"/>
    </row>
    <row r="346" spans="1:9" s="82" customFormat="1" ht="14.25">
      <c r="A346" s="67"/>
      <c r="B346" s="67"/>
      <c r="C346" s="67"/>
      <c r="D346" s="67"/>
      <c r="E346" s="67" t="s">
        <v>7</v>
      </c>
      <c r="F346" s="68"/>
      <c r="G346" s="63">
        <f>TRUNC(SUM(G342:G345),2)</f>
        <v>10.62</v>
      </c>
      <c r="H346" s="63"/>
      <c r="I346" s="64"/>
    </row>
    <row r="347" spans="1:9" s="94" customFormat="1" ht="28.5">
      <c r="A347" s="94" t="s">
        <v>603</v>
      </c>
      <c r="B347" s="94" t="s">
        <v>345</v>
      </c>
      <c r="C347" s="94" t="s">
        <v>346</v>
      </c>
      <c r="D347" s="94" t="s">
        <v>12</v>
      </c>
      <c r="E347" s="94">
        <v>1</v>
      </c>
      <c r="F347" s="95">
        <f>TRUNC(G352,2)</f>
        <v>52.42</v>
      </c>
      <c r="G347" s="90">
        <f>TRUNC(F347*1.2882,2)</f>
        <v>67.52</v>
      </c>
      <c r="H347" s="90">
        <f>TRUNC(F347*E347,2)</f>
        <v>52.42</v>
      </c>
      <c r="I347" s="91">
        <f>TRUNC(E347*G347,2)</f>
        <v>67.52</v>
      </c>
    </row>
    <row r="348" spans="1:9" s="82" customFormat="1" ht="14.25">
      <c r="A348" s="67"/>
      <c r="B348" s="67" t="s">
        <v>347</v>
      </c>
      <c r="C348" s="67" t="s">
        <v>348</v>
      </c>
      <c r="D348" s="67" t="s">
        <v>12</v>
      </c>
      <c r="E348" s="67">
        <v>1</v>
      </c>
      <c r="F348" s="68">
        <f>TRUNC(44.7,2)</f>
        <v>44.7</v>
      </c>
      <c r="G348" s="63">
        <f>TRUNC(E348*F348,2)</f>
        <v>44.7</v>
      </c>
      <c r="H348" s="63"/>
      <c r="I348" s="64"/>
    </row>
    <row r="349" spans="1:9" s="82" customFormat="1" ht="28.5">
      <c r="A349" s="67"/>
      <c r="B349" s="67" t="s">
        <v>349</v>
      </c>
      <c r="C349" s="67" t="s">
        <v>350</v>
      </c>
      <c r="D349" s="67" t="s">
        <v>12</v>
      </c>
      <c r="E349" s="67">
        <v>2</v>
      </c>
      <c r="F349" s="68">
        <f>TRUNC(0.84,2)</f>
        <v>0.84</v>
      </c>
      <c r="G349" s="63">
        <f>TRUNC(E349*F349,2)</f>
        <v>1.68</v>
      </c>
      <c r="H349" s="63"/>
      <c r="I349" s="64"/>
    </row>
    <row r="350" spans="1:9" s="82" customFormat="1" ht="14.25">
      <c r="A350" s="67"/>
      <c r="B350" s="67" t="s">
        <v>327</v>
      </c>
      <c r="C350" s="67" t="s">
        <v>103</v>
      </c>
      <c r="D350" s="67" t="s">
        <v>6</v>
      </c>
      <c r="E350" s="67">
        <v>0.133</v>
      </c>
      <c r="F350" s="68">
        <f>TRUNC(25.49,2)</f>
        <v>25.49</v>
      </c>
      <c r="G350" s="63">
        <f>TRUNC(E350*F350,2)</f>
        <v>3.39</v>
      </c>
      <c r="H350" s="63"/>
      <c r="I350" s="64"/>
    </row>
    <row r="351" spans="1:9" s="82" customFormat="1" ht="14.25">
      <c r="A351" s="67"/>
      <c r="B351" s="67" t="s">
        <v>328</v>
      </c>
      <c r="C351" s="67" t="s">
        <v>104</v>
      </c>
      <c r="D351" s="67" t="s">
        <v>6</v>
      </c>
      <c r="E351" s="67">
        <v>0.133</v>
      </c>
      <c r="F351" s="68">
        <f>TRUNC(19.95,2)</f>
        <v>19.95</v>
      </c>
      <c r="G351" s="63">
        <f>TRUNC(E351*F351,2)</f>
        <v>2.65</v>
      </c>
      <c r="H351" s="63"/>
      <c r="I351" s="64"/>
    </row>
    <row r="352" spans="1:9" s="82" customFormat="1" ht="14.25">
      <c r="A352" s="67"/>
      <c r="B352" s="67"/>
      <c r="C352" s="67"/>
      <c r="D352" s="67"/>
      <c r="E352" s="67" t="s">
        <v>7</v>
      </c>
      <c r="F352" s="68"/>
      <c r="G352" s="63">
        <f>TRUNC(SUM(G348:G351),2)</f>
        <v>52.42</v>
      </c>
      <c r="H352" s="63"/>
      <c r="I352" s="64"/>
    </row>
    <row r="353" spans="1:9" s="94" customFormat="1" ht="28.5">
      <c r="A353" s="94" t="s">
        <v>604</v>
      </c>
      <c r="B353" s="94" t="s">
        <v>351</v>
      </c>
      <c r="C353" s="94" t="s">
        <v>352</v>
      </c>
      <c r="D353" s="94" t="s">
        <v>12</v>
      </c>
      <c r="E353" s="94">
        <v>5</v>
      </c>
      <c r="F353" s="95">
        <f>TRUNC(G358,2)</f>
        <v>54.98</v>
      </c>
      <c r="G353" s="90">
        <f>TRUNC(F353*1.2882,2)</f>
        <v>70.82</v>
      </c>
      <c r="H353" s="90">
        <f>TRUNC(F353*E353,2)</f>
        <v>274.9</v>
      </c>
      <c r="I353" s="91">
        <f>TRUNC(E353*G353,2)</f>
        <v>354.1</v>
      </c>
    </row>
    <row r="354" spans="1:9" s="82" customFormat="1" ht="14.25">
      <c r="A354" s="67"/>
      <c r="B354" s="67" t="s">
        <v>347</v>
      </c>
      <c r="C354" s="67" t="s">
        <v>348</v>
      </c>
      <c r="D354" s="67" t="s">
        <v>12</v>
      </c>
      <c r="E354" s="67">
        <v>1</v>
      </c>
      <c r="F354" s="68">
        <f>TRUNC(44.7,2)</f>
        <v>44.7</v>
      </c>
      <c r="G354" s="63">
        <f>TRUNC(E354*F354,2)</f>
        <v>44.7</v>
      </c>
      <c r="H354" s="63"/>
      <c r="I354" s="64"/>
    </row>
    <row r="355" spans="1:9" s="82" customFormat="1" ht="28.5">
      <c r="A355" s="67"/>
      <c r="B355" s="67" t="s">
        <v>353</v>
      </c>
      <c r="C355" s="67" t="s">
        <v>354</v>
      </c>
      <c r="D355" s="67" t="s">
        <v>12</v>
      </c>
      <c r="E355" s="67">
        <v>2</v>
      </c>
      <c r="F355" s="68">
        <f>TRUNC(1.01,2)</f>
        <v>1.01</v>
      </c>
      <c r="G355" s="63">
        <f>TRUNC(E355*F355,2)</f>
        <v>2.02</v>
      </c>
      <c r="H355" s="63"/>
      <c r="I355" s="64"/>
    </row>
    <row r="356" spans="1:9" s="82" customFormat="1" ht="14.25">
      <c r="A356" s="67"/>
      <c r="B356" s="67" t="s">
        <v>327</v>
      </c>
      <c r="C356" s="67" t="s">
        <v>103</v>
      </c>
      <c r="D356" s="67" t="s">
        <v>6</v>
      </c>
      <c r="E356" s="67">
        <v>0.182</v>
      </c>
      <c r="F356" s="68">
        <f>TRUNC(25.49,2)</f>
        <v>25.49</v>
      </c>
      <c r="G356" s="63">
        <f>TRUNC(E356*F356,2)</f>
        <v>4.63</v>
      </c>
      <c r="H356" s="63"/>
      <c r="I356" s="64"/>
    </row>
    <row r="357" spans="1:9" s="82" customFormat="1" ht="14.25">
      <c r="A357" s="67"/>
      <c r="B357" s="67" t="s">
        <v>328</v>
      </c>
      <c r="C357" s="67" t="s">
        <v>104</v>
      </c>
      <c r="D357" s="67" t="s">
        <v>6</v>
      </c>
      <c r="E357" s="67">
        <v>0.182</v>
      </c>
      <c r="F357" s="68">
        <f>TRUNC(19.95,2)</f>
        <v>19.95</v>
      </c>
      <c r="G357" s="63">
        <f>TRUNC(E357*F357,2)</f>
        <v>3.63</v>
      </c>
      <c r="H357" s="63"/>
      <c r="I357" s="64"/>
    </row>
    <row r="358" spans="1:9" s="82" customFormat="1" ht="14.25">
      <c r="A358" s="67"/>
      <c r="B358" s="67"/>
      <c r="C358" s="67"/>
      <c r="D358" s="67"/>
      <c r="E358" s="67" t="s">
        <v>7</v>
      </c>
      <c r="F358" s="68"/>
      <c r="G358" s="63">
        <f>TRUNC(SUM(G354:G357),2)</f>
        <v>54.98</v>
      </c>
      <c r="H358" s="63"/>
      <c r="I358" s="64"/>
    </row>
    <row r="359" spans="1:9" s="94" customFormat="1" ht="57">
      <c r="A359" s="94" t="s">
        <v>605</v>
      </c>
      <c r="B359" s="94" t="s">
        <v>290</v>
      </c>
      <c r="C359" s="94" t="s">
        <v>287</v>
      </c>
      <c r="D359" s="94" t="s">
        <v>3</v>
      </c>
      <c r="E359" s="94">
        <v>340</v>
      </c>
      <c r="F359" s="95">
        <f>TRUNC(G364,2)</f>
        <v>2.64</v>
      </c>
      <c r="G359" s="90">
        <f>TRUNC(F359*1.2882,2)</f>
        <v>3.4</v>
      </c>
      <c r="H359" s="90">
        <f>TRUNC(F359*E359,2)</f>
        <v>897.6</v>
      </c>
      <c r="I359" s="91">
        <f>TRUNC(E359*G359,2)</f>
        <v>1156</v>
      </c>
    </row>
    <row r="360" spans="1:9" s="82" customFormat="1" ht="14.25">
      <c r="A360" s="67"/>
      <c r="B360" s="67" t="s">
        <v>80</v>
      </c>
      <c r="C360" s="67" t="s">
        <v>81</v>
      </c>
      <c r="D360" s="67" t="s">
        <v>12</v>
      </c>
      <c r="E360" s="67">
        <v>0.0014</v>
      </c>
      <c r="F360" s="68">
        <f>TRUNC(3.21,2)</f>
        <v>3.21</v>
      </c>
      <c r="G360" s="63">
        <f>TRUNC(E360*F360,2)</f>
        <v>0</v>
      </c>
      <c r="H360" s="63"/>
      <c r="I360" s="64"/>
    </row>
    <row r="361" spans="1:9" s="82" customFormat="1" ht="14.25">
      <c r="A361" s="67"/>
      <c r="B361" s="67" t="s">
        <v>288</v>
      </c>
      <c r="C361" s="67" t="s">
        <v>289</v>
      </c>
      <c r="D361" s="67" t="s">
        <v>3</v>
      </c>
      <c r="E361" s="67">
        <v>1</v>
      </c>
      <c r="F361" s="68">
        <f>TRUNC(0.9828,2)</f>
        <v>0.98</v>
      </c>
      <c r="G361" s="63">
        <f>TRUNC(E361*F361,2)</f>
        <v>0.98</v>
      </c>
      <c r="H361" s="63"/>
      <c r="I361" s="64"/>
    </row>
    <row r="362" spans="1:9" s="82" customFormat="1" ht="28.5">
      <c r="A362" s="67"/>
      <c r="B362" s="67" t="s">
        <v>56</v>
      </c>
      <c r="C362" s="67" t="s">
        <v>57</v>
      </c>
      <c r="D362" s="67" t="s">
        <v>6</v>
      </c>
      <c r="E362" s="67">
        <v>0.051500000000000004</v>
      </c>
      <c r="F362" s="68">
        <f>TRUNC(13.6,2)</f>
        <v>13.6</v>
      </c>
      <c r="G362" s="63">
        <f>TRUNC(E362*F362,2)</f>
        <v>0.7</v>
      </c>
      <c r="H362" s="63"/>
      <c r="I362" s="64"/>
    </row>
    <row r="363" spans="1:9" s="82" customFormat="1" ht="28.5">
      <c r="A363" s="67"/>
      <c r="B363" s="67" t="s">
        <v>63</v>
      </c>
      <c r="C363" s="67" t="s">
        <v>64</v>
      </c>
      <c r="D363" s="67" t="s">
        <v>6</v>
      </c>
      <c r="E363" s="67">
        <v>0.051500000000000004</v>
      </c>
      <c r="F363" s="68">
        <f>TRUNC(18.77,2)</f>
        <v>18.77</v>
      </c>
      <c r="G363" s="63">
        <f>TRUNC(E363*F363,2)</f>
        <v>0.96</v>
      </c>
      <c r="H363" s="63"/>
      <c r="I363" s="64"/>
    </row>
    <row r="364" spans="1:9" s="82" customFormat="1" ht="14.25">
      <c r="A364" s="67"/>
      <c r="B364" s="67"/>
      <c r="C364" s="67"/>
      <c r="D364" s="67"/>
      <c r="E364" s="67" t="s">
        <v>7</v>
      </c>
      <c r="F364" s="68"/>
      <c r="G364" s="63">
        <f>TRUNC(SUM(G360:G363),2)</f>
        <v>2.64</v>
      </c>
      <c r="H364" s="63"/>
      <c r="I364" s="64"/>
    </row>
    <row r="365" spans="1:9" s="94" customFormat="1" ht="57">
      <c r="A365" s="94" t="s">
        <v>606</v>
      </c>
      <c r="B365" s="94" t="s">
        <v>98</v>
      </c>
      <c r="C365" s="94" t="s">
        <v>97</v>
      </c>
      <c r="D365" s="94" t="s">
        <v>3</v>
      </c>
      <c r="E365" s="94">
        <v>164</v>
      </c>
      <c r="F365" s="95">
        <f>TRUNC(G370,2)</f>
        <v>3.58</v>
      </c>
      <c r="G365" s="90">
        <f>TRUNC(F365*1.2882,2)</f>
        <v>4.61</v>
      </c>
      <c r="H365" s="90">
        <f>TRUNC(F365*E365,2)</f>
        <v>587.12</v>
      </c>
      <c r="I365" s="91">
        <f>TRUNC(E365*G365,2)</f>
        <v>756.04</v>
      </c>
    </row>
    <row r="366" spans="1:9" s="82" customFormat="1" ht="14.25">
      <c r="A366" s="67"/>
      <c r="B366" s="67" t="s">
        <v>80</v>
      </c>
      <c r="C366" s="67" t="s">
        <v>81</v>
      </c>
      <c r="D366" s="67" t="s">
        <v>12</v>
      </c>
      <c r="E366" s="67">
        <v>0.0014</v>
      </c>
      <c r="F366" s="68">
        <f>TRUNC(3.21,2)</f>
        <v>3.21</v>
      </c>
      <c r="G366" s="63">
        <f>TRUNC(E366*F366,2)</f>
        <v>0</v>
      </c>
      <c r="H366" s="63"/>
      <c r="I366" s="64"/>
    </row>
    <row r="367" spans="1:9" s="82" customFormat="1" ht="14.25">
      <c r="A367" s="67"/>
      <c r="B367" s="67" t="s">
        <v>99</v>
      </c>
      <c r="C367" s="67" t="s">
        <v>100</v>
      </c>
      <c r="D367" s="67" t="s">
        <v>3</v>
      </c>
      <c r="E367" s="67">
        <v>1</v>
      </c>
      <c r="F367" s="68">
        <f>TRUNC(1.5689,2)</f>
        <v>1.56</v>
      </c>
      <c r="G367" s="63">
        <f>TRUNC(E367*F367,2)</f>
        <v>1.56</v>
      </c>
      <c r="H367" s="63"/>
      <c r="I367" s="64"/>
    </row>
    <row r="368" spans="1:9" s="82" customFormat="1" ht="28.5">
      <c r="A368" s="67"/>
      <c r="B368" s="67" t="s">
        <v>56</v>
      </c>
      <c r="C368" s="67" t="s">
        <v>57</v>
      </c>
      <c r="D368" s="67" t="s">
        <v>6</v>
      </c>
      <c r="E368" s="67">
        <v>0.06283</v>
      </c>
      <c r="F368" s="68">
        <f>TRUNC(13.6,2)</f>
        <v>13.6</v>
      </c>
      <c r="G368" s="63">
        <f>TRUNC(E368*F368,2)</f>
        <v>0.85</v>
      </c>
      <c r="H368" s="63"/>
      <c r="I368" s="64"/>
    </row>
    <row r="369" spans="1:9" s="82" customFormat="1" ht="28.5">
      <c r="A369" s="67"/>
      <c r="B369" s="67" t="s">
        <v>63</v>
      </c>
      <c r="C369" s="67" t="s">
        <v>64</v>
      </c>
      <c r="D369" s="67" t="s">
        <v>6</v>
      </c>
      <c r="E369" s="67">
        <v>0.06283</v>
      </c>
      <c r="F369" s="68">
        <f>TRUNC(18.77,2)</f>
        <v>18.77</v>
      </c>
      <c r="G369" s="63">
        <f>TRUNC(E369*F369,2)</f>
        <v>1.17</v>
      </c>
      <c r="H369" s="63"/>
      <c r="I369" s="64"/>
    </row>
    <row r="370" spans="1:9" s="82" customFormat="1" ht="14.25">
      <c r="A370" s="67"/>
      <c r="B370" s="67"/>
      <c r="C370" s="67"/>
      <c r="D370" s="67"/>
      <c r="E370" s="67" t="s">
        <v>7</v>
      </c>
      <c r="F370" s="68"/>
      <c r="G370" s="63">
        <f>TRUNC(SUM(G366:G369),2)</f>
        <v>3.58</v>
      </c>
      <c r="H370" s="63"/>
      <c r="I370" s="64"/>
    </row>
    <row r="371" spans="1:9" s="94" customFormat="1" ht="57">
      <c r="A371" s="94" t="s">
        <v>607</v>
      </c>
      <c r="B371" s="94" t="s">
        <v>363</v>
      </c>
      <c r="C371" s="94" t="s">
        <v>364</v>
      </c>
      <c r="D371" s="94" t="s">
        <v>3</v>
      </c>
      <c r="E371" s="94">
        <v>46</v>
      </c>
      <c r="F371" s="95">
        <f>TRUNC(G376,2)</f>
        <v>4.75</v>
      </c>
      <c r="G371" s="90">
        <f>TRUNC(F371*1.2882,2)</f>
        <v>6.11</v>
      </c>
      <c r="H371" s="90">
        <f>TRUNC(F371*E371,2)</f>
        <v>218.5</v>
      </c>
      <c r="I371" s="91">
        <f>TRUNC(E371*G371,2)</f>
        <v>281.06</v>
      </c>
    </row>
    <row r="372" spans="1:9" s="82" customFormat="1" ht="14.25">
      <c r="A372" s="67"/>
      <c r="B372" s="67" t="s">
        <v>80</v>
      </c>
      <c r="C372" s="67" t="s">
        <v>81</v>
      </c>
      <c r="D372" s="67" t="s">
        <v>12</v>
      </c>
      <c r="E372" s="67">
        <v>0.0014</v>
      </c>
      <c r="F372" s="68">
        <f>TRUNC(3.21,2)</f>
        <v>3.21</v>
      </c>
      <c r="G372" s="63">
        <f>TRUNC(E372*F372,2)</f>
        <v>0</v>
      </c>
      <c r="H372" s="63"/>
      <c r="I372" s="64"/>
    </row>
    <row r="373" spans="1:9" s="82" customFormat="1" ht="14.25">
      <c r="A373" s="67"/>
      <c r="B373" s="67" t="s">
        <v>365</v>
      </c>
      <c r="C373" s="67" t="s">
        <v>366</v>
      </c>
      <c r="D373" s="67" t="s">
        <v>3</v>
      </c>
      <c r="E373" s="67">
        <v>1</v>
      </c>
      <c r="F373" s="68">
        <f>TRUNC(2.4277,2)</f>
        <v>2.42</v>
      </c>
      <c r="G373" s="63">
        <f>TRUNC(E373*F373,2)</f>
        <v>2.42</v>
      </c>
      <c r="H373" s="63"/>
      <c r="I373" s="64"/>
    </row>
    <row r="374" spans="1:9" s="82" customFormat="1" ht="28.5">
      <c r="A374" s="67"/>
      <c r="B374" s="67" t="s">
        <v>56</v>
      </c>
      <c r="C374" s="67" t="s">
        <v>57</v>
      </c>
      <c r="D374" s="67" t="s">
        <v>6</v>
      </c>
      <c r="E374" s="67">
        <v>0.07210000000000001</v>
      </c>
      <c r="F374" s="68">
        <f>TRUNC(13.6,2)</f>
        <v>13.6</v>
      </c>
      <c r="G374" s="63">
        <f>TRUNC(E374*F374,2)</f>
        <v>0.98</v>
      </c>
      <c r="H374" s="63"/>
      <c r="I374" s="64"/>
    </row>
    <row r="375" spans="1:9" s="82" customFormat="1" ht="28.5">
      <c r="A375" s="67"/>
      <c r="B375" s="67" t="s">
        <v>63</v>
      </c>
      <c r="C375" s="67" t="s">
        <v>64</v>
      </c>
      <c r="D375" s="67" t="s">
        <v>6</v>
      </c>
      <c r="E375" s="67">
        <v>0.07210000000000001</v>
      </c>
      <c r="F375" s="68">
        <f>TRUNC(18.77,2)</f>
        <v>18.77</v>
      </c>
      <c r="G375" s="63">
        <f>TRUNC(E375*F375,2)</f>
        <v>1.35</v>
      </c>
      <c r="H375" s="63"/>
      <c r="I375" s="64"/>
    </row>
    <row r="376" spans="1:9" s="82" customFormat="1" ht="14.25">
      <c r="A376" s="67"/>
      <c r="B376" s="67"/>
      <c r="C376" s="67"/>
      <c r="D376" s="67"/>
      <c r="E376" s="67" t="s">
        <v>7</v>
      </c>
      <c r="F376" s="68"/>
      <c r="G376" s="63">
        <f>TRUNC(SUM(G372:G375),2)</f>
        <v>4.75</v>
      </c>
      <c r="H376" s="63"/>
      <c r="I376" s="64"/>
    </row>
    <row r="377" spans="1:9" s="94" customFormat="1" ht="57">
      <c r="A377" s="94" t="s">
        <v>608</v>
      </c>
      <c r="B377" s="94" t="s">
        <v>367</v>
      </c>
      <c r="C377" s="94" t="s">
        <v>368</v>
      </c>
      <c r="D377" s="94" t="s">
        <v>3</v>
      </c>
      <c r="E377" s="94">
        <v>340</v>
      </c>
      <c r="F377" s="95">
        <f>TRUNC(G382,2)</f>
        <v>6.67</v>
      </c>
      <c r="G377" s="90">
        <f>TRUNC(F377*1.2882,2)</f>
        <v>8.59</v>
      </c>
      <c r="H377" s="90">
        <f>TRUNC(F377*E377,2)</f>
        <v>2267.8</v>
      </c>
      <c r="I377" s="91">
        <f>TRUNC(E377*G377,2)</f>
        <v>2920.6</v>
      </c>
    </row>
    <row r="378" spans="1:9" s="82" customFormat="1" ht="14.25">
      <c r="A378" s="67"/>
      <c r="B378" s="67" t="s">
        <v>369</v>
      </c>
      <c r="C378" s="67" t="s">
        <v>370</v>
      </c>
      <c r="D378" s="67" t="s">
        <v>3</v>
      </c>
      <c r="E378" s="67">
        <v>1</v>
      </c>
      <c r="F378" s="68">
        <f>TRUNC(4.0154,2)</f>
        <v>4.01</v>
      </c>
      <c r="G378" s="63">
        <f>TRUNC(E378*F378,2)</f>
        <v>4.01</v>
      </c>
      <c r="H378" s="63"/>
      <c r="I378" s="64"/>
    </row>
    <row r="379" spans="1:9" s="82" customFormat="1" ht="14.25">
      <c r="A379" s="67"/>
      <c r="B379" s="67" t="s">
        <v>80</v>
      </c>
      <c r="C379" s="67" t="s">
        <v>81</v>
      </c>
      <c r="D379" s="67" t="s">
        <v>12</v>
      </c>
      <c r="E379" s="67">
        <v>0.0014</v>
      </c>
      <c r="F379" s="68">
        <f>TRUNC(3.21,2)</f>
        <v>3.21</v>
      </c>
      <c r="G379" s="63">
        <f>TRUNC(E379*F379,2)</f>
        <v>0</v>
      </c>
      <c r="H379" s="63"/>
      <c r="I379" s="64"/>
    </row>
    <row r="380" spans="1:9" s="82" customFormat="1" ht="28.5">
      <c r="A380" s="67"/>
      <c r="B380" s="67" t="s">
        <v>56</v>
      </c>
      <c r="C380" s="67" t="s">
        <v>57</v>
      </c>
      <c r="D380" s="67" t="s">
        <v>6</v>
      </c>
      <c r="E380" s="67">
        <v>0.0824</v>
      </c>
      <c r="F380" s="68">
        <f>TRUNC(13.6,2)</f>
        <v>13.6</v>
      </c>
      <c r="G380" s="63">
        <f>TRUNC(E380*F380,2)</f>
        <v>1.12</v>
      </c>
      <c r="H380" s="63"/>
      <c r="I380" s="64"/>
    </row>
    <row r="381" spans="1:9" s="82" customFormat="1" ht="28.5">
      <c r="A381" s="67"/>
      <c r="B381" s="67" t="s">
        <v>63</v>
      </c>
      <c r="C381" s="67" t="s">
        <v>64</v>
      </c>
      <c r="D381" s="67" t="s">
        <v>6</v>
      </c>
      <c r="E381" s="67">
        <v>0.0824</v>
      </c>
      <c r="F381" s="68">
        <f>TRUNC(18.77,2)</f>
        <v>18.77</v>
      </c>
      <c r="G381" s="63">
        <f>TRUNC(E381*F381,2)</f>
        <v>1.54</v>
      </c>
      <c r="H381" s="63"/>
      <c r="I381" s="64"/>
    </row>
    <row r="382" spans="1:9" s="82" customFormat="1" ht="14.25">
      <c r="A382" s="67"/>
      <c r="B382" s="67"/>
      <c r="C382" s="67"/>
      <c r="D382" s="67"/>
      <c r="E382" s="67" t="s">
        <v>7</v>
      </c>
      <c r="F382" s="68"/>
      <c r="G382" s="63">
        <f>TRUNC(SUM(G378:G381),2)</f>
        <v>6.67</v>
      </c>
      <c r="H382" s="63"/>
      <c r="I382" s="64"/>
    </row>
    <row r="383" spans="1:9" s="94" customFormat="1" ht="28.5">
      <c r="A383" s="94" t="s">
        <v>609</v>
      </c>
      <c r="B383" s="94" t="s">
        <v>371</v>
      </c>
      <c r="C383" s="94" t="s">
        <v>372</v>
      </c>
      <c r="D383" s="94" t="s">
        <v>3</v>
      </c>
      <c r="E383" s="94">
        <v>102</v>
      </c>
      <c r="F383" s="95">
        <f>TRUNC(G388,2)</f>
        <v>16.62</v>
      </c>
      <c r="G383" s="90">
        <f>TRUNC(F383*1.2882,2)</f>
        <v>21.4</v>
      </c>
      <c r="H383" s="90">
        <f>TRUNC(F383*E383,2)</f>
        <v>1695.24</v>
      </c>
      <c r="I383" s="91">
        <f>TRUNC(E383*G383,2)</f>
        <v>2182.8</v>
      </c>
    </row>
    <row r="384" spans="1:9" s="82" customFormat="1" ht="14.25">
      <c r="A384" s="67"/>
      <c r="B384" s="67" t="s">
        <v>373</v>
      </c>
      <c r="C384" s="67" t="s">
        <v>374</v>
      </c>
      <c r="D384" s="67" t="s">
        <v>12</v>
      </c>
      <c r="E384" s="67">
        <v>0.009</v>
      </c>
      <c r="F384" s="68">
        <f>TRUNC(4.72,2)</f>
        <v>4.72</v>
      </c>
      <c r="G384" s="63">
        <f>TRUNC(E384*F384,2)</f>
        <v>0.04</v>
      </c>
      <c r="H384" s="63"/>
      <c r="I384" s="64"/>
    </row>
    <row r="385" spans="1:9" s="82" customFormat="1" ht="28.5">
      <c r="A385" s="67"/>
      <c r="B385" s="67" t="s">
        <v>375</v>
      </c>
      <c r="C385" s="67" t="s">
        <v>376</v>
      </c>
      <c r="D385" s="67" t="s">
        <v>3</v>
      </c>
      <c r="E385" s="67">
        <v>1.19</v>
      </c>
      <c r="F385" s="68">
        <f>TRUNC(9.55,2)</f>
        <v>9.55</v>
      </c>
      <c r="G385" s="63">
        <f>TRUNC(E385*F385,2)</f>
        <v>11.36</v>
      </c>
      <c r="H385" s="63"/>
      <c r="I385" s="64"/>
    </row>
    <row r="386" spans="1:9" s="82" customFormat="1" ht="14.25">
      <c r="A386" s="67"/>
      <c r="B386" s="67" t="s">
        <v>327</v>
      </c>
      <c r="C386" s="67" t="s">
        <v>103</v>
      </c>
      <c r="D386" s="67" t="s">
        <v>6</v>
      </c>
      <c r="E386" s="67">
        <v>0.115</v>
      </c>
      <c r="F386" s="68">
        <f>TRUNC(25.49,2)</f>
        <v>25.49</v>
      </c>
      <c r="G386" s="63">
        <f>TRUNC(E386*F386,2)</f>
        <v>2.93</v>
      </c>
      <c r="H386" s="63"/>
      <c r="I386" s="64"/>
    </row>
    <row r="387" spans="1:9" s="82" customFormat="1" ht="14.25">
      <c r="A387" s="67"/>
      <c r="B387" s="67" t="s">
        <v>328</v>
      </c>
      <c r="C387" s="67" t="s">
        <v>104</v>
      </c>
      <c r="D387" s="67" t="s">
        <v>6</v>
      </c>
      <c r="E387" s="67">
        <v>0.115</v>
      </c>
      <c r="F387" s="68">
        <f>TRUNC(19.95,2)</f>
        <v>19.95</v>
      </c>
      <c r="G387" s="63">
        <f>TRUNC(E387*F387,2)</f>
        <v>2.29</v>
      </c>
      <c r="H387" s="63"/>
      <c r="I387" s="64"/>
    </row>
    <row r="388" spans="1:9" s="82" customFormat="1" ht="14.25">
      <c r="A388" s="67"/>
      <c r="B388" s="67"/>
      <c r="C388" s="67"/>
      <c r="D388" s="67"/>
      <c r="E388" s="67" t="s">
        <v>7</v>
      </c>
      <c r="F388" s="68"/>
      <c r="G388" s="63">
        <f>TRUNC(SUM(G384:G387),2)</f>
        <v>16.62</v>
      </c>
      <c r="H388" s="63"/>
      <c r="I388" s="64"/>
    </row>
    <row r="389" spans="1:9" s="94" customFormat="1" ht="28.5">
      <c r="A389" s="94" t="s">
        <v>610</v>
      </c>
      <c r="B389" s="94" t="s">
        <v>377</v>
      </c>
      <c r="C389" s="94" t="s">
        <v>378</v>
      </c>
      <c r="D389" s="94" t="s">
        <v>12</v>
      </c>
      <c r="E389" s="94">
        <v>2</v>
      </c>
      <c r="F389" s="95">
        <f>TRUNC(G393,2)</f>
        <v>48.6</v>
      </c>
      <c r="G389" s="90">
        <f>TRUNC(F389*1.2882,2)</f>
        <v>62.6</v>
      </c>
      <c r="H389" s="90">
        <f>TRUNC(F389*E389,2)</f>
        <v>97.2</v>
      </c>
      <c r="I389" s="91">
        <f>TRUNC(E389*G389,2)</f>
        <v>125.2</v>
      </c>
    </row>
    <row r="390" spans="1:9" s="82" customFormat="1" ht="28.5">
      <c r="A390" s="67"/>
      <c r="B390" s="67" t="s">
        <v>379</v>
      </c>
      <c r="C390" s="67" t="s">
        <v>380</v>
      </c>
      <c r="D390" s="67" t="s">
        <v>12</v>
      </c>
      <c r="E390" s="67">
        <v>1</v>
      </c>
      <c r="F390" s="68">
        <f>TRUNC(39.27,2)</f>
        <v>39.27</v>
      </c>
      <c r="G390" s="63">
        <f>TRUNC(E390*F390,2)</f>
        <v>39.27</v>
      </c>
      <c r="H390" s="63"/>
      <c r="I390" s="64"/>
    </row>
    <row r="391" spans="1:9" s="82" customFormat="1" ht="28.5">
      <c r="A391" s="67"/>
      <c r="B391" s="67" t="s">
        <v>56</v>
      </c>
      <c r="C391" s="67" t="s">
        <v>57</v>
      </c>
      <c r="D391" s="67" t="s">
        <v>6</v>
      </c>
      <c r="E391" s="67">
        <v>0.28840000000000005</v>
      </c>
      <c r="F391" s="68">
        <f>TRUNC(13.6,2)</f>
        <v>13.6</v>
      </c>
      <c r="G391" s="63">
        <f>TRUNC(E391*F391,2)</f>
        <v>3.92</v>
      </c>
      <c r="H391" s="63"/>
      <c r="I391" s="64"/>
    </row>
    <row r="392" spans="1:9" s="82" customFormat="1" ht="28.5">
      <c r="A392" s="67"/>
      <c r="B392" s="67" t="s">
        <v>63</v>
      </c>
      <c r="C392" s="67" t="s">
        <v>64</v>
      </c>
      <c r="D392" s="67" t="s">
        <v>6</v>
      </c>
      <c r="E392" s="67">
        <v>0.28840000000000005</v>
      </c>
      <c r="F392" s="68">
        <f>TRUNC(18.77,2)</f>
        <v>18.77</v>
      </c>
      <c r="G392" s="63">
        <f>TRUNC(E392*F392,2)</f>
        <v>5.41</v>
      </c>
      <c r="H392" s="63"/>
      <c r="I392" s="64"/>
    </row>
    <row r="393" spans="1:9" s="82" customFormat="1" ht="14.25">
      <c r="A393" s="67"/>
      <c r="B393" s="67"/>
      <c r="C393" s="67"/>
      <c r="D393" s="67"/>
      <c r="E393" s="67" t="s">
        <v>7</v>
      </c>
      <c r="F393" s="68"/>
      <c r="G393" s="63">
        <f>TRUNC(SUM(G390:G392),2)</f>
        <v>48.6</v>
      </c>
      <c r="H393" s="63"/>
      <c r="I393" s="64"/>
    </row>
    <row r="394" spans="1:9" s="94" customFormat="1" ht="57">
      <c r="A394" s="94" t="s">
        <v>611</v>
      </c>
      <c r="B394" s="94" t="s">
        <v>387</v>
      </c>
      <c r="C394" s="94" t="s">
        <v>388</v>
      </c>
      <c r="D394" s="94" t="s">
        <v>12</v>
      </c>
      <c r="E394" s="94">
        <v>28</v>
      </c>
      <c r="F394" s="95">
        <f>TRUNC(G402,2)</f>
        <v>68.85</v>
      </c>
      <c r="G394" s="90">
        <f>TRUNC(F394*1.2882,2)</f>
        <v>88.69</v>
      </c>
      <c r="H394" s="90">
        <f>TRUNC(F394*E394,2)</f>
        <v>1927.8</v>
      </c>
      <c r="I394" s="91">
        <f>TRUNC(E394*G394,2)</f>
        <v>2483.32</v>
      </c>
    </row>
    <row r="395" spans="1:9" s="82" customFormat="1" ht="28.5">
      <c r="A395" s="67"/>
      <c r="B395" s="67" t="s">
        <v>381</v>
      </c>
      <c r="C395" s="67" t="s">
        <v>382</v>
      </c>
      <c r="D395" s="67" t="s">
        <v>12</v>
      </c>
      <c r="E395" s="67">
        <v>1</v>
      </c>
      <c r="F395" s="68">
        <f>TRUNC(7.93,2)</f>
        <v>7.93</v>
      </c>
      <c r="G395" s="63">
        <f aca="true" t="shared" si="13" ref="G395:G401">TRUNC(E395*F395,2)</f>
        <v>7.93</v>
      </c>
      <c r="H395" s="63"/>
      <c r="I395" s="64"/>
    </row>
    <row r="396" spans="1:9" s="82" customFormat="1" ht="14.25">
      <c r="A396" s="67"/>
      <c r="B396" s="67" t="s">
        <v>383</v>
      </c>
      <c r="C396" s="67" t="s">
        <v>384</v>
      </c>
      <c r="D396" s="67" t="s">
        <v>12</v>
      </c>
      <c r="E396" s="67">
        <v>1</v>
      </c>
      <c r="F396" s="68">
        <f>TRUNC(1.8,2)</f>
        <v>1.8</v>
      </c>
      <c r="G396" s="63">
        <f t="shared" si="13"/>
        <v>1.8</v>
      </c>
      <c r="H396" s="63"/>
      <c r="I396" s="64"/>
    </row>
    <row r="397" spans="1:9" s="82" customFormat="1" ht="28.5">
      <c r="A397" s="67"/>
      <c r="B397" s="67" t="s">
        <v>389</v>
      </c>
      <c r="C397" s="67" t="s">
        <v>390</v>
      </c>
      <c r="D397" s="67" t="s">
        <v>12</v>
      </c>
      <c r="E397" s="67">
        <v>1</v>
      </c>
      <c r="F397" s="68">
        <f>TRUNC(12.26,2)</f>
        <v>12.26</v>
      </c>
      <c r="G397" s="63">
        <f t="shared" si="13"/>
        <v>12.26</v>
      </c>
      <c r="H397" s="63"/>
      <c r="I397" s="64"/>
    </row>
    <row r="398" spans="1:9" s="82" customFormat="1" ht="14.25">
      <c r="A398" s="67"/>
      <c r="B398" s="67" t="s">
        <v>385</v>
      </c>
      <c r="C398" s="67" t="s">
        <v>386</v>
      </c>
      <c r="D398" s="67" t="s">
        <v>12</v>
      </c>
      <c r="E398" s="67">
        <v>2</v>
      </c>
      <c r="F398" s="68">
        <f>TRUNC(1.3,2)</f>
        <v>1.3</v>
      </c>
      <c r="G398" s="63">
        <f t="shared" si="13"/>
        <v>2.6</v>
      </c>
      <c r="H398" s="63"/>
      <c r="I398" s="64"/>
    </row>
    <row r="399" spans="1:9" s="82" customFormat="1" ht="14.25">
      <c r="A399" s="67"/>
      <c r="B399" s="67" t="s">
        <v>391</v>
      </c>
      <c r="C399" s="67" t="s">
        <v>392</v>
      </c>
      <c r="D399" s="67" t="s">
        <v>12</v>
      </c>
      <c r="E399" s="67">
        <v>1</v>
      </c>
      <c r="F399" s="68">
        <f>TRUNC(5.93,2)</f>
        <v>5.93</v>
      </c>
      <c r="G399" s="63">
        <f t="shared" si="13"/>
        <v>5.93</v>
      </c>
      <c r="H399" s="63"/>
      <c r="I399" s="64"/>
    </row>
    <row r="400" spans="1:9" s="82" customFormat="1" ht="28.5">
      <c r="A400" s="67"/>
      <c r="B400" s="67" t="s">
        <v>56</v>
      </c>
      <c r="C400" s="67" t="s">
        <v>57</v>
      </c>
      <c r="D400" s="67" t="s">
        <v>6</v>
      </c>
      <c r="E400" s="67">
        <v>1.1844999999999999</v>
      </c>
      <c r="F400" s="68">
        <f>TRUNC(13.6,2)</f>
        <v>13.6</v>
      </c>
      <c r="G400" s="63">
        <f t="shared" si="13"/>
        <v>16.1</v>
      </c>
      <c r="H400" s="63"/>
      <c r="I400" s="64"/>
    </row>
    <row r="401" spans="1:9" s="82" customFormat="1" ht="28.5">
      <c r="A401" s="67"/>
      <c r="B401" s="67" t="s">
        <v>63</v>
      </c>
      <c r="C401" s="67" t="s">
        <v>64</v>
      </c>
      <c r="D401" s="67" t="s">
        <v>6</v>
      </c>
      <c r="E401" s="67">
        <v>1.1844999999999999</v>
      </c>
      <c r="F401" s="68">
        <f>TRUNC(18.77,2)</f>
        <v>18.77</v>
      </c>
      <c r="G401" s="63">
        <f t="shared" si="13"/>
        <v>22.23</v>
      </c>
      <c r="H401" s="63"/>
      <c r="I401" s="64"/>
    </row>
    <row r="402" spans="1:9" s="82" customFormat="1" ht="14.25">
      <c r="A402" s="67"/>
      <c r="B402" s="67"/>
      <c r="C402" s="67"/>
      <c r="D402" s="67"/>
      <c r="E402" s="67" t="s">
        <v>7</v>
      </c>
      <c r="F402" s="68"/>
      <c r="G402" s="63">
        <f>TRUNC(SUM(G395:G401),2)</f>
        <v>68.85</v>
      </c>
      <c r="H402" s="63"/>
      <c r="I402" s="64"/>
    </row>
    <row r="403" spans="1:9" s="94" customFormat="1" ht="28.5">
      <c r="A403" s="94" t="s">
        <v>612</v>
      </c>
      <c r="B403" s="94" t="s">
        <v>393</v>
      </c>
      <c r="C403" s="94" t="s">
        <v>394</v>
      </c>
      <c r="D403" s="94" t="s">
        <v>12</v>
      </c>
      <c r="E403" s="94">
        <v>28</v>
      </c>
      <c r="F403" s="95">
        <f>TRUNC(G406,2)</f>
        <v>25.45</v>
      </c>
      <c r="G403" s="90">
        <f>TRUNC(F403*1.2882,2)</f>
        <v>32.78</v>
      </c>
      <c r="H403" s="90">
        <f>TRUNC(F403*E403,2)</f>
        <v>712.6</v>
      </c>
      <c r="I403" s="91">
        <f>TRUNC(E403*G403,2)</f>
        <v>917.84</v>
      </c>
    </row>
    <row r="404" spans="1:9" s="82" customFormat="1" ht="14.25">
      <c r="A404" s="67"/>
      <c r="B404" s="67" t="s">
        <v>395</v>
      </c>
      <c r="C404" s="67" t="s">
        <v>396</v>
      </c>
      <c r="D404" s="67" t="s">
        <v>12</v>
      </c>
      <c r="E404" s="67">
        <v>1</v>
      </c>
      <c r="F404" s="68">
        <f>TRUNC(24.49,2)</f>
        <v>24.49</v>
      </c>
      <c r="G404" s="63">
        <f>TRUNC(E404*F404,2)</f>
        <v>24.49</v>
      </c>
      <c r="H404" s="63"/>
      <c r="I404" s="64"/>
    </row>
    <row r="405" spans="1:9" s="82" customFormat="1" ht="28.5">
      <c r="A405" s="67"/>
      <c r="B405" s="67" t="s">
        <v>63</v>
      </c>
      <c r="C405" s="67" t="s">
        <v>64</v>
      </c>
      <c r="D405" s="67" t="s">
        <v>6</v>
      </c>
      <c r="E405" s="67">
        <v>0.051500000000000004</v>
      </c>
      <c r="F405" s="68">
        <f>TRUNC(18.77,2)</f>
        <v>18.77</v>
      </c>
      <c r="G405" s="63">
        <f>TRUNC(E405*F405,2)</f>
        <v>0.96</v>
      </c>
      <c r="H405" s="63"/>
      <c r="I405" s="64"/>
    </row>
    <row r="406" spans="1:9" s="82" customFormat="1" ht="14.25">
      <c r="A406" s="67"/>
      <c r="B406" s="67"/>
      <c r="C406" s="67"/>
      <c r="D406" s="67"/>
      <c r="E406" s="67" t="s">
        <v>7</v>
      </c>
      <c r="F406" s="68"/>
      <c r="G406" s="63">
        <f>TRUNC(SUM(G404:G405),2)</f>
        <v>25.45</v>
      </c>
      <c r="H406" s="63"/>
      <c r="I406" s="64"/>
    </row>
    <row r="407" spans="1:9" s="94" customFormat="1" ht="29.25">
      <c r="A407" s="94" t="s">
        <v>613</v>
      </c>
      <c r="B407" s="94" t="s">
        <v>642</v>
      </c>
      <c r="C407" s="94" t="s">
        <v>478</v>
      </c>
      <c r="D407" s="94" t="s">
        <v>3</v>
      </c>
      <c r="E407" s="94">
        <v>185</v>
      </c>
      <c r="F407" s="95">
        <f>TRUNC(G413,2)</f>
        <v>6.35</v>
      </c>
      <c r="G407" s="90">
        <f>TRUNC(F407*1.2882,2)</f>
        <v>8.18</v>
      </c>
      <c r="H407" s="90">
        <f>TRUNC(F407*E407,2)</f>
        <v>1174.75</v>
      </c>
      <c r="I407" s="91">
        <f>TRUNC(E407*G407,2)</f>
        <v>1513.3</v>
      </c>
    </row>
    <row r="408" spans="1:9" s="82" customFormat="1" ht="14.25">
      <c r="A408" s="67"/>
      <c r="B408" s="67" t="s">
        <v>325</v>
      </c>
      <c r="C408" s="67" t="s">
        <v>326</v>
      </c>
      <c r="D408" s="67" t="s">
        <v>3</v>
      </c>
      <c r="E408" s="67">
        <v>1.0481</v>
      </c>
      <c r="F408" s="68">
        <f>TRUNC(1.8,2)</f>
        <v>1.8</v>
      </c>
      <c r="G408" s="63">
        <f>TRUNC(E408*F408,2)</f>
        <v>1.88</v>
      </c>
      <c r="H408" s="63"/>
      <c r="I408" s="64"/>
    </row>
    <row r="409" spans="1:9" s="82" customFormat="1" ht="14.25">
      <c r="A409" s="67"/>
      <c r="B409" s="67" t="s">
        <v>327</v>
      </c>
      <c r="C409" s="67" t="s">
        <v>103</v>
      </c>
      <c r="D409" s="67" t="s">
        <v>6</v>
      </c>
      <c r="E409" s="67">
        <v>0.0391</v>
      </c>
      <c r="F409" s="68">
        <f>TRUNC(25.49,2)</f>
        <v>25.49</v>
      </c>
      <c r="G409" s="63">
        <f>TRUNC(E409*F409,2)</f>
        <v>0.99</v>
      </c>
      <c r="H409" s="63"/>
      <c r="I409" s="64"/>
    </row>
    <row r="410" spans="1:9" s="97" customFormat="1" ht="15">
      <c r="A410" s="76"/>
      <c r="B410" s="76" t="s">
        <v>407</v>
      </c>
      <c r="C410" s="76" t="s">
        <v>408</v>
      </c>
      <c r="D410" s="76" t="s">
        <v>5</v>
      </c>
      <c r="E410" s="76">
        <v>0.03</v>
      </c>
      <c r="F410" s="79">
        <v>12.9</v>
      </c>
      <c r="G410" s="63">
        <f>TRUNC(E410*F410,2)</f>
        <v>0.38</v>
      </c>
      <c r="H410" s="77"/>
      <c r="I410" s="78"/>
    </row>
    <row r="411" spans="1:9" s="82" customFormat="1" ht="14.25">
      <c r="A411" s="67"/>
      <c r="B411" s="67" t="s">
        <v>328</v>
      </c>
      <c r="C411" s="67" t="s">
        <v>104</v>
      </c>
      <c r="D411" s="67" t="s">
        <v>6</v>
      </c>
      <c r="E411" s="67">
        <v>0.0391</v>
      </c>
      <c r="F411" s="68">
        <f>TRUNC(19.95,2)</f>
        <v>19.95</v>
      </c>
      <c r="G411" s="63">
        <f>TRUNC(E411*F411,2)</f>
        <v>0.78</v>
      </c>
      <c r="H411" s="63"/>
      <c r="I411" s="64"/>
    </row>
    <row r="412" spans="1:9" s="82" customFormat="1" ht="42.75">
      <c r="A412" s="67"/>
      <c r="B412" s="67" t="s">
        <v>329</v>
      </c>
      <c r="C412" s="67" t="s">
        <v>330</v>
      </c>
      <c r="D412" s="67" t="s">
        <v>3</v>
      </c>
      <c r="E412" s="67">
        <v>1</v>
      </c>
      <c r="F412" s="68">
        <f>TRUNC(2.32,2)</f>
        <v>2.32</v>
      </c>
      <c r="G412" s="63">
        <f>TRUNC(E412*F412,2)</f>
        <v>2.32</v>
      </c>
      <c r="H412" s="63"/>
      <c r="I412" s="64"/>
    </row>
    <row r="413" spans="1:9" s="82" customFormat="1" ht="14.25">
      <c r="A413" s="67"/>
      <c r="B413" s="67"/>
      <c r="C413" s="67"/>
      <c r="D413" s="67"/>
      <c r="E413" s="67" t="s">
        <v>7</v>
      </c>
      <c r="F413" s="68"/>
      <c r="G413" s="63">
        <f>TRUNC(SUM(G408:G412),2)</f>
        <v>6.35</v>
      </c>
      <c r="H413" s="63"/>
      <c r="I413" s="64"/>
    </row>
    <row r="414" spans="1:9" s="94" customFormat="1" ht="28.5">
      <c r="A414" s="94" t="s">
        <v>614</v>
      </c>
      <c r="B414" s="94" t="s">
        <v>335</v>
      </c>
      <c r="C414" s="94" t="s">
        <v>336</v>
      </c>
      <c r="D414" s="94" t="s">
        <v>3</v>
      </c>
      <c r="E414" s="94">
        <v>22</v>
      </c>
      <c r="F414" s="95">
        <f>TRUNC(G419,2)</f>
        <v>7.87</v>
      </c>
      <c r="G414" s="90">
        <f>TRUNC(F414*1.2882,2)</f>
        <v>10.13</v>
      </c>
      <c r="H414" s="90">
        <f>TRUNC(F414*E414,2)</f>
        <v>173.14</v>
      </c>
      <c r="I414" s="91">
        <f>TRUNC(E414*G414,2)</f>
        <v>222.86</v>
      </c>
    </row>
    <row r="415" spans="1:9" s="82" customFormat="1" ht="14.25">
      <c r="A415" s="67"/>
      <c r="B415" s="67" t="s">
        <v>325</v>
      </c>
      <c r="C415" s="67" t="s">
        <v>326</v>
      </c>
      <c r="D415" s="67" t="s">
        <v>3</v>
      </c>
      <c r="E415" s="67">
        <v>1.0481</v>
      </c>
      <c r="F415" s="68">
        <f>TRUNC(1.8,2)</f>
        <v>1.8</v>
      </c>
      <c r="G415" s="63">
        <f>TRUNC(E415*F415,2)</f>
        <v>1.88</v>
      </c>
      <c r="H415" s="63"/>
      <c r="I415" s="64"/>
    </row>
    <row r="416" spans="1:9" s="82" customFormat="1" ht="14.25">
      <c r="A416" s="67"/>
      <c r="B416" s="67" t="s">
        <v>327</v>
      </c>
      <c r="C416" s="67" t="s">
        <v>103</v>
      </c>
      <c r="D416" s="67" t="s">
        <v>6</v>
      </c>
      <c r="E416" s="67">
        <v>0.0811</v>
      </c>
      <c r="F416" s="68">
        <f>TRUNC(25.49,2)</f>
        <v>25.49</v>
      </c>
      <c r="G416" s="63">
        <f>TRUNC(E416*F416,2)</f>
        <v>2.06</v>
      </c>
      <c r="H416" s="63"/>
      <c r="I416" s="64"/>
    </row>
    <row r="417" spans="1:9" s="82" customFormat="1" ht="14.25">
      <c r="A417" s="67"/>
      <c r="B417" s="67" t="s">
        <v>328</v>
      </c>
      <c r="C417" s="67" t="s">
        <v>104</v>
      </c>
      <c r="D417" s="67" t="s">
        <v>6</v>
      </c>
      <c r="E417" s="67">
        <v>0.0811</v>
      </c>
      <c r="F417" s="68">
        <f>TRUNC(19.95,2)</f>
        <v>19.95</v>
      </c>
      <c r="G417" s="63">
        <f>TRUNC(E417*F417,2)</f>
        <v>1.61</v>
      </c>
      <c r="H417" s="63"/>
      <c r="I417" s="64"/>
    </row>
    <row r="418" spans="1:9" s="82" customFormat="1" ht="42.75">
      <c r="A418" s="67"/>
      <c r="B418" s="67" t="s">
        <v>337</v>
      </c>
      <c r="C418" s="67" t="s">
        <v>338</v>
      </c>
      <c r="D418" s="67" t="s">
        <v>3</v>
      </c>
      <c r="E418" s="67">
        <v>2</v>
      </c>
      <c r="F418" s="68">
        <f>TRUNC(1.16,2)</f>
        <v>1.16</v>
      </c>
      <c r="G418" s="63">
        <f>TRUNC(E418*F418,2)</f>
        <v>2.32</v>
      </c>
      <c r="H418" s="63"/>
      <c r="I418" s="64"/>
    </row>
    <row r="419" spans="1:9" s="82" customFormat="1" ht="14.25">
      <c r="A419" s="67"/>
      <c r="B419" s="67"/>
      <c r="C419" s="67"/>
      <c r="D419" s="67"/>
      <c r="E419" s="67" t="s">
        <v>7</v>
      </c>
      <c r="F419" s="68"/>
      <c r="G419" s="63">
        <f>TRUNC(SUM(G415:G418),2)</f>
        <v>7.87</v>
      </c>
      <c r="H419" s="63"/>
      <c r="I419" s="64"/>
    </row>
    <row r="420" spans="1:9" s="94" customFormat="1" ht="28.5">
      <c r="A420" s="94" t="s">
        <v>615</v>
      </c>
      <c r="B420" s="94" t="s">
        <v>331</v>
      </c>
      <c r="C420" s="94" t="s">
        <v>332</v>
      </c>
      <c r="D420" s="94" t="s">
        <v>3</v>
      </c>
      <c r="E420" s="94">
        <v>30</v>
      </c>
      <c r="F420" s="95">
        <f>TRUNC(G424,2)</f>
        <v>18.48</v>
      </c>
      <c r="G420" s="90">
        <f>TRUNC(F420*1.2882,2)</f>
        <v>23.8</v>
      </c>
      <c r="H420" s="90">
        <f>TRUNC(F420*E420,2)</f>
        <v>554.4</v>
      </c>
      <c r="I420" s="91">
        <f>TRUNC(E420*G420,2)</f>
        <v>714</v>
      </c>
    </row>
    <row r="421" spans="1:9" s="82" customFormat="1" ht="14.25">
      <c r="A421" s="67"/>
      <c r="B421" s="67" t="s">
        <v>333</v>
      </c>
      <c r="C421" s="67" t="s">
        <v>334</v>
      </c>
      <c r="D421" s="67" t="s">
        <v>3</v>
      </c>
      <c r="E421" s="67">
        <v>1.1</v>
      </c>
      <c r="F421" s="68">
        <f>TRUNC(11.49,2)</f>
        <v>11.49</v>
      </c>
      <c r="G421" s="63">
        <f>TRUNC(E421*F421,2)</f>
        <v>12.63</v>
      </c>
      <c r="H421" s="63"/>
      <c r="I421" s="64"/>
    </row>
    <row r="422" spans="1:9" s="82" customFormat="1" ht="14.25">
      <c r="A422" s="67"/>
      <c r="B422" s="67" t="s">
        <v>327</v>
      </c>
      <c r="C422" s="67" t="s">
        <v>103</v>
      </c>
      <c r="D422" s="67" t="s">
        <v>6</v>
      </c>
      <c r="E422" s="67">
        <v>0.129</v>
      </c>
      <c r="F422" s="68">
        <f>TRUNC(25.49,2)</f>
        <v>25.49</v>
      </c>
      <c r="G422" s="63">
        <f>TRUNC(E422*F422,2)</f>
        <v>3.28</v>
      </c>
      <c r="H422" s="63"/>
      <c r="I422" s="64"/>
    </row>
    <row r="423" spans="1:9" s="82" customFormat="1" ht="14.25">
      <c r="A423" s="67"/>
      <c r="B423" s="67" t="s">
        <v>328</v>
      </c>
      <c r="C423" s="67" t="s">
        <v>104</v>
      </c>
      <c r="D423" s="67" t="s">
        <v>6</v>
      </c>
      <c r="E423" s="67">
        <v>0.129</v>
      </c>
      <c r="F423" s="68">
        <f>TRUNC(19.95,2)</f>
        <v>19.95</v>
      </c>
      <c r="G423" s="63">
        <f>TRUNC(E423*F423,2)</f>
        <v>2.57</v>
      </c>
      <c r="H423" s="63"/>
      <c r="I423" s="64"/>
    </row>
    <row r="424" spans="1:9" s="82" customFormat="1" ht="14.25">
      <c r="A424" s="67"/>
      <c r="B424" s="67"/>
      <c r="C424" s="67"/>
      <c r="D424" s="67"/>
      <c r="E424" s="67" t="s">
        <v>7</v>
      </c>
      <c r="F424" s="68"/>
      <c r="G424" s="63">
        <f>TRUNC(SUM(G421:G423),2)</f>
        <v>18.48</v>
      </c>
      <c r="H424" s="63"/>
      <c r="I424" s="64"/>
    </row>
    <row r="425" spans="1:9" s="94" customFormat="1" ht="43.5">
      <c r="A425" s="94" t="s">
        <v>616</v>
      </c>
      <c r="B425" s="94" t="s">
        <v>637</v>
      </c>
      <c r="C425" s="94" t="s">
        <v>639</v>
      </c>
      <c r="D425" s="94" t="s">
        <v>12</v>
      </c>
      <c r="E425" s="94">
        <v>22</v>
      </c>
      <c r="F425" s="95">
        <f>TRUNC(G429,2)</f>
        <v>11.66</v>
      </c>
      <c r="G425" s="90">
        <f>TRUNC(F425*1.2882,2)</f>
        <v>15.02</v>
      </c>
      <c r="H425" s="90">
        <f>TRUNC(F425*E425,2)</f>
        <v>256.52</v>
      </c>
      <c r="I425" s="91">
        <f>TRUNC(E425*G425,2)</f>
        <v>330.44</v>
      </c>
    </row>
    <row r="426" spans="1:9" s="82" customFormat="1" ht="28.5">
      <c r="A426" s="67"/>
      <c r="B426" s="67" t="s">
        <v>397</v>
      </c>
      <c r="C426" s="67" t="s">
        <v>398</v>
      </c>
      <c r="D426" s="67" t="s">
        <v>12</v>
      </c>
      <c r="E426" s="67">
        <v>1</v>
      </c>
      <c r="F426" s="68">
        <f>TRUNC(4.31,2)</f>
        <v>4.31</v>
      </c>
      <c r="G426" s="63">
        <f>TRUNC(E426*F426,2)</f>
        <v>4.31</v>
      </c>
      <c r="H426" s="63"/>
      <c r="I426" s="64"/>
    </row>
    <row r="427" spans="1:9" s="97" customFormat="1" ht="15">
      <c r="A427" s="76"/>
      <c r="B427" s="76" t="s">
        <v>399</v>
      </c>
      <c r="C427" s="76" t="s">
        <v>400</v>
      </c>
      <c r="D427" s="76" t="s">
        <v>12</v>
      </c>
      <c r="E427" s="76">
        <v>1</v>
      </c>
      <c r="F427" s="79">
        <v>2.52</v>
      </c>
      <c r="G427" s="63">
        <f>TRUNC(E427*F427,2)</f>
        <v>2.52</v>
      </c>
      <c r="H427" s="77"/>
      <c r="I427" s="78"/>
    </row>
    <row r="428" spans="1:9" s="82" customFormat="1" ht="28.5">
      <c r="A428" s="67"/>
      <c r="B428" s="67" t="s">
        <v>63</v>
      </c>
      <c r="C428" s="67" t="s">
        <v>64</v>
      </c>
      <c r="D428" s="67" t="s">
        <v>6</v>
      </c>
      <c r="E428" s="67">
        <v>0.2575</v>
      </c>
      <c r="F428" s="68">
        <f>TRUNC(18.77,2)</f>
        <v>18.77</v>
      </c>
      <c r="G428" s="63">
        <f>TRUNC(E428*F428,2)</f>
        <v>4.83</v>
      </c>
      <c r="H428" s="63"/>
      <c r="I428" s="64"/>
    </row>
    <row r="429" spans="1:9" s="82" customFormat="1" ht="14.25">
      <c r="A429" s="67"/>
      <c r="B429" s="67"/>
      <c r="C429" s="67"/>
      <c r="D429" s="67"/>
      <c r="E429" s="67" t="s">
        <v>7</v>
      </c>
      <c r="F429" s="68"/>
      <c r="G429" s="63">
        <f>TRUNC(SUM(G426:G428),2)</f>
        <v>11.66</v>
      </c>
      <c r="H429" s="63"/>
      <c r="I429" s="64"/>
    </row>
    <row r="430" spans="1:9" s="94" customFormat="1" ht="43.5">
      <c r="A430" s="94" t="s">
        <v>617</v>
      </c>
      <c r="B430" s="94" t="s">
        <v>637</v>
      </c>
      <c r="C430" s="94" t="s">
        <v>638</v>
      </c>
      <c r="D430" s="94" t="s">
        <v>12</v>
      </c>
      <c r="E430" s="94">
        <v>6</v>
      </c>
      <c r="F430" s="95">
        <f>TRUNC(G434,2)</f>
        <v>11.48</v>
      </c>
      <c r="G430" s="90">
        <f>TRUNC(F430*1.2882,2)</f>
        <v>14.78</v>
      </c>
      <c r="H430" s="90">
        <f>TRUNC(F430*E430,2)</f>
        <v>68.88</v>
      </c>
      <c r="I430" s="91">
        <f>TRUNC(E430*G430,2)</f>
        <v>88.68</v>
      </c>
    </row>
    <row r="431" spans="1:9" s="82" customFormat="1" ht="28.5">
      <c r="A431" s="67"/>
      <c r="B431" s="67" t="s">
        <v>397</v>
      </c>
      <c r="C431" s="67" t="s">
        <v>398</v>
      </c>
      <c r="D431" s="67" t="s">
        <v>12</v>
      </c>
      <c r="E431" s="67">
        <v>1</v>
      </c>
      <c r="F431" s="68">
        <f>TRUNC(4.31,2)</f>
        <v>4.31</v>
      </c>
      <c r="G431" s="63">
        <f>TRUNC(E431*F431,2)</f>
        <v>4.31</v>
      </c>
      <c r="H431" s="63"/>
      <c r="I431" s="64"/>
    </row>
    <row r="432" spans="1:9" s="97" customFormat="1" ht="15">
      <c r="A432" s="76"/>
      <c r="B432" s="76" t="s">
        <v>402</v>
      </c>
      <c r="C432" s="76" t="s">
        <v>401</v>
      </c>
      <c r="D432" s="76" t="s">
        <v>12</v>
      </c>
      <c r="E432" s="76">
        <v>1</v>
      </c>
      <c r="F432" s="79">
        <v>2.34</v>
      </c>
      <c r="G432" s="77">
        <f>TRUNC(E432*F432,2)</f>
        <v>2.34</v>
      </c>
      <c r="H432" s="77"/>
      <c r="I432" s="78"/>
    </row>
    <row r="433" spans="1:9" s="82" customFormat="1" ht="28.5">
      <c r="A433" s="67"/>
      <c r="B433" s="67" t="s">
        <v>63</v>
      </c>
      <c r="C433" s="67" t="s">
        <v>64</v>
      </c>
      <c r="D433" s="67" t="s">
        <v>6</v>
      </c>
      <c r="E433" s="67">
        <v>0.2575</v>
      </c>
      <c r="F433" s="68">
        <f>TRUNC(18.77,2)</f>
        <v>18.77</v>
      </c>
      <c r="G433" s="63">
        <f>TRUNC(E433*F433,2)</f>
        <v>4.83</v>
      </c>
      <c r="H433" s="63"/>
      <c r="I433" s="64"/>
    </row>
    <row r="434" spans="1:9" s="82" customFormat="1" ht="14.25">
      <c r="A434" s="67"/>
      <c r="B434" s="67"/>
      <c r="C434" s="67"/>
      <c r="D434" s="67"/>
      <c r="E434" s="67" t="s">
        <v>7</v>
      </c>
      <c r="F434" s="68"/>
      <c r="G434" s="63">
        <f>TRUNC(SUM(G431:G433),2)</f>
        <v>11.48</v>
      </c>
      <c r="H434" s="63"/>
      <c r="I434" s="64"/>
    </row>
    <row r="435" spans="1:9" s="94" customFormat="1" ht="39.75" customHeight="1">
      <c r="A435" s="94" t="s">
        <v>618</v>
      </c>
      <c r="B435" s="94" t="s">
        <v>637</v>
      </c>
      <c r="C435" s="94" t="s">
        <v>640</v>
      </c>
      <c r="D435" s="94" t="s">
        <v>12</v>
      </c>
      <c r="E435" s="94">
        <v>2</v>
      </c>
      <c r="F435" s="95">
        <f>TRUNC(G439,2)</f>
        <v>12.06</v>
      </c>
      <c r="G435" s="90">
        <f>TRUNC(F435*1.2882,2)</f>
        <v>15.53</v>
      </c>
      <c r="H435" s="90">
        <f>TRUNC(F435*E435,2)</f>
        <v>24.12</v>
      </c>
      <c r="I435" s="91">
        <f>TRUNC(E435*G435,2)</f>
        <v>31.06</v>
      </c>
    </row>
    <row r="436" spans="1:9" s="82" customFormat="1" ht="28.5">
      <c r="A436" s="67"/>
      <c r="B436" s="67" t="s">
        <v>397</v>
      </c>
      <c r="C436" s="67" t="s">
        <v>398</v>
      </c>
      <c r="D436" s="67" t="s">
        <v>12</v>
      </c>
      <c r="E436" s="67">
        <v>1</v>
      </c>
      <c r="F436" s="68">
        <f>TRUNC(4.31,2)</f>
        <v>4.31</v>
      </c>
      <c r="G436" s="63">
        <f>TRUNC(E436*F436,2)</f>
        <v>4.31</v>
      </c>
      <c r="H436" s="63"/>
      <c r="I436" s="64"/>
    </row>
    <row r="437" spans="1:9" s="97" customFormat="1" ht="15">
      <c r="A437" s="76"/>
      <c r="B437" s="76" t="s">
        <v>403</v>
      </c>
      <c r="C437" s="76" t="s">
        <v>404</v>
      </c>
      <c r="D437" s="76" t="s">
        <v>12</v>
      </c>
      <c r="E437" s="76">
        <v>1</v>
      </c>
      <c r="F437" s="79">
        <v>2.92</v>
      </c>
      <c r="G437" s="77">
        <f>TRUNC(E437*F437,2)</f>
        <v>2.92</v>
      </c>
      <c r="H437" s="77"/>
      <c r="I437" s="78"/>
    </row>
    <row r="438" spans="1:9" s="82" customFormat="1" ht="28.5">
      <c r="A438" s="67"/>
      <c r="B438" s="67" t="s">
        <v>63</v>
      </c>
      <c r="C438" s="67" t="s">
        <v>64</v>
      </c>
      <c r="D438" s="67" t="s">
        <v>6</v>
      </c>
      <c r="E438" s="67">
        <v>0.2575</v>
      </c>
      <c r="F438" s="68">
        <f>TRUNC(18.77,2)</f>
        <v>18.77</v>
      </c>
      <c r="G438" s="63">
        <f>TRUNC(E438*F438,2)</f>
        <v>4.83</v>
      </c>
      <c r="H438" s="63"/>
      <c r="I438" s="64"/>
    </row>
    <row r="439" spans="1:9" s="82" customFormat="1" ht="14.25">
      <c r="A439" s="67"/>
      <c r="B439" s="67"/>
      <c r="C439" s="67"/>
      <c r="D439" s="67"/>
      <c r="E439" s="67" t="s">
        <v>7</v>
      </c>
      <c r="F439" s="68"/>
      <c r="G439" s="63">
        <f>TRUNC(SUM(G436:G438),2)</f>
        <v>12.06</v>
      </c>
      <c r="H439" s="63"/>
      <c r="I439" s="64"/>
    </row>
    <row r="440" spans="1:9" s="94" customFormat="1" ht="39.75" customHeight="1">
      <c r="A440" s="94" t="s">
        <v>619</v>
      </c>
      <c r="B440" s="94" t="s">
        <v>637</v>
      </c>
      <c r="C440" s="94" t="s">
        <v>641</v>
      </c>
      <c r="D440" s="94" t="s">
        <v>12</v>
      </c>
      <c r="E440" s="94">
        <v>6</v>
      </c>
      <c r="F440" s="95">
        <f>TRUNC(G444,2)</f>
        <v>12.94</v>
      </c>
      <c r="G440" s="90">
        <f>TRUNC(F440*1.2882,2)</f>
        <v>16.66</v>
      </c>
      <c r="H440" s="90">
        <f>TRUNC(F440*E440,2)</f>
        <v>77.64</v>
      </c>
      <c r="I440" s="91">
        <f>TRUNC(E440*G440,2)</f>
        <v>99.96</v>
      </c>
    </row>
    <row r="441" spans="1:9" s="82" customFormat="1" ht="28.5">
      <c r="A441" s="67"/>
      <c r="B441" s="67" t="s">
        <v>397</v>
      </c>
      <c r="C441" s="67" t="s">
        <v>398</v>
      </c>
      <c r="D441" s="67" t="s">
        <v>12</v>
      </c>
      <c r="E441" s="67">
        <v>1</v>
      </c>
      <c r="F441" s="68">
        <f>TRUNC(4.31,2)</f>
        <v>4.31</v>
      </c>
      <c r="G441" s="63">
        <f>TRUNC(E441*F441,2)</f>
        <v>4.31</v>
      </c>
      <c r="H441" s="63"/>
      <c r="I441" s="64"/>
    </row>
    <row r="442" spans="1:9" s="97" customFormat="1" ht="15.75">
      <c r="A442" s="98"/>
      <c r="B442" s="76" t="s">
        <v>405</v>
      </c>
      <c r="C442" s="76" t="s">
        <v>406</v>
      </c>
      <c r="D442" s="76" t="s">
        <v>12</v>
      </c>
      <c r="E442" s="76">
        <v>1</v>
      </c>
      <c r="F442" s="79">
        <v>3.8</v>
      </c>
      <c r="G442" s="77">
        <f>TRUNC(E442*F442,2)</f>
        <v>3.8</v>
      </c>
      <c r="H442" s="77"/>
      <c r="I442" s="78"/>
    </row>
    <row r="443" spans="1:9" s="82" customFormat="1" ht="28.5">
      <c r="A443" s="67"/>
      <c r="B443" s="67" t="s">
        <v>63</v>
      </c>
      <c r="C443" s="67" t="s">
        <v>64</v>
      </c>
      <c r="D443" s="67" t="s">
        <v>6</v>
      </c>
      <c r="E443" s="67">
        <v>0.2575</v>
      </c>
      <c r="F443" s="68">
        <f>TRUNC(18.77,2)</f>
        <v>18.77</v>
      </c>
      <c r="G443" s="63">
        <f>TRUNC(E443*F443,2)</f>
        <v>4.83</v>
      </c>
      <c r="H443" s="63"/>
      <c r="I443" s="64"/>
    </row>
    <row r="444" spans="1:9" s="82" customFormat="1" ht="14.25">
      <c r="A444" s="67"/>
      <c r="B444" s="67"/>
      <c r="C444" s="67"/>
      <c r="D444" s="67"/>
      <c r="E444" s="67" t="s">
        <v>7</v>
      </c>
      <c r="F444" s="68"/>
      <c r="G444" s="63">
        <f>TRUNC(SUM(G441:G443),2)</f>
        <v>12.94</v>
      </c>
      <c r="H444" s="63"/>
      <c r="I444" s="64"/>
    </row>
    <row r="445" spans="1:9" s="44" customFormat="1" ht="15.75">
      <c r="A445" s="53" t="s">
        <v>44</v>
      </c>
      <c r="B445" s="55"/>
      <c r="C445" s="54"/>
      <c r="D445" s="55"/>
      <c r="E445" s="55"/>
      <c r="F445" s="55" t="s">
        <v>111</v>
      </c>
      <c r="G445" s="55"/>
      <c r="H445" s="57">
        <f>H440+H435+H430+H425+H420+H414+H407+H403+H394+H389+H383+H377+H371+H365+H359+H353+H347+H341+H335+H329+H324</f>
        <v>11957.600000000002</v>
      </c>
      <c r="I445" s="57">
        <f>I440+I435+I430+I425+I420+I414+I407+I403+I394+I389+I383+I377+I371+I365+I359+I353+I347+I341+I335+I329+I324</f>
        <v>15400.240000000002</v>
      </c>
    </row>
    <row r="446" spans="1:9" s="43" customFormat="1" ht="15.75">
      <c r="A446" s="43" t="s">
        <v>106</v>
      </c>
      <c r="B446" s="51"/>
      <c r="C446" s="52" t="s">
        <v>54</v>
      </c>
      <c r="D446" s="52"/>
      <c r="E446" s="52"/>
      <c r="F446" s="52"/>
      <c r="G446" s="52"/>
      <c r="H446" s="52"/>
      <c r="I446" s="50"/>
    </row>
    <row r="447" spans="1:9" s="94" customFormat="1" ht="39.75" customHeight="1">
      <c r="A447" s="94" t="s">
        <v>620</v>
      </c>
      <c r="B447" s="94" t="s">
        <v>127</v>
      </c>
      <c r="C447" s="94" t="s">
        <v>128</v>
      </c>
      <c r="D447" s="94" t="s">
        <v>12</v>
      </c>
      <c r="E447" s="94">
        <v>4</v>
      </c>
      <c r="F447" s="95">
        <f>TRUNC(G450,2)</f>
        <v>238.4</v>
      </c>
      <c r="G447" s="90">
        <f>TRUNC(F447*1.2882,2)</f>
        <v>307.1</v>
      </c>
      <c r="H447" s="90">
        <f>TRUNC(F447*E447,2)</f>
        <v>953.6</v>
      </c>
      <c r="I447" s="91">
        <f>TRUNC(E447*G447,2)</f>
        <v>1228.4</v>
      </c>
    </row>
    <row r="448" spans="2:9" s="67" customFormat="1" ht="28.5">
      <c r="B448" s="67" t="s">
        <v>56</v>
      </c>
      <c r="C448" s="67" t="s">
        <v>57</v>
      </c>
      <c r="D448" s="67" t="s">
        <v>6</v>
      </c>
      <c r="E448" s="67">
        <v>0.618</v>
      </c>
      <c r="F448" s="68">
        <f>TRUNC(13.6,2)</f>
        <v>13.6</v>
      </c>
      <c r="G448" s="63">
        <f>TRUNC(E448*F448,2)</f>
        <v>8.4</v>
      </c>
      <c r="H448" s="63"/>
      <c r="I448" s="64"/>
    </row>
    <row r="449" spans="2:9" s="67" customFormat="1" ht="28.5">
      <c r="B449" s="67" t="s">
        <v>129</v>
      </c>
      <c r="C449" s="67" t="s">
        <v>130</v>
      </c>
      <c r="D449" s="67" t="s">
        <v>12</v>
      </c>
      <c r="E449" s="67">
        <v>1</v>
      </c>
      <c r="F449" s="68">
        <f>TRUNC(230,2)</f>
        <v>230</v>
      </c>
      <c r="G449" s="63">
        <f>TRUNC(E449*F449,2)</f>
        <v>230</v>
      </c>
      <c r="H449" s="63"/>
      <c r="I449" s="64"/>
    </row>
    <row r="450" spans="5:9" s="67" customFormat="1" ht="14.25">
      <c r="E450" s="67" t="s">
        <v>7</v>
      </c>
      <c r="F450" s="68"/>
      <c r="G450" s="63">
        <f>TRUNC(SUM(G448:G449),2)</f>
        <v>238.4</v>
      </c>
      <c r="H450" s="63"/>
      <c r="I450" s="64"/>
    </row>
    <row r="451" spans="1:9" s="94" customFormat="1" ht="39.75" customHeight="1">
      <c r="A451" s="94" t="s">
        <v>643</v>
      </c>
      <c r="B451" s="94" t="s">
        <v>621</v>
      </c>
      <c r="C451" s="94" t="s">
        <v>622</v>
      </c>
      <c r="D451" s="94" t="s">
        <v>1</v>
      </c>
      <c r="E451" s="94">
        <v>13.34</v>
      </c>
      <c r="F451" s="95">
        <f>TRUNC(G453,2)</f>
        <v>16.1</v>
      </c>
      <c r="G451" s="90">
        <f>TRUNC(F451*1.2882,2)</f>
        <v>20.74</v>
      </c>
      <c r="H451" s="90">
        <f>TRUNC(F451*E451,2)</f>
        <v>214.77</v>
      </c>
      <c r="I451" s="91">
        <f>TRUNC(E451*G451,2)</f>
        <v>276.67</v>
      </c>
    </row>
    <row r="452" spans="2:7" ht="15">
      <c r="B452" t="s">
        <v>56</v>
      </c>
      <c r="C452" s="1" t="s">
        <v>57</v>
      </c>
      <c r="D452" t="s">
        <v>6</v>
      </c>
      <c r="E452">
        <v>1.1844999999999999</v>
      </c>
      <c r="F452">
        <f>TRUNC(13.6,2)</f>
        <v>13.6</v>
      </c>
      <c r="G452">
        <f>TRUNC(E452*F452,2)</f>
        <v>16.1</v>
      </c>
    </row>
    <row r="453" spans="5:7" ht="15">
      <c r="E453" t="s">
        <v>7</v>
      </c>
      <c r="G453">
        <f>TRUNC(SUM(G452:G452),2)</f>
        <v>16.1</v>
      </c>
    </row>
    <row r="454" spans="1:9" s="44" customFormat="1" ht="15" customHeight="1">
      <c r="A454" s="53" t="s">
        <v>44</v>
      </c>
      <c r="B454" s="55"/>
      <c r="C454" s="54"/>
      <c r="D454" s="55"/>
      <c r="E454" s="55"/>
      <c r="F454" s="55" t="s">
        <v>49</v>
      </c>
      <c r="G454" s="55"/>
      <c r="H454" s="56">
        <f>H447+H451</f>
        <v>1168.3700000000001</v>
      </c>
      <c r="I454" s="56">
        <f>I447+I451</f>
        <v>1505.0700000000002</v>
      </c>
    </row>
    <row r="455" spans="1:11" s="44" customFormat="1" ht="15.75">
      <c r="A455" s="53" t="s">
        <v>44</v>
      </c>
      <c r="B455" s="55"/>
      <c r="C455" s="54"/>
      <c r="D455" s="55"/>
      <c r="E455" s="55"/>
      <c r="F455" s="55" t="s">
        <v>50</v>
      </c>
      <c r="G455" s="55"/>
      <c r="H455" s="57">
        <f>H114+H74+H171+H187+H322+H445+H454</f>
        <v>55090.65</v>
      </c>
      <c r="I455" s="57">
        <f>I114+I74+I171+I187+I322+I445+I454</f>
        <v>70960.23000000001</v>
      </c>
      <c r="K455" s="83"/>
    </row>
    <row r="457" ht="15">
      <c r="B457" s="96"/>
    </row>
    <row r="458" ht="15">
      <c r="B458" s="96"/>
    </row>
    <row r="459" ht="15">
      <c r="B459" s="96"/>
    </row>
    <row r="460" ht="15">
      <c r="B460" s="96"/>
    </row>
    <row r="461" ht="15">
      <c r="B461" s="96"/>
    </row>
    <row r="462" ht="15">
      <c r="B462" s="96"/>
    </row>
    <row r="463" ht="15">
      <c r="B463" s="96"/>
    </row>
    <row r="464" ht="15">
      <c r="B464" s="96"/>
    </row>
    <row r="465" ht="15">
      <c r="B465" s="96"/>
    </row>
    <row r="466" ht="15">
      <c r="B466" s="96"/>
    </row>
    <row r="467" ht="15">
      <c r="B467" s="96"/>
    </row>
    <row r="468" ht="15">
      <c r="B468" s="96"/>
    </row>
    <row r="469" ht="15">
      <c r="B469" s="96"/>
    </row>
    <row r="470" ht="15">
      <c r="B470" s="96"/>
    </row>
    <row r="471" ht="15">
      <c r="B471" s="96"/>
    </row>
    <row r="472" ht="15">
      <c r="B472" s="96"/>
    </row>
    <row r="473" ht="15">
      <c r="B473" s="96"/>
    </row>
    <row r="474" ht="15">
      <c r="B474" s="96"/>
    </row>
    <row r="475" ht="15">
      <c r="B475" s="96"/>
    </row>
    <row r="476" ht="15">
      <c r="B476" s="96"/>
    </row>
    <row r="477" ht="15">
      <c r="B477" s="96"/>
    </row>
    <row r="478" ht="15">
      <c r="B478" s="96"/>
    </row>
    <row r="479" ht="15">
      <c r="B479" s="96"/>
    </row>
    <row r="480" ht="15">
      <c r="B480" s="96"/>
    </row>
    <row r="484" spans="5:12" ht="15">
      <c r="E484" s="120"/>
      <c r="F484" s="120"/>
      <c r="G484" s="120"/>
      <c r="H484" s="120"/>
      <c r="I484" s="120"/>
      <c r="J484" s="120"/>
      <c r="K484" s="120"/>
      <c r="L484" s="120"/>
    </row>
    <row r="485" spans="5:12" ht="15">
      <c r="E485" s="120"/>
      <c r="F485" s="120"/>
      <c r="G485" s="120"/>
      <c r="H485" s="120"/>
      <c r="I485" s="120"/>
      <c r="J485" s="120"/>
      <c r="K485" s="120"/>
      <c r="L485" s="120"/>
    </row>
    <row r="486" spans="5:12" ht="15">
      <c r="E486" s="120"/>
      <c r="F486" s="120"/>
      <c r="G486" s="117"/>
      <c r="H486" s="117"/>
      <c r="I486" s="118"/>
      <c r="J486" s="120"/>
      <c r="K486" s="120"/>
      <c r="L486" s="120"/>
    </row>
    <row r="487" spans="5:12" ht="15">
      <c r="E487" s="120"/>
      <c r="F487" s="120"/>
      <c r="G487" s="120"/>
      <c r="H487" s="120"/>
      <c r="I487" s="120"/>
      <c r="J487" s="120"/>
      <c r="K487" s="120"/>
      <c r="L487" s="120"/>
    </row>
    <row r="488" spans="5:12" ht="15">
      <c r="E488" s="120"/>
      <c r="F488" s="120"/>
      <c r="G488" s="120"/>
      <c r="H488" s="120"/>
      <c r="I488" s="120"/>
      <c r="J488" s="120"/>
      <c r="K488" s="120"/>
      <c r="L488" s="120"/>
    </row>
    <row r="489" spans="3:12" ht="15">
      <c r="C489" s="119"/>
      <c r="E489" s="120"/>
      <c r="F489" s="120"/>
      <c r="G489" s="120"/>
      <c r="H489" s="120"/>
      <c r="I489" s="120"/>
      <c r="J489" s="120"/>
      <c r="K489" s="120"/>
      <c r="L489" s="120"/>
    </row>
    <row r="490" spans="5:12" ht="15">
      <c r="E490" s="120"/>
      <c r="F490" s="120"/>
      <c r="G490" s="120"/>
      <c r="H490" s="120"/>
      <c r="I490" s="120"/>
      <c r="J490" s="120"/>
      <c r="K490" s="120"/>
      <c r="L490" s="120"/>
    </row>
    <row r="491" spans="5:12" ht="15">
      <c r="E491" s="120"/>
      <c r="F491" s="120"/>
      <c r="G491" s="120"/>
      <c r="H491" s="120"/>
      <c r="I491" s="120"/>
      <c r="J491" s="120"/>
      <c r="K491" s="120"/>
      <c r="L491" s="120"/>
    </row>
    <row r="492" spans="5:12" ht="15">
      <c r="E492" s="120"/>
      <c r="F492" s="120"/>
      <c r="G492" s="120"/>
      <c r="H492" s="120"/>
      <c r="I492" s="120"/>
      <c r="J492" s="120"/>
      <c r="K492" s="120"/>
      <c r="L492" s="120"/>
    </row>
    <row r="493" spans="5:12" ht="15">
      <c r="E493" s="120"/>
      <c r="F493" s="120"/>
      <c r="G493" s="120"/>
      <c r="H493" s="120"/>
      <c r="I493" s="120"/>
      <c r="J493" s="120"/>
      <c r="K493" s="120"/>
      <c r="L493" s="120"/>
    </row>
    <row r="494" spans="5:12" ht="15">
      <c r="E494" s="120"/>
      <c r="F494" s="120"/>
      <c r="G494" s="120"/>
      <c r="H494" s="120"/>
      <c r="I494" s="120"/>
      <c r="J494" s="120"/>
      <c r="K494" s="120"/>
      <c r="L494" s="120"/>
    </row>
    <row r="495" spans="5:12" ht="15">
      <c r="E495" s="120"/>
      <c r="F495" s="120"/>
      <c r="G495" s="120"/>
      <c r="H495" s="120"/>
      <c r="I495" s="120"/>
      <c r="J495" s="120"/>
      <c r="K495" s="120"/>
      <c r="L495" s="120"/>
    </row>
    <row r="496" spans="5:12" ht="15">
      <c r="E496" s="120"/>
      <c r="F496" s="120"/>
      <c r="G496" s="120"/>
      <c r="H496" s="120"/>
      <c r="I496" s="120"/>
      <c r="J496" s="120"/>
      <c r="K496" s="120"/>
      <c r="L496" s="120"/>
    </row>
    <row r="497" spans="5:12" ht="15">
      <c r="E497" s="120"/>
      <c r="F497" s="120"/>
      <c r="G497" s="117"/>
      <c r="H497" s="117"/>
      <c r="I497" s="118"/>
      <c r="J497" s="120"/>
      <c r="K497" s="120"/>
      <c r="L497" s="120"/>
    </row>
    <row r="498" spans="5:12" ht="15">
      <c r="E498" s="120"/>
      <c r="F498" s="120"/>
      <c r="G498" s="120"/>
      <c r="H498" s="120"/>
      <c r="I498" s="120"/>
      <c r="J498" s="120"/>
      <c r="K498" s="120"/>
      <c r="L498" s="120"/>
    </row>
  </sheetData>
  <sheetProtection/>
  <mergeCells count="13">
    <mergeCell ref="D3:G3"/>
    <mergeCell ref="D4:G4"/>
    <mergeCell ref="D5:G5"/>
    <mergeCell ref="D6:G6"/>
    <mergeCell ref="D7:G7"/>
    <mergeCell ref="D8:G8"/>
    <mergeCell ref="A9:G9"/>
    <mergeCell ref="A10:A11"/>
    <mergeCell ref="B10:B11"/>
    <mergeCell ref="C10:C11"/>
    <mergeCell ref="D10:D11"/>
    <mergeCell ref="E10:E11"/>
    <mergeCell ref="F10:I10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39" r:id="rId2"/>
  <headerFooter>
    <oddFooter>&amp;C&amp;A&amp;RPágina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view="pageBreakPreview" zoomScale="70" zoomScaleSheetLayoutView="70" zoomScalePageLayoutView="0" workbookViewId="0" topLeftCell="A1">
      <selection activeCell="A10" sqref="A10:A11"/>
    </sheetView>
  </sheetViews>
  <sheetFormatPr defaultColWidth="9.140625" defaultRowHeight="15"/>
  <cols>
    <col min="2" max="2" width="23.421875" style="0" customWidth="1"/>
    <col min="3" max="3" width="104.00390625" style="1" customWidth="1"/>
    <col min="4" max="4" width="11.140625" style="0" customWidth="1"/>
    <col min="5" max="5" width="14.0039062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9" width="17.140625" style="0" bestFit="1" customWidth="1"/>
    <col min="10" max="10" width="13.421875" style="0" bestFit="1" customWidth="1"/>
    <col min="11" max="11" width="14.421875" style="0" bestFit="1" customWidth="1"/>
  </cols>
  <sheetData>
    <row r="1" spans="1:7" ht="15.75">
      <c r="A1" s="2"/>
      <c r="B1" s="3"/>
      <c r="C1" s="4" t="s">
        <v>22</v>
      </c>
      <c r="D1" s="5"/>
      <c r="E1" s="6"/>
      <c r="F1" s="7"/>
      <c r="G1" s="8"/>
    </row>
    <row r="2" spans="1:7" ht="15.75">
      <c r="A2" s="9"/>
      <c r="B2" s="10"/>
      <c r="C2" s="11" t="s">
        <v>23</v>
      </c>
      <c r="D2" s="12"/>
      <c r="E2" s="13"/>
      <c r="F2" s="14"/>
      <c r="G2" s="15"/>
    </row>
    <row r="3" spans="1:7" ht="15.75">
      <c r="A3" s="9"/>
      <c r="B3" s="10"/>
      <c r="C3" s="11" t="s">
        <v>24</v>
      </c>
      <c r="D3" s="165" t="s">
        <v>704</v>
      </c>
      <c r="E3" s="166"/>
      <c r="F3" s="166"/>
      <c r="G3" s="167"/>
    </row>
    <row r="4" spans="1:7" ht="15.75" customHeight="1">
      <c r="A4" s="9"/>
      <c r="B4" s="10"/>
      <c r="C4" s="16" t="s">
        <v>703</v>
      </c>
      <c r="D4" s="168" t="s">
        <v>700</v>
      </c>
      <c r="E4" s="169"/>
      <c r="F4" s="169"/>
      <c r="G4" s="170"/>
    </row>
    <row r="5" spans="1:7" ht="15.75">
      <c r="A5" s="9"/>
      <c r="B5" s="10"/>
      <c r="C5" s="45" t="s">
        <v>283</v>
      </c>
      <c r="D5" s="171" t="s">
        <v>86</v>
      </c>
      <c r="E5" s="172"/>
      <c r="F5" s="172"/>
      <c r="G5" s="173"/>
    </row>
    <row r="6" spans="1:7" ht="15.75">
      <c r="A6" s="9"/>
      <c r="B6" s="10"/>
      <c r="C6" s="17" t="s">
        <v>702</v>
      </c>
      <c r="D6" s="174" t="s">
        <v>87</v>
      </c>
      <c r="E6" s="175"/>
      <c r="F6" s="175"/>
      <c r="G6" s="176"/>
    </row>
    <row r="7" spans="1:7" ht="15.75">
      <c r="A7" s="9"/>
      <c r="B7" s="10"/>
      <c r="C7" s="46"/>
      <c r="D7" s="174" t="s">
        <v>701</v>
      </c>
      <c r="E7" s="175"/>
      <c r="F7" s="175"/>
      <c r="G7" s="176"/>
    </row>
    <row r="8" spans="1:7" ht="15.75">
      <c r="A8" s="18"/>
      <c r="B8" s="19"/>
      <c r="C8" s="20"/>
      <c r="D8" s="177" t="s">
        <v>51</v>
      </c>
      <c r="E8" s="178"/>
      <c r="F8" s="178"/>
      <c r="G8" s="179"/>
    </row>
    <row r="9" spans="1:7" ht="15">
      <c r="A9" s="159" t="s">
        <v>714</v>
      </c>
      <c r="B9" s="160"/>
      <c r="C9" s="160"/>
      <c r="D9" s="160"/>
      <c r="E9" s="160"/>
      <c r="F9" s="160"/>
      <c r="G9" s="160"/>
    </row>
    <row r="10" spans="1:9" s="48" customFormat="1" ht="12.75" customHeight="1">
      <c r="A10" s="161" t="s">
        <v>26</v>
      </c>
      <c r="B10" s="162" t="s">
        <v>52</v>
      </c>
      <c r="C10" s="162" t="s">
        <v>27</v>
      </c>
      <c r="D10" s="161" t="s">
        <v>12</v>
      </c>
      <c r="E10" s="163" t="s">
        <v>28</v>
      </c>
      <c r="F10" s="164" t="s">
        <v>29</v>
      </c>
      <c r="G10" s="164"/>
      <c r="H10" s="164"/>
      <c r="I10" s="164"/>
    </row>
    <row r="11" spans="1:9" s="48" customFormat="1" ht="12.75" customHeight="1">
      <c r="A11" s="161"/>
      <c r="B11" s="162"/>
      <c r="C11" s="162"/>
      <c r="D11" s="161"/>
      <c r="E11" s="163"/>
      <c r="F11" s="49" t="s">
        <v>73</v>
      </c>
      <c r="G11" s="49" t="s">
        <v>74</v>
      </c>
      <c r="H11" s="49" t="s">
        <v>75</v>
      </c>
      <c r="I11" s="47" t="s">
        <v>76</v>
      </c>
    </row>
    <row r="12" spans="1:9" s="43" customFormat="1" ht="15.75">
      <c r="A12" s="43" t="s">
        <v>14</v>
      </c>
      <c r="B12" s="51"/>
      <c r="C12" s="52" t="s">
        <v>15</v>
      </c>
      <c r="D12" s="52"/>
      <c r="E12" s="52"/>
      <c r="F12" s="52"/>
      <c r="G12" s="52"/>
      <c r="H12" s="52"/>
      <c r="I12" s="50"/>
    </row>
    <row r="13" spans="1:10" s="65" customFormat="1" ht="42.75">
      <c r="A13" s="212" t="s">
        <v>8</v>
      </c>
      <c r="B13" s="213" t="s">
        <v>69</v>
      </c>
      <c r="C13" s="214" t="s">
        <v>70</v>
      </c>
      <c r="D13" s="215" t="s">
        <v>0</v>
      </c>
      <c r="E13" s="216">
        <v>6</v>
      </c>
      <c r="F13" s="217">
        <f>TRUNC(DESONERADA!F13,2)</f>
        <v>181.99</v>
      </c>
      <c r="G13" s="218">
        <f aca="true" t="shared" si="0" ref="G13:G25">TRUNC(F13*1.2882,2)</f>
        <v>234.43</v>
      </c>
      <c r="H13" s="218">
        <f aca="true" t="shared" si="1" ref="H13:H25">TRUNC(F13*E13,2)</f>
        <v>1091.94</v>
      </c>
      <c r="I13" s="219">
        <f aca="true" t="shared" si="2" ref="I13:I25">TRUNC(E13*G13,2)</f>
        <v>1406.58</v>
      </c>
      <c r="J13" s="66"/>
    </row>
    <row r="14" spans="1:10" s="65" customFormat="1" ht="42.75">
      <c r="A14" s="212" t="s">
        <v>9</v>
      </c>
      <c r="B14" s="213" t="s">
        <v>545</v>
      </c>
      <c r="C14" s="214" t="s">
        <v>546</v>
      </c>
      <c r="D14" s="215" t="s">
        <v>0</v>
      </c>
      <c r="E14" s="216">
        <v>73.03</v>
      </c>
      <c r="F14" s="217">
        <f>TRUNC(DESONERADA!F20,2)</f>
        <v>16.8</v>
      </c>
      <c r="G14" s="218">
        <f t="shared" si="0"/>
        <v>21.64</v>
      </c>
      <c r="H14" s="218">
        <f t="shared" si="1"/>
        <v>1226.9</v>
      </c>
      <c r="I14" s="219">
        <f t="shared" si="2"/>
        <v>1580.36</v>
      </c>
      <c r="J14" s="66"/>
    </row>
    <row r="15" spans="1:10" s="65" customFormat="1" ht="42.75">
      <c r="A15" s="212" t="s">
        <v>10</v>
      </c>
      <c r="B15" s="213" t="s">
        <v>543</v>
      </c>
      <c r="C15" s="214" t="s">
        <v>544</v>
      </c>
      <c r="D15" s="215" t="s">
        <v>0</v>
      </c>
      <c r="E15" s="216">
        <v>73.03</v>
      </c>
      <c r="F15" s="217">
        <f>TRUNC(DESONERADA!F23,2)</f>
        <v>7</v>
      </c>
      <c r="G15" s="218">
        <f t="shared" si="0"/>
        <v>9.01</v>
      </c>
      <c r="H15" s="218">
        <f t="shared" si="1"/>
        <v>511.21</v>
      </c>
      <c r="I15" s="219">
        <f t="shared" si="2"/>
        <v>658</v>
      </c>
      <c r="J15" s="66"/>
    </row>
    <row r="16" spans="1:10" s="65" customFormat="1" ht="28.5">
      <c r="A16" s="212" t="s">
        <v>11</v>
      </c>
      <c r="B16" s="213" t="s">
        <v>256</v>
      </c>
      <c r="C16" s="214" t="s">
        <v>143</v>
      </c>
      <c r="D16" s="215" t="s">
        <v>1</v>
      </c>
      <c r="E16" s="216">
        <v>4.86</v>
      </c>
      <c r="F16" s="217">
        <f>TRUNC(DESONERADA!F26,2)</f>
        <v>71.72</v>
      </c>
      <c r="G16" s="218">
        <f t="shared" si="0"/>
        <v>92.38</v>
      </c>
      <c r="H16" s="218">
        <f t="shared" si="1"/>
        <v>348.55</v>
      </c>
      <c r="I16" s="219">
        <f t="shared" si="2"/>
        <v>448.96</v>
      </c>
      <c r="J16" s="66"/>
    </row>
    <row r="17" spans="1:10" s="65" customFormat="1" ht="14.25">
      <c r="A17" s="212" t="s">
        <v>554</v>
      </c>
      <c r="B17" s="213" t="s">
        <v>472</v>
      </c>
      <c r="C17" s="214" t="s">
        <v>144</v>
      </c>
      <c r="D17" s="215" t="s">
        <v>0</v>
      </c>
      <c r="E17" s="216">
        <v>12.93</v>
      </c>
      <c r="F17" s="217">
        <f>TRUNC(DESONERADA!F30,2)</f>
        <v>8.51</v>
      </c>
      <c r="G17" s="218">
        <f t="shared" si="0"/>
        <v>10.96</v>
      </c>
      <c r="H17" s="218">
        <f t="shared" si="1"/>
        <v>110.03</v>
      </c>
      <c r="I17" s="219">
        <f t="shared" si="2"/>
        <v>141.71</v>
      </c>
      <c r="J17" s="66"/>
    </row>
    <row r="18" spans="1:10" s="65" customFormat="1" ht="42.75">
      <c r="A18" s="212" t="s">
        <v>121</v>
      </c>
      <c r="B18" s="213" t="s">
        <v>257</v>
      </c>
      <c r="C18" s="214" t="s">
        <v>146</v>
      </c>
      <c r="D18" s="215" t="s">
        <v>0</v>
      </c>
      <c r="E18" s="216">
        <v>36.45</v>
      </c>
      <c r="F18" s="217">
        <f>TRUNC(DESONERADA!F34,2)</f>
        <v>13.66</v>
      </c>
      <c r="G18" s="218">
        <f t="shared" si="0"/>
        <v>17.59</v>
      </c>
      <c r="H18" s="218">
        <f t="shared" si="1"/>
        <v>497.9</v>
      </c>
      <c r="I18" s="219">
        <f t="shared" si="2"/>
        <v>641.15</v>
      </c>
      <c r="J18" s="66"/>
    </row>
    <row r="19" spans="1:10" s="65" customFormat="1" ht="28.5">
      <c r="A19" s="212">
        <v>1.7</v>
      </c>
      <c r="B19" s="213" t="s">
        <v>460</v>
      </c>
      <c r="C19" s="214" t="s">
        <v>461</v>
      </c>
      <c r="D19" s="215" t="s">
        <v>0</v>
      </c>
      <c r="E19" s="216">
        <v>32.53</v>
      </c>
      <c r="F19" s="217">
        <f>TRUNC(DESONERADA!F38,2)</f>
        <v>21.01</v>
      </c>
      <c r="G19" s="218">
        <f t="shared" si="0"/>
        <v>27.06</v>
      </c>
      <c r="H19" s="218">
        <f t="shared" si="1"/>
        <v>683.45</v>
      </c>
      <c r="I19" s="219">
        <f t="shared" si="2"/>
        <v>880.26</v>
      </c>
      <c r="J19" s="66"/>
    </row>
    <row r="20" spans="1:10" s="65" customFormat="1" ht="28.5">
      <c r="A20" s="212" t="s">
        <v>122</v>
      </c>
      <c r="B20" s="213" t="s">
        <v>455</v>
      </c>
      <c r="C20" s="214" t="s">
        <v>456</v>
      </c>
      <c r="D20" s="215" t="s">
        <v>0</v>
      </c>
      <c r="E20" s="216">
        <v>51.51</v>
      </c>
      <c r="F20" s="217">
        <f>TRUNC(DESONERADA!F41,2)</f>
        <v>9.8</v>
      </c>
      <c r="G20" s="218">
        <f t="shared" si="0"/>
        <v>12.62</v>
      </c>
      <c r="H20" s="218">
        <f t="shared" si="1"/>
        <v>504.79</v>
      </c>
      <c r="I20" s="219">
        <f t="shared" si="2"/>
        <v>650.05</v>
      </c>
      <c r="J20" s="66"/>
    </row>
    <row r="21" spans="1:10" s="108" customFormat="1" ht="30">
      <c r="A21" s="220" t="s">
        <v>135</v>
      </c>
      <c r="B21" s="221" t="s">
        <v>258</v>
      </c>
      <c r="C21" s="222" t="s">
        <v>633</v>
      </c>
      <c r="D21" s="223" t="s">
        <v>12</v>
      </c>
      <c r="E21" s="224">
        <v>4</v>
      </c>
      <c r="F21" s="225">
        <f>TRUNC(DESONERADA!F44,2)</f>
        <v>43.54</v>
      </c>
      <c r="G21" s="226">
        <f t="shared" si="0"/>
        <v>56.08</v>
      </c>
      <c r="H21" s="226">
        <f t="shared" si="1"/>
        <v>174.16</v>
      </c>
      <c r="I21" s="227">
        <f t="shared" si="2"/>
        <v>224.32</v>
      </c>
      <c r="J21" s="107"/>
    </row>
    <row r="22" spans="1:10" s="108" customFormat="1" ht="30">
      <c r="A22" s="220" t="s">
        <v>136</v>
      </c>
      <c r="B22" s="221" t="s">
        <v>259</v>
      </c>
      <c r="C22" s="222" t="s">
        <v>635</v>
      </c>
      <c r="D22" s="223" t="s">
        <v>12</v>
      </c>
      <c r="E22" s="224">
        <v>3</v>
      </c>
      <c r="F22" s="225">
        <f>TRUNC(DESONERADA!F51,2)</f>
        <v>19.33</v>
      </c>
      <c r="G22" s="226">
        <f t="shared" si="0"/>
        <v>24.9</v>
      </c>
      <c r="H22" s="226">
        <f t="shared" si="1"/>
        <v>57.99</v>
      </c>
      <c r="I22" s="227">
        <f t="shared" si="2"/>
        <v>74.7</v>
      </c>
      <c r="J22" s="107"/>
    </row>
    <row r="23" spans="1:10" s="108" customFormat="1" ht="30">
      <c r="A23" s="220" t="s">
        <v>294</v>
      </c>
      <c r="B23" s="221" t="s">
        <v>260</v>
      </c>
      <c r="C23" s="222" t="s">
        <v>634</v>
      </c>
      <c r="D23" s="223" t="s">
        <v>12</v>
      </c>
      <c r="E23" s="224">
        <v>5</v>
      </c>
      <c r="F23" s="225">
        <f>TRUNC(DESONERADA!F58,2)</f>
        <v>33.33</v>
      </c>
      <c r="G23" s="226">
        <f t="shared" si="0"/>
        <v>42.93</v>
      </c>
      <c r="H23" s="226">
        <f t="shared" si="1"/>
        <v>166.65</v>
      </c>
      <c r="I23" s="227">
        <f t="shared" si="2"/>
        <v>214.65</v>
      </c>
      <c r="J23" s="107"/>
    </row>
    <row r="24" spans="1:10" s="65" customFormat="1" ht="29.25">
      <c r="A24" s="212" t="s">
        <v>555</v>
      </c>
      <c r="B24" s="213" t="s">
        <v>291</v>
      </c>
      <c r="C24" s="214" t="s">
        <v>636</v>
      </c>
      <c r="D24" s="215" t="s">
        <v>12</v>
      </c>
      <c r="E24" s="216">
        <v>6</v>
      </c>
      <c r="F24" s="217">
        <f>TRUNC(DESONERADA!F67,2)</f>
        <v>19.79</v>
      </c>
      <c r="G24" s="218">
        <f t="shared" si="0"/>
        <v>25.49</v>
      </c>
      <c r="H24" s="218">
        <f t="shared" si="1"/>
        <v>118.74</v>
      </c>
      <c r="I24" s="219">
        <f t="shared" si="2"/>
        <v>152.94</v>
      </c>
      <c r="J24" s="66"/>
    </row>
    <row r="25" spans="1:10" s="65" customFormat="1" ht="42.75">
      <c r="A25" s="212" t="s">
        <v>556</v>
      </c>
      <c r="B25" s="213" t="s">
        <v>292</v>
      </c>
      <c r="C25" s="214" t="s">
        <v>293</v>
      </c>
      <c r="D25" s="215" t="s">
        <v>0</v>
      </c>
      <c r="E25" s="216">
        <v>75.5</v>
      </c>
      <c r="F25" s="217">
        <f>TRUNC(DESONERADA!F71,2)</f>
        <v>6.3</v>
      </c>
      <c r="G25" s="218">
        <f t="shared" si="0"/>
        <v>8.11</v>
      </c>
      <c r="H25" s="218">
        <f t="shared" si="1"/>
        <v>475.65</v>
      </c>
      <c r="I25" s="219">
        <f t="shared" si="2"/>
        <v>612.3</v>
      </c>
      <c r="J25" s="66"/>
    </row>
    <row r="26" spans="1:9" s="44" customFormat="1" ht="15.75">
      <c r="A26" s="53" t="s">
        <v>44</v>
      </c>
      <c r="C26" s="54"/>
      <c r="D26" s="55"/>
      <c r="E26" s="55"/>
      <c r="F26" s="55"/>
      <c r="G26" s="55" t="s">
        <v>47</v>
      </c>
      <c r="H26" s="57">
        <f>H25+H24+H23+H22+H21+H20+H19+H18+H17+H16+H13+H14+H15</f>
        <v>5967.96</v>
      </c>
      <c r="I26" s="57">
        <f>I25+I24+I23+I22+I21+I20+I19+I18+I17+I16+I13+I14+I15</f>
        <v>7685.98</v>
      </c>
    </row>
    <row r="27" spans="1:9" s="43" customFormat="1" ht="15.75">
      <c r="A27" s="43" t="s">
        <v>16</v>
      </c>
      <c r="B27" s="51"/>
      <c r="C27" s="52" t="s">
        <v>120</v>
      </c>
      <c r="D27" s="52"/>
      <c r="E27" s="52"/>
      <c r="F27" s="52"/>
      <c r="G27" s="52"/>
      <c r="H27" s="52"/>
      <c r="I27" s="50"/>
    </row>
    <row r="28" spans="1:9" s="82" customFormat="1" ht="71.25">
      <c r="A28" s="82" t="s">
        <v>579</v>
      </c>
      <c r="B28" s="82" t="s">
        <v>261</v>
      </c>
      <c r="C28" s="82" t="s">
        <v>474</v>
      </c>
      <c r="D28" s="82" t="s">
        <v>0</v>
      </c>
      <c r="E28" s="82">
        <v>120.49</v>
      </c>
      <c r="F28" s="228">
        <f>TRUNC(DESONERADA!F76,2)</f>
        <v>58.82</v>
      </c>
      <c r="G28" s="218">
        <f>TRUNC(F28*1.2882,2)</f>
        <v>75.77</v>
      </c>
      <c r="H28" s="218">
        <f>TRUNC(F28*E28,2)</f>
        <v>7087.22</v>
      </c>
      <c r="I28" s="219">
        <f>TRUNC(E28*G28,2)</f>
        <v>9129.52</v>
      </c>
    </row>
    <row r="29" spans="1:9" s="82" customFormat="1" ht="42.75">
      <c r="A29" s="82" t="s">
        <v>123</v>
      </c>
      <c r="B29" s="82" t="s">
        <v>623</v>
      </c>
      <c r="C29" s="82" t="s">
        <v>624</v>
      </c>
      <c r="D29" s="82" t="s">
        <v>0</v>
      </c>
      <c r="E29" s="82">
        <v>54.1</v>
      </c>
      <c r="F29" s="228">
        <f>TRUNC(DESONERADA!F85,2)</f>
        <v>61.05</v>
      </c>
      <c r="G29" s="218">
        <f>TRUNC(F29*1.2882,2)</f>
        <v>78.64</v>
      </c>
      <c r="H29" s="218">
        <f>TRUNC(F29*E29,2)</f>
        <v>3302.8</v>
      </c>
      <c r="I29" s="219">
        <f>TRUNC(E29*G29,2)</f>
        <v>4254.42</v>
      </c>
    </row>
    <row r="30" spans="1:9" s="82" customFormat="1" ht="57">
      <c r="A30" s="82" t="s">
        <v>124</v>
      </c>
      <c r="B30" s="82" t="s">
        <v>267</v>
      </c>
      <c r="C30" s="82" t="s">
        <v>225</v>
      </c>
      <c r="D30" s="82" t="s">
        <v>3</v>
      </c>
      <c r="E30" s="82">
        <v>1.8</v>
      </c>
      <c r="F30" s="228">
        <f>TRUNC(DESONERADA!F92,2)</f>
        <v>39.47</v>
      </c>
      <c r="G30" s="218">
        <f>TRUNC(F30*1.2882,2)</f>
        <v>50.84</v>
      </c>
      <c r="H30" s="218">
        <f>TRUNC(F30*E30,2)</f>
        <v>71.04</v>
      </c>
      <c r="I30" s="219">
        <f>TRUNC(E30*G30,2)</f>
        <v>91.51</v>
      </c>
    </row>
    <row r="31" spans="1:9" s="82" customFormat="1" ht="28.5">
      <c r="A31" s="82" t="s">
        <v>125</v>
      </c>
      <c r="B31" s="82" t="s">
        <v>295</v>
      </c>
      <c r="C31" s="82" t="s">
        <v>296</v>
      </c>
      <c r="D31" s="82" t="s">
        <v>0</v>
      </c>
      <c r="E31" s="82">
        <v>87.96</v>
      </c>
      <c r="F31" s="228">
        <f>TRUNC(DESONERADA!F100,2)</f>
        <v>40.64</v>
      </c>
      <c r="G31" s="218">
        <f>TRUNC(F31*1.2882,2)</f>
        <v>52.35</v>
      </c>
      <c r="H31" s="218">
        <f>TRUNC(F31*E31,2)</f>
        <v>3574.69</v>
      </c>
      <c r="I31" s="219">
        <f>TRUNC(E31*G31,2)</f>
        <v>4604.7</v>
      </c>
    </row>
    <row r="32" spans="1:9" s="82" customFormat="1" ht="42.75">
      <c r="A32" s="82" t="s">
        <v>711</v>
      </c>
      <c r="B32" s="82" t="s">
        <v>707</v>
      </c>
      <c r="C32" s="82" t="s">
        <v>708</v>
      </c>
      <c r="D32" s="82" t="s">
        <v>0</v>
      </c>
      <c r="E32" s="82">
        <v>2</v>
      </c>
      <c r="F32" s="228">
        <f>TRUNC(DESONERADA!F109,2)</f>
        <v>63.82</v>
      </c>
      <c r="G32" s="218">
        <f>TRUNC(F32*1.2882,2)</f>
        <v>82.21</v>
      </c>
      <c r="H32" s="218">
        <f>TRUNC(F32*E32,2)</f>
        <v>127.64</v>
      </c>
      <c r="I32" s="219">
        <f>TRUNC(E32*G32,2)</f>
        <v>164.42</v>
      </c>
    </row>
    <row r="33" spans="1:10" s="44" customFormat="1" ht="15.75">
      <c r="A33" s="53" t="s">
        <v>44</v>
      </c>
      <c r="B33" s="55"/>
      <c r="C33" s="54"/>
      <c r="D33" s="55"/>
      <c r="E33" s="55"/>
      <c r="F33" s="55"/>
      <c r="G33" s="55" t="s">
        <v>83</v>
      </c>
      <c r="H33" s="56">
        <f>H31+H30+H29+H28+H32</f>
        <v>14163.39</v>
      </c>
      <c r="I33" s="56">
        <f>I31+I30+I29+I28+I32</f>
        <v>18244.57</v>
      </c>
      <c r="J33" s="83"/>
    </row>
    <row r="34" spans="1:9" s="43" customFormat="1" ht="15.75">
      <c r="A34" s="43" t="s">
        <v>17</v>
      </c>
      <c r="B34" s="51"/>
      <c r="C34" s="52" t="s">
        <v>171</v>
      </c>
      <c r="D34" s="52"/>
      <c r="E34" s="52"/>
      <c r="F34" s="52"/>
      <c r="G34" s="52"/>
      <c r="H34" s="52"/>
      <c r="I34" s="50"/>
    </row>
    <row r="35" spans="1:9" s="82" customFormat="1" ht="71.25">
      <c r="A35" s="82" t="s">
        <v>45</v>
      </c>
      <c r="B35" s="82" t="s">
        <v>321</v>
      </c>
      <c r="C35" s="82" t="s">
        <v>322</v>
      </c>
      <c r="D35" s="82" t="s">
        <v>12</v>
      </c>
      <c r="E35" s="82">
        <v>2</v>
      </c>
      <c r="F35" s="228">
        <f>TRUNC(DESONERADA!F116,2)</f>
        <v>242.6</v>
      </c>
      <c r="G35" s="218">
        <f aca="true" t="shared" si="3" ref="G35:G43">TRUNC(F35*1.2882,2)</f>
        <v>312.51</v>
      </c>
      <c r="H35" s="218">
        <f aca="true" t="shared" si="4" ref="H35:H43">TRUNC(F35*E35,2)</f>
        <v>485.2</v>
      </c>
      <c r="I35" s="219">
        <f aca="true" t="shared" si="5" ref="I35:I43">TRUNC(E35*G35,2)</f>
        <v>625.02</v>
      </c>
    </row>
    <row r="36" spans="1:9" s="82" customFormat="1" ht="28.5">
      <c r="A36" s="82" t="s">
        <v>580</v>
      </c>
      <c r="B36" s="82" t="s">
        <v>557</v>
      </c>
      <c r="C36" s="82" t="s">
        <v>558</v>
      </c>
      <c r="D36" s="82" t="s">
        <v>12</v>
      </c>
      <c r="E36" s="82">
        <v>2</v>
      </c>
      <c r="F36" s="228">
        <f>TRUNC(DESONERADA!F120,2)</f>
        <v>144.11</v>
      </c>
      <c r="G36" s="218">
        <f t="shared" si="3"/>
        <v>185.64</v>
      </c>
      <c r="H36" s="218">
        <f t="shared" si="4"/>
        <v>288.22</v>
      </c>
      <c r="I36" s="219">
        <f t="shared" si="5"/>
        <v>371.28</v>
      </c>
    </row>
    <row r="37" spans="1:9" s="82" customFormat="1" ht="28.5">
      <c r="A37" s="82" t="s">
        <v>581</v>
      </c>
      <c r="B37" s="82" t="s">
        <v>559</v>
      </c>
      <c r="C37" s="82" t="s">
        <v>560</v>
      </c>
      <c r="D37" s="82" t="s">
        <v>12</v>
      </c>
      <c r="E37" s="82">
        <v>6</v>
      </c>
      <c r="F37" s="228">
        <f>TRUNC(DESONERADA!F125,2)</f>
        <v>111.73</v>
      </c>
      <c r="G37" s="218">
        <f t="shared" si="3"/>
        <v>143.93</v>
      </c>
      <c r="H37" s="218">
        <f t="shared" si="4"/>
        <v>670.38</v>
      </c>
      <c r="I37" s="219">
        <f t="shared" si="5"/>
        <v>863.58</v>
      </c>
    </row>
    <row r="38" spans="1:9" s="82" customFormat="1" ht="28.5">
      <c r="A38" s="82" t="s">
        <v>582</v>
      </c>
      <c r="B38" s="82" t="s">
        <v>563</v>
      </c>
      <c r="C38" s="82" t="s">
        <v>564</v>
      </c>
      <c r="D38" s="82" t="s">
        <v>12</v>
      </c>
      <c r="E38" s="82">
        <v>5</v>
      </c>
      <c r="F38" s="228">
        <f>TRUNC(DESONERADA!F130,2)</f>
        <v>99.65</v>
      </c>
      <c r="G38" s="218">
        <f t="shared" si="3"/>
        <v>128.36</v>
      </c>
      <c r="H38" s="218">
        <f t="shared" si="4"/>
        <v>498.25</v>
      </c>
      <c r="I38" s="219">
        <f t="shared" si="5"/>
        <v>641.8</v>
      </c>
    </row>
    <row r="39" spans="1:9" s="82" customFormat="1" ht="42.75">
      <c r="A39" s="82" t="s">
        <v>583</v>
      </c>
      <c r="B39" s="82" t="s">
        <v>311</v>
      </c>
      <c r="C39" s="82" t="s">
        <v>312</v>
      </c>
      <c r="D39" s="82" t="s">
        <v>12</v>
      </c>
      <c r="E39" s="82">
        <v>1</v>
      </c>
      <c r="F39" s="228">
        <f>TRUNC(DESONERADA!F135,2)</f>
        <v>409.17</v>
      </c>
      <c r="G39" s="218">
        <f t="shared" si="3"/>
        <v>527.09</v>
      </c>
      <c r="H39" s="218">
        <f t="shared" si="4"/>
        <v>409.17</v>
      </c>
      <c r="I39" s="219">
        <f t="shared" si="5"/>
        <v>527.09</v>
      </c>
    </row>
    <row r="40" spans="1:9" s="82" customFormat="1" ht="42.75">
      <c r="A40" s="82" t="s">
        <v>584</v>
      </c>
      <c r="B40" s="82" t="s">
        <v>315</v>
      </c>
      <c r="C40" s="82" t="s">
        <v>316</v>
      </c>
      <c r="D40" s="82" t="s">
        <v>12</v>
      </c>
      <c r="E40" s="82">
        <v>1</v>
      </c>
      <c r="F40" s="228">
        <f>TRUNC(DESONERADA!F144,2)</f>
        <v>452.17</v>
      </c>
      <c r="G40" s="218">
        <f t="shared" si="3"/>
        <v>582.48</v>
      </c>
      <c r="H40" s="218">
        <f t="shared" si="4"/>
        <v>452.17</v>
      </c>
      <c r="I40" s="219">
        <f t="shared" si="5"/>
        <v>582.48</v>
      </c>
    </row>
    <row r="41" spans="1:9" s="82" customFormat="1" ht="42.75">
      <c r="A41" s="82" t="s">
        <v>585</v>
      </c>
      <c r="B41" s="82" t="s">
        <v>462</v>
      </c>
      <c r="C41" s="82" t="s">
        <v>463</v>
      </c>
      <c r="D41" s="82" t="s">
        <v>0</v>
      </c>
      <c r="E41" s="82">
        <v>11.75</v>
      </c>
      <c r="F41" s="228">
        <f>TRUNC(DESONERADA!F153,2)</f>
        <v>252.61</v>
      </c>
      <c r="G41" s="218">
        <f t="shared" si="3"/>
        <v>325.41</v>
      </c>
      <c r="H41" s="218">
        <f t="shared" si="4"/>
        <v>2968.16</v>
      </c>
      <c r="I41" s="219">
        <f t="shared" si="5"/>
        <v>3823.56</v>
      </c>
    </row>
    <row r="42" spans="1:9" s="82" customFormat="1" ht="42.75">
      <c r="A42" s="82" t="s">
        <v>586</v>
      </c>
      <c r="B42" s="82" t="s">
        <v>470</v>
      </c>
      <c r="C42" s="82" t="s">
        <v>471</v>
      </c>
      <c r="D42" s="82" t="s">
        <v>0</v>
      </c>
      <c r="E42" s="82">
        <v>4.25</v>
      </c>
      <c r="F42" s="228">
        <f>TRUNC(DESONERADA!F160,2)</f>
        <v>491.82</v>
      </c>
      <c r="G42" s="218">
        <f t="shared" si="3"/>
        <v>633.56</v>
      </c>
      <c r="H42" s="218">
        <f t="shared" si="4"/>
        <v>2090.23</v>
      </c>
      <c r="I42" s="219">
        <f t="shared" si="5"/>
        <v>2692.63</v>
      </c>
    </row>
    <row r="43" spans="1:9" s="82" customFormat="1" ht="42.75">
      <c r="A43" s="82" t="s">
        <v>587</v>
      </c>
      <c r="B43" s="82" t="s">
        <v>441</v>
      </c>
      <c r="C43" s="82" t="s">
        <v>442</v>
      </c>
      <c r="D43" s="82" t="s">
        <v>0</v>
      </c>
      <c r="E43" s="82">
        <v>26.15</v>
      </c>
      <c r="F43" s="228">
        <f>TRUNC(DESONERADA!F166,2)</f>
        <v>171.69</v>
      </c>
      <c r="G43" s="218">
        <f t="shared" si="3"/>
        <v>221.17</v>
      </c>
      <c r="H43" s="218">
        <f t="shared" si="4"/>
        <v>4489.69</v>
      </c>
      <c r="I43" s="219">
        <f t="shared" si="5"/>
        <v>5783.59</v>
      </c>
    </row>
    <row r="44" spans="1:9" s="44" customFormat="1" ht="15.75">
      <c r="A44" s="53" t="s">
        <v>44</v>
      </c>
      <c r="B44" s="55"/>
      <c r="C44" s="54"/>
      <c r="D44" s="55"/>
      <c r="E44" s="55"/>
      <c r="F44" s="55"/>
      <c r="G44" s="55" t="s">
        <v>46</v>
      </c>
      <c r="H44" s="58">
        <f>H43+H42+H41+H40+H39+H35+H38+H37+H36</f>
        <v>12351.47</v>
      </c>
      <c r="I44" s="58">
        <f>I43+I42+I41+I40+I39+I35+I38+I37+I36</f>
        <v>15911.03</v>
      </c>
    </row>
    <row r="45" spans="1:9" s="43" customFormat="1" ht="15.75">
      <c r="A45" s="43" t="s">
        <v>18</v>
      </c>
      <c r="B45" s="51"/>
      <c r="C45" s="52" t="s">
        <v>53</v>
      </c>
      <c r="D45" s="52"/>
      <c r="E45" s="52"/>
      <c r="F45" s="52"/>
      <c r="G45" s="52"/>
      <c r="H45" s="52"/>
      <c r="I45" s="50"/>
    </row>
    <row r="46" spans="1:9" s="82" customFormat="1" ht="71.25">
      <c r="A46" s="82" t="s">
        <v>13</v>
      </c>
      <c r="B46" s="82" t="s">
        <v>116</v>
      </c>
      <c r="C46" s="82" t="s">
        <v>117</v>
      </c>
      <c r="D46" s="82" t="s">
        <v>0</v>
      </c>
      <c r="E46" s="82">
        <v>146.85</v>
      </c>
      <c r="F46" s="228">
        <f>TRUNC(DESONERADA!F173,2)</f>
        <v>14.41</v>
      </c>
      <c r="G46" s="218">
        <f>TRUNC(F46*1.2882,2)</f>
        <v>18.56</v>
      </c>
      <c r="H46" s="218">
        <f>TRUNC(F46*E46,2)</f>
        <v>2116.1</v>
      </c>
      <c r="I46" s="219">
        <f>TRUNC(E46*G46,2)</f>
        <v>2725.53</v>
      </c>
    </row>
    <row r="47" spans="1:9" s="82" customFormat="1" ht="71.25">
      <c r="A47" s="82" t="s">
        <v>588</v>
      </c>
      <c r="B47" s="82" t="s">
        <v>274</v>
      </c>
      <c r="C47" s="82" t="s">
        <v>232</v>
      </c>
      <c r="D47" s="82" t="s">
        <v>0</v>
      </c>
      <c r="E47" s="82">
        <v>8.52</v>
      </c>
      <c r="F47" s="228">
        <f>TRUNC(DESONERADA!F180,2)</f>
        <v>60.23</v>
      </c>
      <c r="G47" s="218">
        <f>TRUNC(F47*1.2882,2)</f>
        <v>77.58</v>
      </c>
      <c r="H47" s="218">
        <f>TRUNC(F47*E47,2)</f>
        <v>513.15</v>
      </c>
      <c r="I47" s="219">
        <f>TRUNC(E47*G47,2)</f>
        <v>660.98</v>
      </c>
    </row>
    <row r="48" spans="1:9" s="44" customFormat="1" ht="15.75">
      <c r="A48" s="53" t="s">
        <v>44</v>
      </c>
      <c r="B48" s="55"/>
      <c r="C48" s="54"/>
      <c r="D48" s="55"/>
      <c r="E48" s="55"/>
      <c r="F48" s="55" t="s">
        <v>48</v>
      </c>
      <c r="G48" s="55"/>
      <c r="H48" s="57">
        <f>H47+H46</f>
        <v>2629.25</v>
      </c>
      <c r="I48" s="57">
        <f>I47+I46</f>
        <v>3386.51</v>
      </c>
    </row>
    <row r="49" spans="1:9" s="43" customFormat="1" ht="15.75">
      <c r="A49" s="43" t="s">
        <v>19</v>
      </c>
      <c r="B49" s="51"/>
      <c r="C49" s="52" t="s">
        <v>221</v>
      </c>
      <c r="D49" s="52"/>
      <c r="E49" s="52"/>
      <c r="F49" s="52"/>
      <c r="G49" s="52"/>
      <c r="H49" s="52"/>
      <c r="I49" s="50"/>
    </row>
    <row r="50" spans="1:9" s="82" customFormat="1" ht="42.75">
      <c r="A50" s="82" t="s">
        <v>84</v>
      </c>
      <c r="B50" s="82" t="s">
        <v>277</v>
      </c>
      <c r="C50" s="82" t="s">
        <v>184</v>
      </c>
      <c r="D50" s="82" t="s">
        <v>12</v>
      </c>
      <c r="E50" s="82">
        <v>4</v>
      </c>
      <c r="F50" s="228">
        <f>TRUNC(DESONERADA!F189,2)</f>
        <v>352.54</v>
      </c>
      <c r="G50" s="218">
        <f aca="true" t="shared" si="6" ref="G50:G68">TRUNC(F50*1.2882,2)</f>
        <v>454.14</v>
      </c>
      <c r="H50" s="218">
        <f aca="true" t="shared" si="7" ref="H50:H68">TRUNC(F50*E50,2)</f>
        <v>1410.16</v>
      </c>
      <c r="I50" s="219">
        <f aca="true" t="shared" si="8" ref="I50:I68">TRUNC(E50*G50,2)</f>
        <v>1816.56</v>
      </c>
    </row>
    <row r="51" spans="1:9" s="82" customFormat="1" ht="28.5">
      <c r="A51" s="82" t="s">
        <v>85</v>
      </c>
      <c r="B51" s="82" t="s">
        <v>278</v>
      </c>
      <c r="C51" s="82" t="s">
        <v>188</v>
      </c>
      <c r="D51" s="82" t="s">
        <v>12</v>
      </c>
      <c r="E51" s="82">
        <v>5</v>
      </c>
      <c r="F51" s="228">
        <f>TRUNC(DESONERADA!F195,2)</f>
        <v>27.33</v>
      </c>
      <c r="G51" s="218">
        <f t="shared" si="6"/>
        <v>35.2</v>
      </c>
      <c r="H51" s="218">
        <f t="shared" si="7"/>
        <v>136.65</v>
      </c>
      <c r="I51" s="219">
        <f t="shared" si="8"/>
        <v>176</v>
      </c>
    </row>
    <row r="52" spans="1:9" s="82" customFormat="1" ht="57">
      <c r="A52" s="82" t="s">
        <v>137</v>
      </c>
      <c r="B52" s="82" t="s">
        <v>279</v>
      </c>
      <c r="C52" s="82" t="s">
        <v>189</v>
      </c>
      <c r="D52" s="82" t="s">
        <v>12</v>
      </c>
      <c r="E52" s="82">
        <v>1</v>
      </c>
      <c r="F52" s="228">
        <f>TRUNC(DESONERADA!F201,2)</f>
        <v>147.94</v>
      </c>
      <c r="G52" s="218">
        <f t="shared" si="6"/>
        <v>190.57</v>
      </c>
      <c r="H52" s="218">
        <f t="shared" si="7"/>
        <v>147.94</v>
      </c>
      <c r="I52" s="219">
        <f t="shared" si="8"/>
        <v>190.57</v>
      </c>
    </row>
    <row r="53" spans="1:9" s="82" customFormat="1" ht="42.75">
      <c r="A53" s="82" t="s">
        <v>107</v>
      </c>
      <c r="B53" s="82" t="s">
        <v>280</v>
      </c>
      <c r="C53" s="82" t="s">
        <v>477</v>
      </c>
      <c r="D53" s="82" t="s">
        <v>12</v>
      </c>
      <c r="E53" s="82">
        <v>1</v>
      </c>
      <c r="F53" s="228">
        <f>TRUNC(DESONERADA!F218,2)</f>
        <v>200.85</v>
      </c>
      <c r="G53" s="218">
        <f t="shared" si="6"/>
        <v>258.73</v>
      </c>
      <c r="H53" s="218">
        <f t="shared" si="7"/>
        <v>200.85</v>
      </c>
      <c r="I53" s="219">
        <f t="shared" si="8"/>
        <v>258.73</v>
      </c>
    </row>
    <row r="54" spans="1:9" s="82" customFormat="1" ht="57">
      <c r="A54" s="82" t="s">
        <v>589</v>
      </c>
      <c r="B54" s="82" t="s">
        <v>553</v>
      </c>
      <c r="C54" s="82" t="s">
        <v>550</v>
      </c>
      <c r="D54" s="82" t="s">
        <v>12</v>
      </c>
      <c r="E54" s="82">
        <v>4</v>
      </c>
      <c r="F54" s="228">
        <f>TRUNC(DESONERADA!F224,2)</f>
        <v>215.63</v>
      </c>
      <c r="G54" s="218">
        <f t="shared" si="6"/>
        <v>277.77</v>
      </c>
      <c r="H54" s="218">
        <f t="shared" si="7"/>
        <v>862.52</v>
      </c>
      <c r="I54" s="219">
        <f t="shared" si="8"/>
        <v>1111.08</v>
      </c>
    </row>
    <row r="55" spans="1:9" s="82" customFormat="1" ht="42.75">
      <c r="A55" s="82" t="s">
        <v>590</v>
      </c>
      <c r="B55" s="82" t="s">
        <v>281</v>
      </c>
      <c r="C55" s="82" t="s">
        <v>239</v>
      </c>
      <c r="D55" s="82" t="s">
        <v>3</v>
      </c>
      <c r="E55" s="82">
        <v>32.33</v>
      </c>
      <c r="F55" s="228">
        <f>TRUNC(DESONERADA!F232,2)</f>
        <v>7.54</v>
      </c>
      <c r="G55" s="218">
        <f t="shared" si="6"/>
        <v>9.71</v>
      </c>
      <c r="H55" s="218">
        <f t="shared" si="7"/>
        <v>243.76</v>
      </c>
      <c r="I55" s="219">
        <f t="shared" si="8"/>
        <v>313.92</v>
      </c>
    </row>
    <row r="56" spans="1:9" s="82" customFormat="1" ht="42.75">
      <c r="A56" s="82" t="s">
        <v>591</v>
      </c>
      <c r="B56" s="82" t="s">
        <v>282</v>
      </c>
      <c r="C56" s="82" t="s">
        <v>240</v>
      </c>
      <c r="D56" s="82" t="s">
        <v>3</v>
      </c>
      <c r="E56" s="82">
        <v>9.7</v>
      </c>
      <c r="F56" s="228">
        <f>TRUNC(DESONERADA!F238,2)</f>
        <v>6.88</v>
      </c>
      <c r="G56" s="218">
        <f t="shared" si="6"/>
        <v>8.86</v>
      </c>
      <c r="H56" s="218">
        <f t="shared" si="7"/>
        <v>66.73</v>
      </c>
      <c r="I56" s="219">
        <f t="shared" si="8"/>
        <v>85.94</v>
      </c>
    </row>
    <row r="57" spans="1:9" s="82" customFormat="1" ht="28.5">
      <c r="A57" s="82" t="s">
        <v>108</v>
      </c>
      <c r="B57" s="82" t="s">
        <v>409</v>
      </c>
      <c r="C57" s="82" t="s">
        <v>223</v>
      </c>
      <c r="D57" s="82" t="s">
        <v>3</v>
      </c>
      <c r="E57" s="82">
        <v>42.03</v>
      </c>
      <c r="F57" s="228">
        <f>TRUNC(DESONERADA!F244,2)</f>
        <v>10.7</v>
      </c>
      <c r="G57" s="218">
        <f t="shared" si="6"/>
        <v>13.78</v>
      </c>
      <c r="H57" s="218">
        <f t="shared" si="7"/>
        <v>449.72</v>
      </c>
      <c r="I57" s="219">
        <f t="shared" si="8"/>
        <v>579.17</v>
      </c>
    </row>
    <row r="58" spans="1:9" s="82" customFormat="1" ht="28.5">
      <c r="A58" s="82" t="s">
        <v>109</v>
      </c>
      <c r="B58" s="82" t="s">
        <v>410</v>
      </c>
      <c r="C58" s="82" t="s">
        <v>411</v>
      </c>
      <c r="D58" s="82" t="s">
        <v>12</v>
      </c>
      <c r="E58" s="82">
        <v>2</v>
      </c>
      <c r="F58" s="228">
        <f>TRUNC(DESONERADA!F249,2)</f>
        <v>52.73</v>
      </c>
      <c r="G58" s="218">
        <f t="shared" si="6"/>
        <v>67.92</v>
      </c>
      <c r="H58" s="218">
        <f t="shared" si="7"/>
        <v>105.46</v>
      </c>
      <c r="I58" s="219">
        <f t="shared" si="8"/>
        <v>135.84</v>
      </c>
    </row>
    <row r="59" spans="1:9" s="82" customFormat="1" ht="28.5">
      <c r="A59" s="82" t="s">
        <v>138</v>
      </c>
      <c r="B59" s="82" t="s">
        <v>414</v>
      </c>
      <c r="C59" s="82" t="s">
        <v>415</v>
      </c>
      <c r="D59" s="82" t="s">
        <v>12</v>
      </c>
      <c r="E59" s="82">
        <v>5</v>
      </c>
      <c r="F59" s="228">
        <f>TRUNC(DESONERADA!F254,2)</f>
        <v>24.05</v>
      </c>
      <c r="G59" s="218">
        <f t="shared" si="6"/>
        <v>30.98</v>
      </c>
      <c r="H59" s="218">
        <f t="shared" si="7"/>
        <v>120.25</v>
      </c>
      <c r="I59" s="219">
        <f t="shared" si="8"/>
        <v>154.9</v>
      </c>
    </row>
    <row r="60" spans="1:9" s="82" customFormat="1" ht="28.5">
      <c r="A60" s="82" t="s">
        <v>110</v>
      </c>
      <c r="B60" s="82" t="s">
        <v>416</v>
      </c>
      <c r="C60" s="82" t="s">
        <v>243</v>
      </c>
      <c r="D60" s="82" t="s">
        <v>12</v>
      </c>
      <c r="E60" s="82">
        <v>2</v>
      </c>
      <c r="F60" s="228">
        <f>TRUNC(DESONERADA!F257,2)</f>
        <v>10.77</v>
      </c>
      <c r="G60" s="218">
        <f t="shared" si="6"/>
        <v>13.87</v>
      </c>
      <c r="H60" s="218">
        <f t="shared" si="7"/>
        <v>21.54</v>
      </c>
      <c r="I60" s="219">
        <f t="shared" si="8"/>
        <v>27.74</v>
      </c>
    </row>
    <row r="61" spans="1:9" s="82" customFormat="1" ht="28.5">
      <c r="A61" s="82" t="s">
        <v>110</v>
      </c>
      <c r="B61" s="82" t="s">
        <v>423</v>
      </c>
      <c r="C61" s="82" t="s">
        <v>250</v>
      </c>
      <c r="D61" s="82" t="s">
        <v>12</v>
      </c>
      <c r="E61" s="82">
        <v>4</v>
      </c>
      <c r="F61" s="228">
        <f>TRUNC(DESONERADA!F265,2)</f>
        <v>10.56</v>
      </c>
      <c r="G61" s="218">
        <f t="shared" si="6"/>
        <v>13.6</v>
      </c>
      <c r="H61" s="218">
        <f t="shared" si="7"/>
        <v>42.24</v>
      </c>
      <c r="I61" s="219">
        <f t="shared" si="8"/>
        <v>54.4</v>
      </c>
    </row>
    <row r="62" spans="1:9" s="82" customFormat="1" ht="28.5">
      <c r="A62" s="82" t="s">
        <v>592</v>
      </c>
      <c r="B62" s="82" t="s">
        <v>429</v>
      </c>
      <c r="C62" s="82" t="s">
        <v>425</v>
      </c>
      <c r="D62" s="82" t="s">
        <v>3</v>
      </c>
      <c r="E62" s="82">
        <v>19.97</v>
      </c>
      <c r="F62" s="228">
        <f>TRUNC(DESONERADA!F273,2)</f>
        <v>16.83</v>
      </c>
      <c r="G62" s="218">
        <f t="shared" si="6"/>
        <v>21.68</v>
      </c>
      <c r="H62" s="218">
        <f t="shared" si="7"/>
        <v>336.09</v>
      </c>
      <c r="I62" s="219">
        <f t="shared" si="8"/>
        <v>432.94</v>
      </c>
    </row>
    <row r="63" spans="1:9" s="82" customFormat="1" ht="28.5">
      <c r="A63" s="82" t="s">
        <v>593</v>
      </c>
      <c r="B63" s="82" t="s">
        <v>431</v>
      </c>
      <c r="C63" s="82" t="s">
        <v>427</v>
      </c>
      <c r="D63" s="82" t="s">
        <v>3</v>
      </c>
      <c r="E63" s="82">
        <v>3.47</v>
      </c>
      <c r="F63" s="228">
        <f>TRUNC(DESONERADA!F279,2)</f>
        <v>24.12</v>
      </c>
      <c r="G63" s="218">
        <f t="shared" si="6"/>
        <v>31.07</v>
      </c>
      <c r="H63" s="218">
        <f t="shared" si="7"/>
        <v>83.69</v>
      </c>
      <c r="I63" s="219">
        <f t="shared" si="8"/>
        <v>107.81</v>
      </c>
    </row>
    <row r="64" spans="1:9" s="82" customFormat="1" ht="28.5">
      <c r="A64" s="82" t="s">
        <v>594</v>
      </c>
      <c r="B64" s="82" t="s">
        <v>433</v>
      </c>
      <c r="C64" s="82" t="s">
        <v>434</v>
      </c>
      <c r="D64" s="82" t="s">
        <v>3</v>
      </c>
      <c r="E64" s="82">
        <v>7.7</v>
      </c>
      <c r="F64" s="228">
        <f>TRUNC(DESONERADA!F287,2)</f>
        <v>36.52</v>
      </c>
      <c r="G64" s="218">
        <f t="shared" si="6"/>
        <v>47.04</v>
      </c>
      <c r="H64" s="218">
        <f t="shared" si="7"/>
        <v>281.2</v>
      </c>
      <c r="I64" s="219">
        <f t="shared" si="8"/>
        <v>362.2</v>
      </c>
    </row>
    <row r="65" spans="1:9" s="82" customFormat="1" ht="28.5">
      <c r="A65" s="82" t="s">
        <v>595</v>
      </c>
      <c r="B65" s="82" t="s">
        <v>437</v>
      </c>
      <c r="C65" s="82" t="s">
        <v>438</v>
      </c>
      <c r="D65" s="82" t="s">
        <v>3</v>
      </c>
      <c r="E65" s="82">
        <v>8</v>
      </c>
      <c r="F65" s="228">
        <f>TRUNC(DESONERADA!F295,2)</f>
        <v>47.25</v>
      </c>
      <c r="G65" s="218">
        <f t="shared" si="6"/>
        <v>60.86</v>
      </c>
      <c r="H65" s="218">
        <f t="shared" si="7"/>
        <v>378</v>
      </c>
      <c r="I65" s="219">
        <f t="shared" si="8"/>
        <v>486.88</v>
      </c>
    </row>
    <row r="66" spans="1:9" s="82" customFormat="1" ht="28.5">
      <c r="A66" s="82" t="s">
        <v>596</v>
      </c>
      <c r="B66" s="82" t="s">
        <v>445</v>
      </c>
      <c r="C66" s="82" t="s">
        <v>446</v>
      </c>
      <c r="D66" s="82" t="s">
        <v>3</v>
      </c>
      <c r="E66" s="82">
        <v>31.14</v>
      </c>
      <c r="F66" s="228">
        <f>TRUNC(DESONERADA!F303,2)</f>
        <v>29.51</v>
      </c>
      <c r="G66" s="218">
        <f t="shared" si="6"/>
        <v>38.01</v>
      </c>
      <c r="H66" s="218">
        <f t="shared" si="7"/>
        <v>918.94</v>
      </c>
      <c r="I66" s="219">
        <f t="shared" si="8"/>
        <v>1183.63</v>
      </c>
    </row>
    <row r="67" spans="1:9" s="82" customFormat="1" ht="28.5">
      <c r="A67" s="82" t="s">
        <v>597</v>
      </c>
      <c r="B67" s="82" t="s">
        <v>453</v>
      </c>
      <c r="C67" s="82" t="s">
        <v>454</v>
      </c>
      <c r="D67" s="82" t="s">
        <v>3</v>
      </c>
      <c r="E67" s="82">
        <v>8</v>
      </c>
      <c r="F67" s="228">
        <f>TRUNC(DESONERADA!F309,2)</f>
        <v>32.08</v>
      </c>
      <c r="G67" s="218">
        <f t="shared" si="6"/>
        <v>41.32</v>
      </c>
      <c r="H67" s="218">
        <f t="shared" si="7"/>
        <v>256.64</v>
      </c>
      <c r="I67" s="219">
        <f t="shared" si="8"/>
        <v>330.56</v>
      </c>
    </row>
    <row r="68" spans="1:9" s="82" customFormat="1" ht="42.75">
      <c r="A68" s="82" t="s">
        <v>598</v>
      </c>
      <c r="B68" s="82" t="s">
        <v>571</v>
      </c>
      <c r="C68" s="82" t="s">
        <v>572</v>
      </c>
      <c r="D68" s="82" t="s">
        <v>3</v>
      </c>
      <c r="E68" s="82">
        <v>3</v>
      </c>
      <c r="F68" s="228">
        <f>TRUNC(DESONERADA!F315,2)</f>
        <v>263.41</v>
      </c>
      <c r="G68" s="218">
        <f t="shared" si="6"/>
        <v>339.32</v>
      </c>
      <c r="H68" s="218">
        <f t="shared" si="7"/>
        <v>790.23</v>
      </c>
      <c r="I68" s="219">
        <f t="shared" si="8"/>
        <v>1017.96</v>
      </c>
    </row>
    <row r="69" spans="1:9" s="44" customFormat="1" ht="15.75">
      <c r="A69" s="53" t="s">
        <v>44</v>
      </c>
      <c r="B69" s="55"/>
      <c r="C69" s="54"/>
      <c r="D69" s="55"/>
      <c r="E69" s="55"/>
      <c r="F69" s="55" t="s">
        <v>139</v>
      </c>
      <c r="G69" s="55"/>
      <c r="H69" s="56">
        <f>H67+H66+H65+H64+H63+H62+H61+H60+H59+H58+H57+H56+H55+H53+H52+H51+H50+H54+H68</f>
        <v>6852.609999999999</v>
      </c>
      <c r="I69" s="56">
        <f>I67+I66+I65+I64+I63+I62+I61+I60+I59+I58+I57+I56+I55+I53+I52+I51+I50+I54+I68</f>
        <v>8826.829999999998</v>
      </c>
    </row>
    <row r="70" spans="1:9" s="43" customFormat="1" ht="15.75">
      <c r="A70" s="43" t="s">
        <v>20</v>
      </c>
      <c r="B70" s="51"/>
      <c r="C70" s="52" t="s">
        <v>222</v>
      </c>
      <c r="D70" s="52"/>
      <c r="E70" s="52"/>
      <c r="F70" s="52"/>
      <c r="G70" s="52"/>
      <c r="H70" s="52"/>
      <c r="I70" s="50"/>
    </row>
    <row r="71" spans="1:9" s="82" customFormat="1" ht="42.75">
      <c r="A71" s="82" t="s">
        <v>599</v>
      </c>
      <c r="B71" s="82" t="s">
        <v>359</v>
      </c>
      <c r="C71" s="82" t="s">
        <v>360</v>
      </c>
      <c r="D71" s="82" t="s">
        <v>12</v>
      </c>
      <c r="E71" s="82">
        <v>2</v>
      </c>
      <c r="F71" s="228">
        <f>TRUNC(DESONERADA!F324,2)</f>
        <v>387.91</v>
      </c>
      <c r="G71" s="218">
        <f aca="true" t="shared" si="9" ref="G71:G91">TRUNC(F71*1.2882,2)</f>
        <v>499.7</v>
      </c>
      <c r="H71" s="218">
        <f aca="true" t="shared" si="10" ref="H71:H91">TRUNC(F71*E71,2)</f>
        <v>775.82</v>
      </c>
      <c r="I71" s="219">
        <f aca="true" t="shared" si="11" ref="I71:I91">TRUNC(E71*G71,2)</f>
        <v>999.4</v>
      </c>
    </row>
    <row r="72" spans="1:9" s="82" customFormat="1" ht="28.5">
      <c r="A72" s="82" t="s">
        <v>600</v>
      </c>
      <c r="B72" s="82" t="s">
        <v>355</v>
      </c>
      <c r="C72" s="82" t="s">
        <v>356</v>
      </c>
      <c r="D72" s="82" t="s">
        <v>12</v>
      </c>
      <c r="E72" s="82">
        <v>4</v>
      </c>
      <c r="F72" s="228">
        <f>TRUNC(DESONERADA!F329,2)</f>
        <v>10.03</v>
      </c>
      <c r="G72" s="218">
        <f t="shared" si="9"/>
        <v>12.92</v>
      </c>
      <c r="H72" s="218">
        <f t="shared" si="10"/>
        <v>40.12</v>
      </c>
      <c r="I72" s="219">
        <f t="shared" si="11"/>
        <v>51.68</v>
      </c>
    </row>
    <row r="73" spans="1:9" s="82" customFormat="1" ht="28.5">
      <c r="A73" s="82" t="s">
        <v>601</v>
      </c>
      <c r="B73" s="82" t="s">
        <v>357</v>
      </c>
      <c r="C73" s="82" t="s">
        <v>358</v>
      </c>
      <c r="D73" s="82" t="s">
        <v>12</v>
      </c>
      <c r="E73" s="82">
        <v>1</v>
      </c>
      <c r="F73" s="228">
        <f>TRUNC(DESONERADA!F335,2)</f>
        <v>49.17</v>
      </c>
      <c r="G73" s="218">
        <f t="shared" si="9"/>
        <v>63.34</v>
      </c>
      <c r="H73" s="218">
        <f t="shared" si="10"/>
        <v>49.17</v>
      </c>
      <c r="I73" s="219">
        <f t="shared" si="11"/>
        <v>63.34</v>
      </c>
    </row>
    <row r="74" spans="1:9" s="82" customFormat="1" ht="28.5">
      <c r="A74" s="82" t="s">
        <v>602</v>
      </c>
      <c r="B74" s="82" t="s">
        <v>339</v>
      </c>
      <c r="C74" s="82" t="s">
        <v>340</v>
      </c>
      <c r="D74" s="82" t="s">
        <v>12</v>
      </c>
      <c r="E74" s="82">
        <v>3</v>
      </c>
      <c r="F74" s="228">
        <f>TRUNC(DESONERADA!F341,2)</f>
        <v>10.62</v>
      </c>
      <c r="G74" s="218">
        <f t="shared" si="9"/>
        <v>13.68</v>
      </c>
      <c r="H74" s="218">
        <f t="shared" si="10"/>
        <v>31.86</v>
      </c>
      <c r="I74" s="219">
        <f t="shared" si="11"/>
        <v>41.04</v>
      </c>
    </row>
    <row r="75" spans="1:9" s="82" customFormat="1" ht="28.5">
      <c r="A75" s="82" t="s">
        <v>603</v>
      </c>
      <c r="B75" s="82" t="s">
        <v>345</v>
      </c>
      <c r="C75" s="82" t="s">
        <v>346</v>
      </c>
      <c r="D75" s="82" t="s">
        <v>12</v>
      </c>
      <c r="E75" s="82">
        <v>1</v>
      </c>
      <c r="F75" s="228">
        <f>TRUNC(DESONERADA!F347,2)</f>
        <v>52.42</v>
      </c>
      <c r="G75" s="218">
        <f t="shared" si="9"/>
        <v>67.52</v>
      </c>
      <c r="H75" s="218">
        <f t="shared" si="10"/>
        <v>52.42</v>
      </c>
      <c r="I75" s="219">
        <f t="shared" si="11"/>
        <v>67.52</v>
      </c>
    </row>
    <row r="76" spans="1:9" s="82" customFormat="1" ht="28.5">
      <c r="A76" s="82" t="s">
        <v>604</v>
      </c>
      <c r="B76" s="82" t="s">
        <v>351</v>
      </c>
      <c r="C76" s="82" t="s">
        <v>352</v>
      </c>
      <c r="D76" s="82" t="s">
        <v>12</v>
      </c>
      <c r="E76" s="82">
        <v>5</v>
      </c>
      <c r="F76" s="228">
        <f>TRUNC(DESONERADA!F353,2)</f>
        <v>54.98</v>
      </c>
      <c r="G76" s="218">
        <f t="shared" si="9"/>
        <v>70.82</v>
      </c>
      <c r="H76" s="218">
        <f t="shared" si="10"/>
        <v>274.9</v>
      </c>
      <c r="I76" s="219">
        <f t="shared" si="11"/>
        <v>354.1</v>
      </c>
    </row>
    <row r="77" spans="1:9" s="82" customFormat="1" ht="57">
      <c r="A77" s="82" t="s">
        <v>605</v>
      </c>
      <c r="B77" s="82" t="s">
        <v>290</v>
      </c>
      <c r="C77" s="82" t="s">
        <v>287</v>
      </c>
      <c r="D77" s="82" t="s">
        <v>3</v>
      </c>
      <c r="E77" s="82">
        <v>340</v>
      </c>
      <c r="F77" s="228">
        <f>TRUNC(DESONERADA!F359,2)</f>
        <v>2.64</v>
      </c>
      <c r="G77" s="218">
        <f t="shared" si="9"/>
        <v>3.4</v>
      </c>
      <c r="H77" s="218">
        <f t="shared" si="10"/>
        <v>897.6</v>
      </c>
      <c r="I77" s="219">
        <f t="shared" si="11"/>
        <v>1156</v>
      </c>
    </row>
    <row r="78" spans="1:9" s="82" customFormat="1" ht="57">
      <c r="A78" s="82" t="s">
        <v>606</v>
      </c>
      <c r="B78" s="82" t="s">
        <v>98</v>
      </c>
      <c r="C78" s="82" t="s">
        <v>97</v>
      </c>
      <c r="D78" s="82" t="s">
        <v>3</v>
      </c>
      <c r="E78" s="82">
        <v>164</v>
      </c>
      <c r="F78" s="228">
        <f>TRUNC(DESONERADA!F365,2)</f>
        <v>3.58</v>
      </c>
      <c r="G78" s="218">
        <f t="shared" si="9"/>
        <v>4.61</v>
      </c>
      <c r="H78" s="218">
        <f t="shared" si="10"/>
        <v>587.12</v>
      </c>
      <c r="I78" s="219">
        <f t="shared" si="11"/>
        <v>756.04</v>
      </c>
    </row>
    <row r="79" spans="1:9" s="82" customFormat="1" ht="57">
      <c r="A79" s="82" t="s">
        <v>607</v>
      </c>
      <c r="B79" s="82" t="s">
        <v>363</v>
      </c>
      <c r="C79" s="82" t="s">
        <v>364</v>
      </c>
      <c r="D79" s="82" t="s">
        <v>3</v>
      </c>
      <c r="E79" s="82">
        <v>46</v>
      </c>
      <c r="F79" s="228">
        <f>TRUNC(DESONERADA!F371,2)</f>
        <v>4.75</v>
      </c>
      <c r="G79" s="218">
        <f t="shared" si="9"/>
        <v>6.11</v>
      </c>
      <c r="H79" s="218">
        <f t="shared" si="10"/>
        <v>218.5</v>
      </c>
      <c r="I79" s="219">
        <f t="shared" si="11"/>
        <v>281.06</v>
      </c>
    </row>
    <row r="80" spans="1:9" s="82" customFormat="1" ht="57">
      <c r="A80" s="82" t="s">
        <v>608</v>
      </c>
      <c r="B80" s="82" t="s">
        <v>367</v>
      </c>
      <c r="C80" s="82" t="s">
        <v>368</v>
      </c>
      <c r="D80" s="82" t="s">
        <v>3</v>
      </c>
      <c r="E80" s="82">
        <v>340</v>
      </c>
      <c r="F80" s="228">
        <f>TRUNC(DESONERADA!F377,2)</f>
        <v>6.67</v>
      </c>
      <c r="G80" s="218">
        <f t="shared" si="9"/>
        <v>8.59</v>
      </c>
      <c r="H80" s="218">
        <f t="shared" si="10"/>
        <v>2267.8</v>
      </c>
      <c r="I80" s="219">
        <f t="shared" si="11"/>
        <v>2920.6</v>
      </c>
    </row>
    <row r="81" spans="1:9" s="82" customFormat="1" ht="28.5">
      <c r="A81" s="82" t="s">
        <v>609</v>
      </c>
      <c r="B81" s="82" t="s">
        <v>371</v>
      </c>
      <c r="C81" s="82" t="s">
        <v>372</v>
      </c>
      <c r="D81" s="82" t="s">
        <v>3</v>
      </c>
      <c r="E81" s="82">
        <v>102</v>
      </c>
      <c r="F81" s="228">
        <f>TRUNC(DESONERADA!F383,2)</f>
        <v>16.62</v>
      </c>
      <c r="G81" s="218">
        <f t="shared" si="9"/>
        <v>21.4</v>
      </c>
      <c r="H81" s="218">
        <f t="shared" si="10"/>
        <v>1695.24</v>
      </c>
      <c r="I81" s="219">
        <f t="shared" si="11"/>
        <v>2182.8</v>
      </c>
    </row>
    <row r="82" spans="1:9" s="82" customFormat="1" ht="28.5">
      <c r="A82" s="82" t="s">
        <v>610</v>
      </c>
      <c r="B82" s="82" t="s">
        <v>377</v>
      </c>
      <c r="C82" s="82" t="s">
        <v>378</v>
      </c>
      <c r="D82" s="82" t="s">
        <v>12</v>
      </c>
      <c r="E82" s="82">
        <v>2</v>
      </c>
      <c r="F82" s="228">
        <f>TRUNC(DESONERADA!F389,2)</f>
        <v>48.6</v>
      </c>
      <c r="G82" s="218">
        <f t="shared" si="9"/>
        <v>62.6</v>
      </c>
      <c r="H82" s="218">
        <f t="shared" si="10"/>
        <v>97.2</v>
      </c>
      <c r="I82" s="219">
        <f t="shared" si="11"/>
        <v>125.2</v>
      </c>
    </row>
    <row r="83" spans="1:9" s="82" customFormat="1" ht="57">
      <c r="A83" s="82" t="s">
        <v>611</v>
      </c>
      <c r="B83" s="82" t="s">
        <v>387</v>
      </c>
      <c r="C83" s="82" t="s">
        <v>388</v>
      </c>
      <c r="D83" s="82" t="s">
        <v>12</v>
      </c>
      <c r="E83" s="82">
        <v>28</v>
      </c>
      <c r="F83" s="228">
        <f>TRUNC(DESONERADA!F394,2)</f>
        <v>68.85</v>
      </c>
      <c r="G83" s="218">
        <f t="shared" si="9"/>
        <v>88.69</v>
      </c>
      <c r="H83" s="218">
        <f t="shared" si="10"/>
        <v>1927.8</v>
      </c>
      <c r="I83" s="219">
        <f t="shared" si="11"/>
        <v>2483.32</v>
      </c>
    </row>
    <row r="84" spans="1:9" s="82" customFormat="1" ht="28.5">
      <c r="A84" s="82" t="s">
        <v>612</v>
      </c>
      <c r="B84" s="82" t="s">
        <v>393</v>
      </c>
      <c r="C84" s="82" t="s">
        <v>394</v>
      </c>
      <c r="D84" s="82" t="s">
        <v>12</v>
      </c>
      <c r="E84" s="82">
        <v>28</v>
      </c>
      <c r="F84" s="228">
        <f>TRUNC(DESONERADA!F403,2)</f>
        <v>25.45</v>
      </c>
      <c r="G84" s="218">
        <f t="shared" si="9"/>
        <v>32.78</v>
      </c>
      <c r="H84" s="218">
        <f t="shared" si="10"/>
        <v>712.6</v>
      </c>
      <c r="I84" s="219">
        <f t="shared" si="11"/>
        <v>917.84</v>
      </c>
    </row>
    <row r="85" spans="1:9" s="82" customFormat="1" ht="29.25">
      <c r="A85" s="82" t="s">
        <v>613</v>
      </c>
      <c r="B85" s="82" t="s">
        <v>642</v>
      </c>
      <c r="C85" s="82" t="s">
        <v>478</v>
      </c>
      <c r="D85" s="82" t="s">
        <v>3</v>
      </c>
      <c r="E85" s="82">
        <v>185</v>
      </c>
      <c r="F85" s="228">
        <f>TRUNC(DESONERADA!F407,2)</f>
        <v>6.35</v>
      </c>
      <c r="G85" s="218">
        <f t="shared" si="9"/>
        <v>8.18</v>
      </c>
      <c r="H85" s="218">
        <f t="shared" si="10"/>
        <v>1174.75</v>
      </c>
      <c r="I85" s="219">
        <f t="shared" si="11"/>
        <v>1513.3</v>
      </c>
    </row>
    <row r="86" spans="1:9" s="82" customFormat="1" ht="28.5">
      <c r="A86" s="82" t="s">
        <v>614</v>
      </c>
      <c r="B86" s="82" t="s">
        <v>335</v>
      </c>
      <c r="C86" s="82" t="s">
        <v>336</v>
      </c>
      <c r="D86" s="82" t="s">
        <v>3</v>
      </c>
      <c r="E86" s="82">
        <v>22</v>
      </c>
      <c r="F86" s="228">
        <f>TRUNC(DESONERADA!F414,2)</f>
        <v>7.87</v>
      </c>
      <c r="G86" s="218">
        <f t="shared" si="9"/>
        <v>10.13</v>
      </c>
      <c r="H86" s="218">
        <f t="shared" si="10"/>
        <v>173.14</v>
      </c>
      <c r="I86" s="219">
        <f t="shared" si="11"/>
        <v>222.86</v>
      </c>
    </row>
    <row r="87" spans="1:9" s="82" customFormat="1" ht="28.5">
      <c r="A87" s="82" t="s">
        <v>615</v>
      </c>
      <c r="B87" s="82" t="s">
        <v>331</v>
      </c>
      <c r="C87" s="82" t="s">
        <v>332</v>
      </c>
      <c r="D87" s="82" t="s">
        <v>3</v>
      </c>
      <c r="E87" s="82">
        <v>30</v>
      </c>
      <c r="F87" s="228">
        <f>TRUNC(DESONERADA!F420,2)</f>
        <v>18.48</v>
      </c>
      <c r="G87" s="218">
        <f t="shared" si="9"/>
        <v>23.8</v>
      </c>
      <c r="H87" s="218">
        <f t="shared" si="10"/>
        <v>554.4</v>
      </c>
      <c r="I87" s="219">
        <f t="shared" si="11"/>
        <v>714</v>
      </c>
    </row>
    <row r="88" spans="1:9" s="82" customFormat="1" ht="43.5">
      <c r="A88" s="82" t="s">
        <v>616</v>
      </c>
      <c r="B88" s="82" t="s">
        <v>637</v>
      </c>
      <c r="C88" s="82" t="s">
        <v>639</v>
      </c>
      <c r="D88" s="82" t="s">
        <v>12</v>
      </c>
      <c r="E88" s="82">
        <v>22</v>
      </c>
      <c r="F88" s="228">
        <f>TRUNC(DESONERADA!F425,2)</f>
        <v>11.66</v>
      </c>
      <c r="G88" s="218">
        <f t="shared" si="9"/>
        <v>15.02</v>
      </c>
      <c r="H88" s="218">
        <f t="shared" si="10"/>
        <v>256.52</v>
      </c>
      <c r="I88" s="219">
        <f t="shared" si="11"/>
        <v>330.44</v>
      </c>
    </row>
    <row r="89" spans="1:9" s="82" customFormat="1" ht="43.5">
      <c r="A89" s="82" t="s">
        <v>617</v>
      </c>
      <c r="B89" s="82" t="s">
        <v>637</v>
      </c>
      <c r="C89" s="82" t="s">
        <v>638</v>
      </c>
      <c r="D89" s="82" t="s">
        <v>12</v>
      </c>
      <c r="E89" s="82">
        <v>6</v>
      </c>
      <c r="F89" s="228">
        <f>TRUNC(DESONERADA!F430,2)</f>
        <v>11.48</v>
      </c>
      <c r="G89" s="218">
        <f t="shared" si="9"/>
        <v>14.78</v>
      </c>
      <c r="H89" s="218">
        <f t="shared" si="10"/>
        <v>68.88</v>
      </c>
      <c r="I89" s="219">
        <f t="shared" si="11"/>
        <v>88.68</v>
      </c>
    </row>
    <row r="90" spans="1:9" s="82" customFormat="1" ht="39.75" customHeight="1">
      <c r="A90" s="82" t="s">
        <v>618</v>
      </c>
      <c r="B90" s="82" t="s">
        <v>637</v>
      </c>
      <c r="C90" s="82" t="s">
        <v>640</v>
      </c>
      <c r="D90" s="82" t="s">
        <v>12</v>
      </c>
      <c r="E90" s="82">
        <v>2</v>
      </c>
      <c r="F90" s="228">
        <f>TRUNC(DESONERADA!F435,2)</f>
        <v>12.06</v>
      </c>
      <c r="G90" s="218">
        <f t="shared" si="9"/>
        <v>15.53</v>
      </c>
      <c r="H90" s="218">
        <f t="shared" si="10"/>
        <v>24.12</v>
      </c>
      <c r="I90" s="219">
        <f t="shared" si="11"/>
        <v>31.06</v>
      </c>
    </row>
    <row r="91" spans="1:9" s="82" customFormat="1" ht="39.75" customHeight="1">
      <c r="A91" s="82" t="s">
        <v>619</v>
      </c>
      <c r="B91" s="82" t="s">
        <v>637</v>
      </c>
      <c r="C91" s="82" t="s">
        <v>641</v>
      </c>
      <c r="D91" s="82" t="s">
        <v>12</v>
      </c>
      <c r="E91" s="82">
        <v>6</v>
      </c>
      <c r="F91" s="228">
        <f>TRUNC(DESONERADA!F440,2)</f>
        <v>12.94</v>
      </c>
      <c r="G91" s="218">
        <f t="shared" si="9"/>
        <v>16.66</v>
      </c>
      <c r="H91" s="218">
        <f t="shared" si="10"/>
        <v>77.64</v>
      </c>
      <c r="I91" s="219">
        <f t="shared" si="11"/>
        <v>99.96</v>
      </c>
    </row>
    <row r="92" spans="1:9" s="44" customFormat="1" ht="15.75">
      <c r="A92" s="53" t="s">
        <v>44</v>
      </c>
      <c r="B92" s="55"/>
      <c r="C92" s="54"/>
      <c r="D92" s="55"/>
      <c r="E92" s="55"/>
      <c r="F92" s="55" t="s">
        <v>111</v>
      </c>
      <c r="G92" s="55"/>
      <c r="H92" s="57">
        <f>H91+H90+H89+H88+H87+H86+H85+H84+H83+H82+H81+H80+H79+H78+H77+H76+H75+H74+H73+H72+H71</f>
        <v>11957.600000000002</v>
      </c>
      <c r="I92" s="57">
        <f>I91+I90+I89+I88+I87+I86+I85+I84+I83+I82+I81+I80+I79+I78+I77+I76+I75+I74+I73+I72+I71</f>
        <v>15400.240000000002</v>
      </c>
    </row>
    <row r="93" spans="1:9" s="43" customFormat="1" ht="15.75">
      <c r="A93" s="43" t="s">
        <v>106</v>
      </c>
      <c r="B93" s="51"/>
      <c r="C93" s="52" t="s">
        <v>54</v>
      </c>
      <c r="D93" s="52"/>
      <c r="E93" s="52"/>
      <c r="F93" s="52"/>
      <c r="G93" s="52"/>
      <c r="H93" s="52"/>
      <c r="I93" s="50"/>
    </row>
    <row r="94" spans="1:9" s="82" customFormat="1" ht="39.75" customHeight="1">
      <c r="A94" s="82" t="s">
        <v>620</v>
      </c>
      <c r="B94" s="82" t="s">
        <v>127</v>
      </c>
      <c r="C94" s="82" t="s">
        <v>128</v>
      </c>
      <c r="D94" s="82" t="s">
        <v>12</v>
      </c>
      <c r="E94" s="82">
        <v>4</v>
      </c>
      <c r="F94" s="228">
        <f>TRUNC(DESONERADA!F447,2)</f>
        <v>238.4</v>
      </c>
      <c r="G94" s="218">
        <f>TRUNC(F94*1.2882,2)</f>
        <v>307.1</v>
      </c>
      <c r="H94" s="218">
        <f>TRUNC(F94*E94,2)</f>
        <v>953.6</v>
      </c>
      <c r="I94" s="219">
        <f>TRUNC(E94*G94,2)</f>
        <v>1228.4</v>
      </c>
    </row>
    <row r="95" spans="1:9" s="82" customFormat="1" ht="39.75" customHeight="1">
      <c r="A95" s="82" t="s">
        <v>643</v>
      </c>
      <c r="B95" s="82" t="s">
        <v>621</v>
      </c>
      <c r="C95" s="82" t="s">
        <v>622</v>
      </c>
      <c r="D95" s="82" t="s">
        <v>1</v>
      </c>
      <c r="E95" s="82">
        <v>13.34</v>
      </c>
      <c r="F95" s="228">
        <f>TRUNC(DESONERADA!F451,2)</f>
        <v>16.1</v>
      </c>
      <c r="G95" s="218">
        <f>TRUNC(F95*1.2882,2)</f>
        <v>20.74</v>
      </c>
      <c r="H95" s="218">
        <f>TRUNC(F95*E95,2)</f>
        <v>214.77</v>
      </c>
      <c r="I95" s="219">
        <f>TRUNC(E95*G95,2)</f>
        <v>276.67</v>
      </c>
    </row>
    <row r="96" spans="1:9" s="44" customFormat="1" ht="15" customHeight="1">
      <c r="A96" s="53" t="s">
        <v>44</v>
      </c>
      <c r="B96" s="55"/>
      <c r="C96" s="54"/>
      <c r="D96" s="55"/>
      <c r="E96" s="55"/>
      <c r="F96" s="55" t="s">
        <v>49</v>
      </c>
      <c r="G96" s="55"/>
      <c r="H96" s="56">
        <f>H94+H95</f>
        <v>1168.3700000000001</v>
      </c>
      <c r="I96" s="56">
        <f>I94+I95</f>
        <v>1505.0700000000002</v>
      </c>
    </row>
    <row r="97" spans="1:11" s="44" customFormat="1" ht="15.75">
      <c r="A97" s="53" t="s">
        <v>44</v>
      </c>
      <c r="B97" s="55"/>
      <c r="C97" s="54"/>
      <c r="D97" s="55"/>
      <c r="E97" s="55"/>
      <c r="F97" s="55" t="s">
        <v>50</v>
      </c>
      <c r="G97" s="55"/>
      <c r="H97" s="57">
        <f>H33+H26+H44+H48+H69+H92+H96</f>
        <v>55090.65</v>
      </c>
      <c r="I97" s="57">
        <f>I33+I26+I44+I48+I69+I92+I96</f>
        <v>70960.23000000001</v>
      </c>
      <c r="K97" s="83"/>
    </row>
  </sheetData>
  <sheetProtection/>
  <mergeCells count="13">
    <mergeCell ref="D3:G3"/>
    <mergeCell ref="D4:G4"/>
    <mergeCell ref="D5:G5"/>
    <mergeCell ref="D6:G6"/>
    <mergeCell ref="D7:G7"/>
    <mergeCell ref="D8:G8"/>
    <mergeCell ref="A9:G9"/>
    <mergeCell ref="A10:A11"/>
    <mergeCell ref="B10:B11"/>
    <mergeCell ref="C10:C11"/>
    <mergeCell ref="D10:D11"/>
    <mergeCell ref="E10:E11"/>
    <mergeCell ref="F10:I10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39" r:id="rId2"/>
  <headerFooter>
    <oddFooter>&amp;C&amp;A&amp;RPágina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showZeros="0" tabSelected="1" view="pageBreakPreview" zoomScale="40" zoomScaleNormal="70" zoomScaleSheetLayoutView="40" zoomScalePageLayoutView="0" workbookViewId="0" topLeftCell="A1">
      <selection activeCell="A1" sqref="A1:H1"/>
    </sheetView>
  </sheetViews>
  <sheetFormatPr defaultColWidth="8.8515625" defaultRowHeight="15"/>
  <cols>
    <col min="1" max="1" width="12.7109375" style="40" bestFit="1" customWidth="1"/>
    <col min="2" max="2" width="136.421875" style="40" bestFit="1" customWidth="1"/>
    <col min="3" max="6" width="33.00390625" style="40" customWidth="1"/>
    <col min="7" max="7" width="26.28125" style="40" customWidth="1"/>
    <col min="8" max="8" width="29.421875" style="40" bestFit="1" customWidth="1"/>
    <col min="9" max="9" width="33.140625" style="40" customWidth="1"/>
    <col min="10" max="10" width="21.28125" style="23" bestFit="1" customWidth="1"/>
    <col min="11" max="11" width="19.140625" style="32" bestFit="1" customWidth="1"/>
    <col min="12" max="16384" width="8.8515625" style="23" customWidth="1"/>
  </cols>
  <sheetData>
    <row r="1" spans="1:10" ht="39.75" customHeight="1">
      <c r="A1" s="180" t="s">
        <v>22</v>
      </c>
      <c r="B1" s="181"/>
      <c r="C1" s="181"/>
      <c r="D1" s="181"/>
      <c r="E1" s="181"/>
      <c r="F1" s="181"/>
      <c r="G1" s="181"/>
      <c r="H1" s="181"/>
      <c r="I1" s="21"/>
      <c r="J1" s="22"/>
    </row>
    <row r="2" spans="1:10" ht="39.75" customHeight="1">
      <c r="A2" s="182" t="s">
        <v>23</v>
      </c>
      <c r="B2" s="183"/>
      <c r="C2" s="183"/>
      <c r="D2" s="183"/>
      <c r="E2" s="183"/>
      <c r="F2" s="183"/>
      <c r="G2" s="183"/>
      <c r="H2" s="183"/>
      <c r="I2" s="24"/>
      <c r="J2" s="22"/>
    </row>
    <row r="3" spans="1:10" ht="39.75" customHeight="1">
      <c r="A3" s="182" t="s">
        <v>67</v>
      </c>
      <c r="B3" s="183"/>
      <c r="C3" s="183"/>
      <c r="D3" s="183"/>
      <c r="E3" s="183"/>
      <c r="F3" s="183"/>
      <c r="G3" s="183"/>
      <c r="H3" s="183"/>
      <c r="I3" s="24"/>
      <c r="J3" s="22"/>
    </row>
    <row r="4" spans="1:10" ht="39.75" customHeight="1">
      <c r="A4" s="184" t="s">
        <v>703</v>
      </c>
      <c r="B4" s="185"/>
      <c r="C4" s="185"/>
      <c r="D4" s="185"/>
      <c r="E4" s="185"/>
      <c r="F4" s="185"/>
      <c r="G4" s="185"/>
      <c r="H4" s="185"/>
      <c r="I4" s="24"/>
      <c r="J4" s="22"/>
    </row>
    <row r="5" spans="1:10" ht="39.75" customHeight="1">
      <c r="A5" s="186" t="s">
        <v>283</v>
      </c>
      <c r="B5" s="187"/>
      <c r="C5" s="187"/>
      <c r="D5" s="187"/>
      <c r="E5" s="187"/>
      <c r="F5" s="187"/>
      <c r="G5" s="187"/>
      <c r="H5" s="187"/>
      <c r="I5" s="24"/>
      <c r="J5" s="22"/>
    </row>
    <row r="6" spans="1:10" ht="39.75" customHeight="1">
      <c r="A6" s="199" t="s">
        <v>706</v>
      </c>
      <c r="B6" s="200"/>
      <c r="C6" s="200"/>
      <c r="D6" s="200"/>
      <c r="E6" s="200"/>
      <c r="F6" s="200"/>
      <c r="G6" s="200"/>
      <c r="H6" s="200"/>
      <c r="I6" s="24"/>
      <c r="J6" s="22"/>
    </row>
    <row r="7" spans="9:10" ht="39.75" customHeight="1">
      <c r="I7" s="24"/>
      <c r="J7" s="22"/>
    </row>
    <row r="8" spans="1:10" ht="39.75" customHeight="1">
      <c r="A8" s="201"/>
      <c r="B8" s="202"/>
      <c r="C8" s="202"/>
      <c r="D8" s="202"/>
      <c r="E8" s="202"/>
      <c r="F8" s="202"/>
      <c r="G8" s="202"/>
      <c r="H8" s="202"/>
      <c r="I8" s="25"/>
      <c r="J8" s="22"/>
    </row>
    <row r="9" spans="1:10" ht="39.75" customHeight="1">
      <c r="A9" s="196" t="s">
        <v>30</v>
      </c>
      <c r="B9" s="197"/>
      <c r="C9" s="197"/>
      <c r="D9" s="197"/>
      <c r="E9" s="197"/>
      <c r="F9" s="197"/>
      <c r="G9" s="197"/>
      <c r="H9" s="197"/>
      <c r="I9" s="198"/>
      <c r="J9" s="22"/>
    </row>
    <row r="10" spans="1:12" ht="39.75" customHeight="1">
      <c r="A10" s="208" t="s">
        <v>26</v>
      </c>
      <c r="B10" s="208" t="s">
        <v>31</v>
      </c>
      <c r="C10" s="205" t="s">
        <v>32</v>
      </c>
      <c r="D10" s="211"/>
      <c r="E10" s="211"/>
      <c r="F10" s="211"/>
      <c r="G10" s="211"/>
      <c r="H10" s="211"/>
      <c r="I10" s="26"/>
      <c r="J10" s="22"/>
      <c r="K10" s="41"/>
      <c r="L10" s="27"/>
    </row>
    <row r="11" spans="1:12" ht="39.75" customHeight="1">
      <c r="A11" s="209"/>
      <c r="B11" s="209"/>
      <c r="C11" s="205" t="s">
        <v>33</v>
      </c>
      <c r="D11" s="206"/>
      <c r="E11" s="205" t="s">
        <v>34</v>
      </c>
      <c r="F11" s="206"/>
      <c r="G11" s="205" t="s">
        <v>713</v>
      </c>
      <c r="H11" s="206"/>
      <c r="I11" s="26" t="s">
        <v>35</v>
      </c>
      <c r="J11" s="22"/>
      <c r="K11" s="41"/>
      <c r="L11" s="27"/>
    </row>
    <row r="12" spans="1:10" ht="39.75" customHeight="1">
      <c r="A12" s="210"/>
      <c r="B12" s="210"/>
      <c r="C12" s="28" t="s">
        <v>36</v>
      </c>
      <c r="D12" s="29" t="s">
        <v>37</v>
      </c>
      <c r="E12" s="28" t="s">
        <v>36</v>
      </c>
      <c r="F12" s="29" t="s">
        <v>37</v>
      </c>
      <c r="G12" s="28" t="s">
        <v>36</v>
      </c>
      <c r="H12" s="29" t="s">
        <v>37</v>
      </c>
      <c r="I12" s="26" t="s">
        <v>38</v>
      </c>
      <c r="J12" s="22"/>
    </row>
    <row r="13" spans="1:10" ht="39.75" customHeight="1">
      <c r="A13" s="207"/>
      <c r="B13" s="207"/>
      <c r="C13" s="30"/>
      <c r="D13" s="30"/>
      <c r="E13" s="30"/>
      <c r="F13" s="30"/>
      <c r="G13" s="30"/>
      <c r="H13" s="30"/>
      <c r="I13" s="31"/>
      <c r="J13" s="32"/>
    </row>
    <row r="14" spans="1:11" ht="39.75" customHeight="1">
      <c r="A14" s="33" t="s">
        <v>14</v>
      </c>
      <c r="B14" s="34" t="s">
        <v>15</v>
      </c>
      <c r="C14" s="35">
        <v>1</v>
      </c>
      <c r="D14" s="69">
        <f aca="true" t="shared" si="0" ref="D14:D20">C14*I14</f>
        <v>7685.98</v>
      </c>
      <c r="E14" s="35"/>
      <c r="F14" s="69">
        <f>E14*I14</f>
        <v>0</v>
      </c>
      <c r="G14" s="35"/>
      <c r="H14" s="69">
        <f aca="true" t="shared" si="1" ref="H14:H20">G14*I14</f>
        <v>0</v>
      </c>
      <c r="I14" s="75">
        <v>7685.98</v>
      </c>
      <c r="J14" s="36"/>
      <c r="K14" s="42"/>
    </row>
    <row r="15" spans="1:11" ht="26.25" customHeight="1">
      <c r="A15" s="33" t="s">
        <v>16</v>
      </c>
      <c r="B15" s="37" t="s">
        <v>120</v>
      </c>
      <c r="C15" s="35">
        <v>0.1</v>
      </c>
      <c r="D15" s="69">
        <f t="shared" si="0"/>
        <v>1824.457</v>
      </c>
      <c r="E15" s="35">
        <v>0.9</v>
      </c>
      <c r="F15" s="69">
        <f aca="true" t="shared" si="2" ref="F15:F20">E15*I15</f>
        <v>16420.113</v>
      </c>
      <c r="G15" s="35">
        <v>0</v>
      </c>
      <c r="H15" s="69">
        <f t="shared" si="1"/>
        <v>0</v>
      </c>
      <c r="I15" s="75">
        <v>18244.57</v>
      </c>
      <c r="J15" s="36"/>
      <c r="K15" s="42"/>
    </row>
    <row r="16" spans="1:11" ht="39.75" customHeight="1">
      <c r="A16" s="33" t="s">
        <v>17</v>
      </c>
      <c r="B16" s="34" t="s">
        <v>284</v>
      </c>
      <c r="C16" s="35">
        <v>0</v>
      </c>
      <c r="D16" s="69">
        <f t="shared" si="0"/>
        <v>0</v>
      </c>
      <c r="E16" s="35">
        <v>0</v>
      </c>
      <c r="F16" s="69">
        <f>E16*I16</f>
        <v>0</v>
      </c>
      <c r="G16" s="35">
        <v>1</v>
      </c>
      <c r="H16" s="69">
        <f t="shared" si="1"/>
        <v>15911.03</v>
      </c>
      <c r="I16" s="75">
        <v>15911.03</v>
      </c>
      <c r="J16" s="36"/>
      <c r="K16" s="42"/>
    </row>
    <row r="17" spans="1:11" ht="39.75" customHeight="1">
      <c r="A17" s="33" t="s">
        <v>18</v>
      </c>
      <c r="B17" s="34" t="s">
        <v>21</v>
      </c>
      <c r="C17" s="35">
        <v>0</v>
      </c>
      <c r="D17" s="69">
        <f t="shared" si="0"/>
        <v>0</v>
      </c>
      <c r="E17" s="35">
        <v>0</v>
      </c>
      <c r="F17" s="69">
        <f t="shared" si="2"/>
        <v>0</v>
      </c>
      <c r="G17" s="35">
        <v>1</v>
      </c>
      <c r="H17" s="69">
        <f t="shared" si="1"/>
        <v>3386.51</v>
      </c>
      <c r="I17" s="75">
        <v>3386.51</v>
      </c>
      <c r="J17" s="36"/>
      <c r="K17" s="42"/>
    </row>
    <row r="18" spans="1:11" ht="39.75" customHeight="1">
      <c r="A18" s="33" t="s">
        <v>19</v>
      </c>
      <c r="B18" s="34" t="s">
        <v>285</v>
      </c>
      <c r="C18" s="35">
        <v>0.3</v>
      </c>
      <c r="D18" s="69">
        <f t="shared" si="0"/>
        <v>2648.0489999999995</v>
      </c>
      <c r="E18" s="35">
        <v>0.7</v>
      </c>
      <c r="F18" s="69">
        <f t="shared" si="2"/>
        <v>6178.780999999998</v>
      </c>
      <c r="G18" s="35">
        <v>0</v>
      </c>
      <c r="H18" s="69">
        <f t="shared" si="1"/>
        <v>0</v>
      </c>
      <c r="I18" s="75">
        <v>8826.829999999998</v>
      </c>
      <c r="J18" s="36"/>
      <c r="K18" s="42"/>
    </row>
    <row r="19" spans="1:11" ht="39.75" customHeight="1">
      <c r="A19" s="33" t="s">
        <v>20</v>
      </c>
      <c r="B19" s="34" t="s">
        <v>222</v>
      </c>
      <c r="C19" s="35">
        <v>0.3</v>
      </c>
      <c r="D19" s="69">
        <f t="shared" si="0"/>
        <v>4620.072</v>
      </c>
      <c r="E19" s="35">
        <v>0.3</v>
      </c>
      <c r="F19" s="69">
        <f t="shared" si="2"/>
        <v>4620.072</v>
      </c>
      <c r="G19" s="35">
        <v>0.4</v>
      </c>
      <c r="H19" s="69">
        <f t="shared" si="1"/>
        <v>6160.096000000001</v>
      </c>
      <c r="I19" s="75">
        <v>15400.240000000002</v>
      </c>
      <c r="J19" s="36"/>
      <c r="K19" s="42"/>
    </row>
    <row r="20" spans="1:11" ht="39.75" customHeight="1">
      <c r="A20" s="33" t="s">
        <v>106</v>
      </c>
      <c r="B20" s="34" t="s">
        <v>286</v>
      </c>
      <c r="C20" s="35">
        <v>0.33</v>
      </c>
      <c r="D20" s="69">
        <f t="shared" si="0"/>
        <v>496.6731000000001</v>
      </c>
      <c r="E20" s="35">
        <v>0.33</v>
      </c>
      <c r="F20" s="69">
        <f t="shared" si="2"/>
        <v>496.6731000000001</v>
      </c>
      <c r="G20" s="35">
        <v>0.34</v>
      </c>
      <c r="H20" s="69">
        <f t="shared" si="1"/>
        <v>511.7238000000001</v>
      </c>
      <c r="I20" s="75">
        <v>1505.0700000000002</v>
      </c>
      <c r="J20" s="36"/>
      <c r="K20" s="42"/>
    </row>
    <row r="21" spans="1:10" ht="39.75" customHeight="1">
      <c r="A21" s="38"/>
      <c r="B21" s="39"/>
      <c r="C21" s="70"/>
      <c r="D21" s="70"/>
      <c r="E21" s="70"/>
      <c r="F21" s="70"/>
      <c r="G21" s="70"/>
      <c r="H21" s="70"/>
      <c r="I21" s="75">
        <f>SUM(I14:I20)</f>
        <v>70960.23000000001</v>
      </c>
      <c r="J21" s="36"/>
    </row>
    <row r="22" spans="1:10" ht="39.75" customHeight="1">
      <c r="A22" s="190" t="s">
        <v>39</v>
      </c>
      <c r="B22" s="191"/>
      <c r="C22" s="194">
        <f>SUM(D14:D20)</f>
        <v>17275.231099999997</v>
      </c>
      <c r="D22" s="195"/>
      <c r="E22" s="194">
        <f>SUM(F14:F20)</f>
        <v>27715.6391</v>
      </c>
      <c r="F22" s="195"/>
      <c r="G22" s="194">
        <f>SUM(H14:H20)</f>
        <v>25969.359800000002</v>
      </c>
      <c r="H22" s="195"/>
      <c r="I22" s="71"/>
      <c r="J22" s="32"/>
    </row>
    <row r="23" spans="1:10" ht="39.75" customHeight="1">
      <c r="A23" s="190" t="s">
        <v>40</v>
      </c>
      <c r="B23" s="191"/>
      <c r="C23" s="188">
        <f>C22</f>
        <v>17275.231099999997</v>
      </c>
      <c r="D23" s="189"/>
      <c r="E23" s="188">
        <f>E22+C23</f>
        <v>44990.8702</v>
      </c>
      <c r="F23" s="189"/>
      <c r="G23" s="188">
        <f>G22+E23</f>
        <v>70960.23</v>
      </c>
      <c r="H23" s="189"/>
      <c r="I23" s="72"/>
      <c r="J23" s="32"/>
    </row>
    <row r="24" spans="1:10" ht="39.75" customHeight="1">
      <c r="A24" s="203" t="s">
        <v>41</v>
      </c>
      <c r="B24" s="204"/>
      <c r="C24" s="192">
        <f>C22/I21</f>
        <v>0.24344948008201206</v>
      </c>
      <c r="D24" s="193"/>
      <c r="E24" s="192">
        <f>E22/I21</f>
        <v>0.390579893836308</v>
      </c>
      <c r="F24" s="193"/>
      <c r="G24" s="192">
        <f>G22/I21</f>
        <v>0.3659706260816798</v>
      </c>
      <c r="H24" s="193"/>
      <c r="I24" s="73"/>
      <c r="J24" s="32"/>
    </row>
    <row r="25" spans="1:10" ht="39.75" customHeight="1">
      <c r="A25" s="203" t="s">
        <v>42</v>
      </c>
      <c r="B25" s="204"/>
      <c r="C25" s="192">
        <f>C24</f>
        <v>0.24344948008201206</v>
      </c>
      <c r="D25" s="193"/>
      <c r="E25" s="192">
        <f>E24+C25</f>
        <v>0.63402937391832</v>
      </c>
      <c r="F25" s="193"/>
      <c r="G25" s="192">
        <f>G24+E25</f>
        <v>0.9999999999999998</v>
      </c>
      <c r="H25" s="193"/>
      <c r="I25" s="74"/>
      <c r="J25" s="32"/>
    </row>
  </sheetData>
  <sheetProtection/>
  <mergeCells count="31">
    <mergeCell ref="G11:H11"/>
    <mergeCell ref="C24:D24"/>
    <mergeCell ref="A23:B23"/>
    <mergeCell ref="E11:F11"/>
    <mergeCell ref="A13:B13"/>
    <mergeCell ref="E24:F24"/>
    <mergeCell ref="E25:F25"/>
    <mergeCell ref="C22:D22"/>
    <mergeCell ref="A10:A12"/>
    <mergeCell ref="B10:B12"/>
    <mergeCell ref="C10:H10"/>
    <mergeCell ref="G24:H24"/>
    <mergeCell ref="G25:H25"/>
    <mergeCell ref="G22:H22"/>
    <mergeCell ref="A9:I9"/>
    <mergeCell ref="E22:F22"/>
    <mergeCell ref="A6:H6"/>
    <mergeCell ref="A8:H8"/>
    <mergeCell ref="A25:B25"/>
    <mergeCell ref="C25:D25"/>
    <mergeCell ref="A24:B24"/>
    <mergeCell ref="A1:H1"/>
    <mergeCell ref="A2:H2"/>
    <mergeCell ref="A3:H3"/>
    <mergeCell ref="A4:H4"/>
    <mergeCell ref="A5:H5"/>
    <mergeCell ref="C23:D23"/>
    <mergeCell ref="E23:F23"/>
    <mergeCell ref="A22:B22"/>
    <mergeCell ref="G23:H23"/>
    <mergeCell ref="C11:D11"/>
  </mergeCells>
  <printOptions horizontalCentered="1" verticalCentered="1"/>
  <pageMargins left="0.3937007874015748" right="0.3937007874015748" top="0.984251968503937" bottom="0.3937007874015748" header="0" footer="0"/>
  <pageSetup horizontalDpi="300" verticalDpi="300" orientation="landscape" paperSize="9" scale="33" r:id="rId2"/>
  <headerFooter alignWithMargins="0">
    <oddFooter>&amp;C&amp;14&amp;A&amp;R&amp;14Página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1"/>
  <sheetViews>
    <sheetView view="pageBreakPreview" zoomScale="70" zoomScaleSheetLayoutView="70" zoomScalePageLayoutView="0" workbookViewId="0" topLeftCell="A1">
      <selection activeCell="G447" sqref="G447"/>
    </sheetView>
  </sheetViews>
  <sheetFormatPr defaultColWidth="9.140625" defaultRowHeight="15"/>
  <cols>
    <col min="2" max="2" width="23.421875" style="0" customWidth="1"/>
    <col min="3" max="3" width="104.00390625" style="1" customWidth="1"/>
    <col min="4" max="4" width="11.140625" style="0" customWidth="1"/>
    <col min="5" max="5" width="14.0039062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9" width="17.140625" style="0" bestFit="1" customWidth="1"/>
    <col min="10" max="10" width="13.421875" style="0" bestFit="1" customWidth="1"/>
    <col min="11" max="11" width="14.421875" style="0" bestFit="1" customWidth="1"/>
  </cols>
  <sheetData>
    <row r="1" spans="1:7" ht="15.75">
      <c r="A1" s="2"/>
      <c r="B1" s="3"/>
      <c r="C1" s="4" t="s">
        <v>22</v>
      </c>
      <c r="D1" s="5"/>
      <c r="E1" s="6"/>
      <c r="F1" s="7"/>
      <c r="G1" s="8"/>
    </row>
    <row r="2" spans="1:7" ht="15.75">
      <c r="A2" s="9"/>
      <c r="B2" s="10"/>
      <c r="C2" s="11" t="s">
        <v>23</v>
      </c>
      <c r="D2" s="12"/>
      <c r="E2" s="13"/>
      <c r="F2" s="14"/>
      <c r="G2" s="15"/>
    </row>
    <row r="3" spans="1:7" ht="15.75">
      <c r="A3" s="9"/>
      <c r="B3" s="10"/>
      <c r="C3" s="11" t="s">
        <v>24</v>
      </c>
      <c r="D3" s="165" t="s">
        <v>704</v>
      </c>
      <c r="E3" s="166"/>
      <c r="F3" s="166"/>
      <c r="G3" s="167"/>
    </row>
    <row r="4" spans="1:7" ht="15.75" customHeight="1">
      <c r="A4" s="9"/>
      <c r="B4" s="10"/>
      <c r="C4" s="16" t="s">
        <v>703</v>
      </c>
      <c r="D4" s="168" t="s">
        <v>700</v>
      </c>
      <c r="E4" s="169"/>
      <c r="F4" s="169"/>
      <c r="G4" s="170"/>
    </row>
    <row r="5" spans="1:7" ht="15.75" customHeight="1">
      <c r="A5" s="9"/>
      <c r="B5" s="10"/>
      <c r="C5" s="45" t="s">
        <v>283</v>
      </c>
      <c r="D5" s="171" t="s">
        <v>86</v>
      </c>
      <c r="E5" s="172"/>
      <c r="F5" s="172"/>
      <c r="G5" s="173"/>
    </row>
    <row r="6" spans="1:7" ht="15.75">
      <c r="A6" s="9"/>
      <c r="B6" s="10"/>
      <c r="C6" s="17" t="s">
        <v>705</v>
      </c>
      <c r="D6" s="174" t="s">
        <v>87</v>
      </c>
      <c r="E6" s="175"/>
      <c r="F6" s="175"/>
      <c r="G6" s="176"/>
    </row>
    <row r="7" spans="1:7" ht="15.75">
      <c r="A7" s="9"/>
      <c r="B7" s="10"/>
      <c r="C7" s="46"/>
      <c r="D7" s="174" t="s">
        <v>701</v>
      </c>
      <c r="E7" s="175"/>
      <c r="F7" s="175"/>
      <c r="G7" s="176"/>
    </row>
    <row r="8" spans="1:7" ht="15.75">
      <c r="A8" s="18"/>
      <c r="B8" s="19"/>
      <c r="C8" s="20"/>
      <c r="D8" s="177" t="s">
        <v>51</v>
      </c>
      <c r="E8" s="178"/>
      <c r="F8" s="178"/>
      <c r="G8" s="179"/>
    </row>
    <row r="9" spans="1:7" ht="15">
      <c r="A9" s="159" t="s">
        <v>25</v>
      </c>
      <c r="B9" s="160"/>
      <c r="C9" s="160"/>
      <c r="D9" s="160"/>
      <c r="E9" s="160"/>
      <c r="F9" s="160"/>
      <c r="G9" s="160"/>
    </row>
    <row r="10" spans="1:9" s="48" customFormat="1" ht="12.75" customHeight="1">
      <c r="A10" s="161" t="s">
        <v>26</v>
      </c>
      <c r="B10" s="162" t="s">
        <v>52</v>
      </c>
      <c r="C10" s="162" t="s">
        <v>27</v>
      </c>
      <c r="D10" s="161" t="s">
        <v>12</v>
      </c>
      <c r="E10" s="163" t="s">
        <v>28</v>
      </c>
      <c r="F10" s="164" t="s">
        <v>29</v>
      </c>
      <c r="G10" s="164"/>
      <c r="H10" s="164"/>
      <c r="I10" s="164"/>
    </row>
    <row r="11" spans="1:9" s="48" customFormat="1" ht="12.75" customHeight="1">
      <c r="A11" s="161"/>
      <c r="B11" s="162"/>
      <c r="C11" s="162"/>
      <c r="D11" s="161"/>
      <c r="E11" s="163"/>
      <c r="F11" s="49" t="s">
        <v>73</v>
      </c>
      <c r="G11" s="49" t="s">
        <v>74</v>
      </c>
      <c r="H11" s="49" t="s">
        <v>75</v>
      </c>
      <c r="I11" s="47" t="s">
        <v>76</v>
      </c>
    </row>
    <row r="12" spans="1:9" s="43" customFormat="1" ht="15.75">
      <c r="A12" s="43" t="s">
        <v>14</v>
      </c>
      <c r="B12" s="51"/>
      <c r="C12" s="52" t="s">
        <v>15</v>
      </c>
      <c r="D12" s="52"/>
      <c r="E12" s="52"/>
      <c r="F12" s="52"/>
      <c r="G12" s="52"/>
      <c r="H12" s="52"/>
      <c r="I12" s="50"/>
    </row>
    <row r="13" spans="1:10" s="140" customFormat="1" ht="42.75">
      <c r="A13" s="131" t="s">
        <v>8</v>
      </c>
      <c r="B13" s="132" t="s">
        <v>88</v>
      </c>
      <c r="C13" s="133" t="s">
        <v>70</v>
      </c>
      <c r="D13" s="134" t="s">
        <v>0</v>
      </c>
      <c r="E13" s="135">
        <v>6</v>
      </c>
      <c r="F13" s="136">
        <f>TRUNC(G19,2)</f>
        <v>192.7</v>
      </c>
      <c r="G13" s="137">
        <f>TRUNC(F13*1.2247,2)</f>
        <v>235.99</v>
      </c>
      <c r="H13" s="137">
        <f>TRUNC(F13*E13,2)</f>
        <v>1156.2</v>
      </c>
      <c r="I13" s="138">
        <f>TRUNC(E13*G13,2)</f>
        <v>1415.94</v>
      </c>
      <c r="J13" s="139"/>
    </row>
    <row r="14" spans="1:10" s="65" customFormat="1" ht="28.5">
      <c r="A14" s="59"/>
      <c r="B14" s="60" t="s">
        <v>71</v>
      </c>
      <c r="C14" s="80" t="s">
        <v>72</v>
      </c>
      <c r="D14" s="61" t="s">
        <v>0</v>
      </c>
      <c r="E14" s="81">
        <v>1</v>
      </c>
      <c r="F14" s="62">
        <f>TRUNC(77.5269,2)</f>
        <v>77.52</v>
      </c>
      <c r="G14" s="63">
        <f>TRUNC(E14*F14,2)</f>
        <v>77.52</v>
      </c>
      <c r="H14" s="63"/>
      <c r="I14" s="64"/>
      <c r="J14" s="66"/>
    </row>
    <row r="15" spans="1:10" s="65" customFormat="1" ht="28.5">
      <c r="A15" s="59"/>
      <c r="B15" s="60" t="s">
        <v>4</v>
      </c>
      <c r="C15" s="80" t="s">
        <v>55</v>
      </c>
      <c r="D15" s="61" t="s">
        <v>5</v>
      </c>
      <c r="E15" s="81">
        <v>0.3</v>
      </c>
      <c r="F15" s="62">
        <f>TRUNC(10.3,2)</f>
        <v>10.3</v>
      </c>
      <c r="G15" s="63">
        <f>TRUNC(E15*F15,2)</f>
        <v>3.09</v>
      </c>
      <c r="H15" s="63"/>
      <c r="I15" s="64"/>
      <c r="J15" s="66"/>
    </row>
    <row r="16" spans="1:10" s="65" customFormat="1" ht="14.25">
      <c r="A16" s="59"/>
      <c r="B16" s="60" t="s">
        <v>2</v>
      </c>
      <c r="C16" s="80" t="s">
        <v>126</v>
      </c>
      <c r="D16" s="61" t="s">
        <v>3</v>
      </c>
      <c r="E16" s="81">
        <v>9.2</v>
      </c>
      <c r="F16" s="62">
        <f>TRUNC(3.45,2)</f>
        <v>3.45</v>
      </c>
      <c r="G16" s="63">
        <f>TRUNC(E16*F16,2)</f>
        <v>31.74</v>
      </c>
      <c r="H16" s="63"/>
      <c r="I16" s="64"/>
      <c r="J16" s="66"/>
    </row>
    <row r="17" spans="1:10" s="65" customFormat="1" ht="14.25">
      <c r="A17" s="59"/>
      <c r="B17" s="60" t="s">
        <v>89</v>
      </c>
      <c r="C17" s="80" t="s">
        <v>90</v>
      </c>
      <c r="D17" s="61" t="s">
        <v>6</v>
      </c>
      <c r="E17" s="81">
        <v>2.06</v>
      </c>
      <c r="F17" s="62">
        <f>TRUNC(15.69,2)</f>
        <v>15.69</v>
      </c>
      <c r="G17" s="63">
        <f>TRUNC(E17*F17,2)</f>
        <v>32.32</v>
      </c>
      <c r="H17" s="63"/>
      <c r="I17" s="64"/>
      <c r="J17" s="66"/>
    </row>
    <row r="18" spans="1:10" s="65" customFormat="1" ht="14.25">
      <c r="A18" s="59"/>
      <c r="B18" s="60" t="s">
        <v>91</v>
      </c>
      <c r="C18" s="80" t="s">
        <v>92</v>
      </c>
      <c r="D18" s="61" t="s">
        <v>6</v>
      </c>
      <c r="E18" s="81">
        <v>2.06</v>
      </c>
      <c r="F18" s="62">
        <f>TRUNC(23.32,2)</f>
        <v>23.32</v>
      </c>
      <c r="G18" s="63">
        <f>TRUNC(E18*F18,2)</f>
        <v>48.03</v>
      </c>
      <c r="H18" s="63"/>
      <c r="I18" s="64"/>
      <c r="J18" s="66"/>
    </row>
    <row r="19" spans="1:10" s="65" customFormat="1" ht="14.25">
      <c r="A19" s="59"/>
      <c r="B19" s="60"/>
      <c r="C19" s="80"/>
      <c r="D19" s="61"/>
      <c r="E19" s="81" t="s">
        <v>7</v>
      </c>
      <c r="F19" s="62"/>
      <c r="G19" s="63">
        <f>TRUNC(SUM(G14:G18),2)</f>
        <v>192.7</v>
      </c>
      <c r="H19" s="63"/>
      <c r="I19" s="64"/>
      <c r="J19" s="66"/>
    </row>
    <row r="20" spans="1:10" s="140" customFormat="1" ht="42.75">
      <c r="A20" s="131" t="s">
        <v>9</v>
      </c>
      <c r="B20" s="132" t="s">
        <v>547</v>
      </c>
      <c r="C20" s="133" t="s">
        <v>546</v>
      </c>
      <c r="D20" s="134" t="s">
        <v>0</v>
      </c>
      <c r="E20" s="135">
        <v>73.03</v>
      </c>
      <c r="F20" s="136">
        <f>TRUNC(G22,2)</f>
        <v>19.39</v>
      </c>
      <c r="G20" s="137">
        <f>TRUNC(F20*1.2247,2)</f>
        <v>23.74</v>
      </c>
      <c r="H20" s="137">
        <f>TRUNC(F20*E20,2)</f>
        <v>1416.05</v>
      </c>
      <c r="I20" s="138">
        <f>TRUNC(E20*G20,2)</f>
        <v>1733.73</v>
      </c>
      <c r="J20" s="139"/>
    </row>
    <row r="21" spans="1:10" s="65" customFormat="1" ht="14.25">
      <c r="A21" s="59"/>
      <c r="B21" s="60" t="s">
        <v>89</v>
      </c>
      <c r="C21" s="80" t="s">
        <v>90</v>
      </c>
      <c r="D21" s="61" t="s">
        <v>6</v>
      </c>
      <c r="E21" s="81">
        <v>1.236</v>
      </c>
      <c r="F21" s="62">
        <f>TRUNC(15.69,2)</f>
        <v>15.69</v>
      </c>
      <c r="G21" s="63">
        <f>TRUNC(E21*F21,2)</f>
        <v>19.39</v>
      </c>
      <c r="H21" s="63"/>
      <c r="I21" s="64"/>
      <c r="J21" s="66"/>
    </row>
    <row r="22" spans="1:10" s="65" customFormat="1" ht="14.25">
      <c r="A22" s="59"/>
      <c r="B22" s="60"/>
      <c r="C22" s="80"/>
      <c r="D22" s="61"/>
      <c r="E22" s="81" t="s">
        <v>7</v>
      </c>
      <c r="F22" s="62"/>
      <c r="G22" s="63">
        <f>TRUNC(SUM(G21:G21),2)</f>
        <v>19.39</v>
      </c>
      <c r="H22" s="63"/>
      <c r="I22" s="64"/>
      <c r="J22" s="66"/>
    </row>
    <row r="23" spans="1:10" s="140" customFormat="1" ht="42.75">
      <c r="A23" s="131" t="s">
        <v>10</v>
      </c>
      <c r="B23" s="132" t="s">
        <v>548</v>
      </c>
      <c r="C23" s="133" t="s">
        <v>544</v>
      </c>
      <c r="D23" s="134" t="s">
        <v>0</v>
      </c>
      <c r="E23" s="135">
        <v>73.03</v>
      </c>
      <c r="F23" s="136">
        <f>TRUNC(G25,2)</f>
        <v>8.08</v>
      </c>
      <c r="G23" s="137">
        <f>TRUNC(F23*1.2247,2)</f>
        <v>9.89</v>
      </c>
      <c r="H23" s="137">
        <f>TRUNC(F23*E23,2)</f>
        <v>590.08</v>
      </c>
      <c r="I23" s="138">
        <f>TRUNC(E23*G23,2)</f>
        <v>722.26</v>
      </c>
      <c r="J23" s="139"/>
    </row>
    <row r="24" spans="1:10" s="65" customFormat="1" ht="14.25">
      <c r="A24" s="59"/>
      <c r="B24" s="60" t="s">
        <v>89</v>
      </c>
      <c r="C24" s="80" t="s">
        <v>90</v>
      </c>
      <c r="D24" s="61" t="s">
        <v>6</v>
      </c>
      <c r="E24" s="81">
        <v>0.515</v>
      </c>
      <c r="F24" s="62">
        <f>TRUNC(15.69,2)</f>
        <v>15.69</v>
      </c>
      <c r="G24" s="63">
        <f>TRUNC(E24*F24,2)</f>
        <v>8.08</v>
      </c>
      <c r="H24" s="63"/>
      <c r="I24" s="64"/>
      <c r="J24" s="66"/>
    </row>
    <row r="25" spans="1:10" s="65" customFormat="1" ht="14.25">
      <c r="A25" s="59"/>
      <c r="B25" s="60"/>
      <c r="C25" s="80"/>
      <c r="D25" s="61"/>
      <c r="E25" s="81" t="s">
        <v>7</v>
      </c>
      <c r="F25" s="62"/>
      <c r="G25" s="63">
        <f>TRUNC(SUM(G24:G24),2)</f>
        <v>8.08</v>
      </c>
      <c r="H25" s="63"/>
      <c r="I25" s="64"/>
      <c r="J25" s="66"/>
    </row>
    <row r="26" spans="1:10" s="140" customFormat="1" ht="28.5">
      <c r="A26" s="131" t="s">
        <v>11</v>
      </c>
      <c r="B26" s="132" t="s">
        <v>142</v>
      </c>
      <c r="C26" s="133" t="s">
        <v>143</v>
      </c>
      <c r="D26" s="134" t="s">
        <v>1</v>
      </c>
      <c r="E26" s="135">
        <v>4.86</v>
      </c>
      <c r="F26" s="136">
        <f>TRUNC(G29,2)</f>
        <v>82.76</v>
      </c>
      <c r="G26" s="137">
        <f>TRUNC(F26*1.2247,2)</f>
        <v>101.35</v>
      </c>
      <c r="H26" s="137">
        <f>TRUNC(F26*E26,2)</f>
        <v>402.21</v>
      </c>
      <c r="I26" s="138">
        <f>TRUNC(E26*G26,2)</f>
        <v>492.56</v>
      </c>
      <c r="J26" s="139"/>
    </row>
    <row r="27" spans="1:10" s="65" customFormat="1" ht="14.25">
      <c r="A27" s="59"/>
      <c r="B27" s="60" t="s">
        <v>89</v>
      </c>
      <c r="C27" s="80" t="s">
        <v>90</v>
      </c>
      <c r="D27" s="61" t="s">
        <v>6</v>
      </c>
      <c r="E27" s="81">
        <v>4.635</v>
      </c>
      <c r="F27" s="62">
        <f>TRUNC(15.69,2)</f>
        <v>15.69</v>
      </c>
      <c r="G27" s="63">
        <f>TRUNC(E27*F27,2)</f>
        <v>72.72</v>
      </c>
      <c r="H27" s="63"/>
      <c r="I27" s="64"/>
      <c r="J27" s="66"/>
    </row>
    <row r="28" spans="1:10" s="65" customFormat="1" ht="14.25">
      <c r="A28" s="59"/>
      <c r="B28" s="60" t="s">
        <v>93</v>
      </c>
      <c r="C28" s="80" t="s">
        <v>94</v>
      </c>
      <c r="D28" s="61" t="s">
        <v>6</v>
      </c>
      <c r="E28" s="81">
        <v>0.4635</v>
      </c>
      <c r="F28" s="62">
        <f>TRUNC(21.67,2)</f>
        <v>21.67</v>
      </c>
      <c r="G28" s="63">
        <f>TRUNC(E28*F28,2)</f>
        <v>10.04</v>
      </c>
      <c r="H28" s="63"/>
      <c r="I28" s="64"/>
      <c r="J28" s="66"/>
    </row>
    <row r="29" spans="1:10" s="65" customFormat="1" ht="14.25">
      <c r="A29" s="59"/>
      <c r="B29" s="60"/>
      <c r="C29" s="80"/>
      <c r="D29" s="61"/>
      <c r="E29" s="81" t="s">
        <v>7</v>
      </c>
      <c r="F29" s="62"/>
      <c r="G29" s="63">
        <f>TRUNC(SUM(G27:G28),2)</f>
        <v>82.76</v>
      </c>
      <c r="H29" s="63"/>
      <c r="I29" s="64"/>
      <c r="J29" s="66"/>
    </row>
    <row r="30" spans="1:10" s="140" customFormat="1" ht="14.25">
      <c r="A30" s="131" t="s">
        <v>554</v>
      </c>
      <c r="B30" s="132" t="s">
        <v>644</v>
      </c>
      <c r="C30" s="133" t="s">
        <v>144</v>
      </c>
      <c r="D30" s="134" t="s">
        <v>0</v>
      </c>
      <c r="E30" s="135">
        <v>12.93</v>
      </c>
      <c r="F30" s="136">
        <f>TRUNC(G33,2)</f>
        <v>9.45</v>
      </c>
      <c r="G30" s="137">
        <f>TRUNC(F30*1.2247,2)</f>
        <v>11.57</v>
      </c>
      <c r="H30" s="137">
        <f>TRUNC(F30*E30,2)</f>
        <v>122.18</v>
      </c>
      <c r="I30" s="138">
        <f>TRUNC(E30*G30,2)</f>
        <v>149.6</v>
      </c>
      <c r="J30" s="139"/>
    </row>
    <row r="31" spans="1:10" s="65" customFormat="1" ht="14.25">
      <c r="A31" s="59"/>
      <c r="B31" s="60" t="s">
        <v>496</v>
      </c>
      <c r="C31" s="80" t="s">
        <v>78</v>
      </c>
      <c r="D31" s="61" t="s">
        <v>6</v>
      </c>
      <c r="E31" s="81">
        <v>0.2582</v>
      </c>
      <c r="F31" s="62">
        <f>TRUNC(22.26,2)</f>
        <v>22.26</v>
      </c>
      <c r="G31" s="63">
        <f>TRUNC(E31*F31,2)</f>
        <v>5.74</v>
      </c>
      <c r="H31" s="63"/>
      <c r="I31" s="64"/>
      <c r="J31" s="66"/>
    </row>
    <row r="32" spans="1:10" s="65" customFormat="1" ht="14.25">
      <c r="A32" s="59"/>
      <c r="B32" s="60" t="s">
        <v>497</v>
      </c>
      <c r="C32" s="80" t="s">
        <v>105</v>
      </c>
      <c r="D32" s="61" t="s">
        <v>6</v>
      </c>
      <c r="E32" s="81">
        <v>0.1315</v>
      </c>
      <c r="F32" s="62">
        <f>TRUNC(28.24,2)</f>
        <v>28.24</v>
      </c>
      <c r="G32" s="63">
        <f>TRUNC(E32*F32,2)</f>
        <v>3.71</v>
      </c>
      <c r="H32" s="63"/>
      <c r="I32" s="64"/>
      <c r="J32" s="66"/>
    </row>
    <row r="33" spans="1:10" s="65" customFormat="1" ht="14.25">
      <c r="A33" s="59"/>
      <c r="B33" s="60"/>
      <c r="C33" s="80"/>
      <c r="D33" s="61"/>
      <c r="E33" s="81" t="s">
        <v>7</v>
      </c>
      <c r="F33" s="62"/>
      <c r="G33" s="63">
        <f>TRUNC(SUM(G31:G32),2)</f>
        <v>9.45</v>
      </c>
      <c r="H33" s="63"/>
      <c r="I33" s="64"/>
      <c r="J33" s="66"/>
    </row>
    <row r="34" spans="1:10" s="140" customFormat="1" ht="42.75">
      <c r="A34" s="131" t="s">
        <v>121</v>
      </c>
      <c r="B34" s="132" t="s">
        <v>145</v>
      </c>
      <c r="C34" s="133" t="s">
        <v>146</v>
      </c>
      <c r="D34" s="134" t="s">
        <v>0</v>
      </c>
      <c r="E34" s="135">
        <v>36.45</v>
      </c>
      <c r="F34" s="136">
        <f>TRUNC(G37,2)</f>
        <v>15.77</v>
      </c>
      <c r="G34" s="137">
        <f>TRUNC(F34*1.2247,2)</f>
        <v>19.31</v>
      </c>
      <c r="H34" s="137">
        <f>TRUNC(F34*E34,2)</f>
        <v>574.81</v>
      </c>
      <c r="I34" s="138">
        <f>TRUNC(E34*G34,2)</f>
        <v>703.84</v>
      </c>
      <c r="J34" s="139"/>
    </row>
    <row r="35" spans="1:10" s="65" customFormat="1" ht="14.25">
      <c r="A35" s="59"/>
      <c r="B35" s="60" t="s">
        <v>89</v>
      </c>
      <c r="C35" s="80" t="s">
        <v>90</v>
      </c>
      <c r="D35" s="61" t="s">
        <v>6</v>
      </c>
      <c r="E35" s="81">
        <v>0.721</v>
      </c>
      <c r="F35" s="62">
        <f>TRUNC(15.69,2)</f>
        <v>15.69</v>
      </c>
      <c r="G35" s="63">
        <f>TRUNC(E35*F35,2)</f>
        <v>11.31</v>
      </c>
      <c r="H35" s="63"/>
      <c r="I35" s="64"/>
      <c r="J35" s="66"/>
    </row>
    <row r="36" spans="1:10" s="65" customFormat="1" ht="14.25">
      <c r="A36" s="59"/>
      <c r="B36" s="60" t="s">
        <v>93</v>
      </c>
      <c r="C36" s="80" t="s">
        <v>94</v>
      </c>
      <c r="D36" s="61" t="s">
        <v>6</v>
      </c>
      <c r="E36" s="81">
        <v>0.20600000000000002</v>
      </c>
      <c r="F36" s="62">
        <f>TRUNC(21.67,2)</f>
        <v>21.67</v>
      </c>
      <c r="G36" s="63">
        <f>TRUNC(E36*F36,2)</f>
        <v>4.46</v>
      </c>
      <c r="H36" s="63"/>
      <c r="I36" s="64"/>
      <c r="J36" s="66"/>
    </row>
    <row r="37" spans="1:10" s="65" customFormat="1" ht="14.25">
      <c r="A37" s="59"/>
      <c r="B37" s="60"/>
      <c r="C37" s="80"/>
      <c r="D37" s="61"/>
      <c r="E37" s="81" t="s">
        <v>7</v>
      </c>
      <c r="F37" s="62"/>
      <c r="G37" s="63">
        <f>TRUNC(SUM(G35:G36),2)</f>
        <v>15.77</v>
      </c>
      <c r="H37" s="63"/>
      <c r="I37" s="64"/>
      <c r="J37" s="66"/>
    </row>
    <row r="38" spans="1:10" s="140" customFormat="1" ht="28.5">
      <c r="A38" s="131">
        <v>1.7</v>
      </c>
      <c r="B38" s="132" t="s">
        <v>479</v>
      </c>
      <c r="C38" s="133" t="s">
        <v>461</v>
      </c>
      <c r="D38" s="134" t="s">
        <v>0</v>
      </c>
      <c r="E38" s="135">
        <v>32.53</v>
      </c>
      <c r="F38" s="136">
        <f>TRUNC(G40,2)</f>
        <v>24.24</v>
      </c>
      <c r="G38" s="137">
        <f>TRUNC(F38*1.2247,2)</f>
        <v>29.68</v>
      </c>
      <c r="H38" s="137">
        <f>TRUNC(F38*E38,2)</f>
        <v>788.52</v>
      </c>
      <c r="I38" s="138">
        <f>TRUNC(E38*G38,2)</f>
        <v>965.49</v>
      </c>
      <c r="J38" s="139"/>
    </row>
    <row r="39" spans="1:10" s="65" customFormat="1" ht="14.25">
      <c r="A39" s="59"/>
      <c r="B39" s="60" t="s">
        <v>89</v>
      </c>
      <c r="C39" s="80" t="s">
        <v>90</v>
      </c>
      <c r="D39" s="61" t="s">
        <v>6</v>
      </c>
      <c r="E39" s="81">
        <v>1.545</v>
      </c>
      <c r="F39" s="62">
        <f>TRUNC(15.69,2)</f>
        <v>15.69</v>
      </c>
      <c r="G39" s="63">
        <f>TRUNC(E39*F39,2)</f>
        <v>24.24</v>
      </c>
      <c r="H39" s="63"/>
      <c r="I39" s="64"/>
      <c r="J39" s="66"/>
    </row>
    <row r="40" spans="1:10" s="65" customFormat="1" ht="14.25">
      <c r="A40" s="59"/>
      <c r="B40" s="60"/>
      <c r="C40" s="80"/>
      <c r="D40" s="61"/>
      <c r="E40" s="81" t="s">
        <v>7</v>
      </c>
      <c r="F40" s="62"/>
      <c r="G40" s="63">
        <f>TRUNC(SUM(G39:G39),2)</f>
        <v>24.24</v>
      </c>
      <c r="H40" s="63"/>
      <c r="I40" s="64"/>
      <c r="J40" s="66"/>
    </row>
    <row r="41" spans="1:10" s="140" customFormat="1" ht="28.5">
      <c r="A41" s="131" t="s">
        <v>122</v>
      </c>
      <c r="B41" s="132" t="s">
        <v>480</v>
      </c>
      <c r="C41" s="133" t="s">
        <v>456</v>
      </c>
      <c r="D41" s="134" t="s">
        <v>0</v>
      </c>
      <c r="E41" s="135">
        <v>51.51</v>
      </c>
      <c r="F41" s="136">
        <f>TRUNC(G43,2)</f>
        <v>11.31</v>
      </c>
      <c r="G41" s="137">
        <f>TRUNC(F41*1.2247,2)</f>
        <v>13.85</v>
      </c>
      <c r="H41" s="137">
        <f>TRUNC(F41*E41,2)</f>
        <v>582.57</v>
      </c>
      <c r="I41" s="138">
        <f>TRUNC(E41*G41,2)</f>
        <v>713.41</v>
      </c>
      <c r="J41" s="139"/>
    </row>
    <row r="42" spans="1:10" s="65" customFormat="1" ht="14.25">
      <c r="A42" s="59"/>
      <c r="B42" s="60" t="s">
        <v>89</v>
      </c>
      <c r="C42" s="80" t="s">
        <v>90</v>
      </c>
      <c r="D42" s="61" t="s">
        <v>6</v>
      </c>
      <c r="E42" s="81">
        <v>0.721</v>
      </c>
      <c r="F42" s="62">
        <f>TRUNC(15.69,2)</f>
        <v>15.69</v>
      </c>
      <c r="G42" s="63">
        <f>TRUNC(E42*F42,2)</f>
        <v>11.31</v>
      </c>
      <c r="H42" s="63"/>
      <c r="I42" s="64"/>
      <c r="J42" s="66"/>
    </row>
    <row r="43" spans="1:10" s="130" customFormat="1" ht="14.25">
      <c r="A43" s="121"/>
      <c r="B43" s="122"/>
      <c r="C43" s="123"/>
      <c r="D43" s="124"/>
      <c r="E43" s="125" t="s">
        <v>7</v>
      </c>
      <c r="F43" s="126"/>
      <c r="G43" s="127">
        <f>TRUNC(SUM(G42:G42),2)</f>
        <v>11.31</v>
      </c>
      <c r="H43" s="127"/>
      <c r="I43" s="128"/>
      <c r="J43" s="129"/>
    </row>
    <row r="44" spans="1:10" s="150" customFormat="1" ht="30">
      <c r="A44" s="141" t="s">
        <v>135</v>
      </c>
      <c r="B44" s="142" t="s">
        <v>646</v>
      </c>
      <c r="C44" s="143" t="s">
        <v>645</v>
      </c>
      <c r="D44" s="144" t="s">
        <v>12</v>
      </c>
      <c r="E44" s="145">
        <v>4</v>
      </c>
      <c r="F44" s="146">
        <f>TRUNC(G50,2)</f>
        <v>50.27</v>
      </c>
      <c r="G44" s="147">
        <f>TRUNC(F44*1.2247,2)</f>
        <v>61.56</v>
      </c>
      <c r="H44" s="147">
        <f>TRUNC(F44*E44,2)</f>
        <v>201.08</v>
      </c>
      <c r="I44" s="148">
        <f>TRUNC(E44*G44,2)</f>
        <v>246.24</v>
      </c>
      <c r="J44" s="149"/>
    </row>
    <row r="45" spans="1:10" s="108" customFormat="1" ht="15">
      <c r="A45" s="101"/>
      <c r="B45" s="102" t="s">
        <v>147</v>
      </c>
      <c r="C45" s="103" t="s">
        <v>148</v>
      </c>
      <c r="D45" s="104" t="s">
        <v>12</v>
      </c>
      <c r="E45" s="105">
        <v>0</v>
      </c>
      <c r="F45" s="106">
        <f>TRUNC(4.43,2)</f>
        <v>4.43</v>
      </c>
      <c r="G45" s="77">
        <f>TRUNC(E45*F45,2)</f>
        <v>0</v>
      </c>
      <c r="H45" s="77"/>
      <c r="I45" s="78"/>
      <c r="J45" s="107"/>
    </row>
    <row r="46" spans="1:10" s="108" customFormat="1" ht="15">
      <c r="A46" s="101"/>
      <c r="B46" s="102" t="s">
        <v>149</v>
      </c>
      <c r="C46" s="103" t="s">
        <v>150</v>
      </c>
      <c r="D46" s="104" t="s">
        <v>12</v>
      </c>
      <c r="E46" s="105">
        <v>0</v>
      </c>
      <c r="F46" s="106">
        <f>TRUNC(2.52,2)</f>
        <v>2.52</v>
      </c>
      <c r="G46" s="77">
        <f>TRUNC(E46*F46,2)</f>
        <v>0</v>
      </c>
      <c r="H46" s="77"/>
      <c r="I46" s="78"/>
      <c r="J46" s="107"/>
    </row>
    <row r="47" spans="1:10" s="108" customFormat="1" ht="15">
      <c r="A47" s="101"/>
      <c r="B47" s="102" t="s">
        <v>151</v>
      </c>
      <c r="C47" s="103" t="s">
        <v>152</v>
      </c>
      <c r="D47" s="104" t="s">
        <v>12</v>
      </c>
      <c r="E47" s="105">
        <v>0</v>
      </c>
      <c r="F47" s="106">
        <f>TRUNC(0.07,2)</f>
        <v>0.07</v>
      </c>
      <c r="G47" s="77">
        <f>TRUNC(E47*F47,2)</f>
        <v>0</v>
      </c>
      <c r="H47" s="77"/>
      <c r="I47" s="78"/>
      <c r="J47" s="107"/>
    </row>
    <row r="48" spans="1:10" s="108" customFormat="1" ht="15">
      <c r="A48" s="101"/>
      <c r="B48" s="102" t="s">
        <v>153</v>
      </c>
      <c r="C48" s="103" t="s">
        <v>154</v>
      </c>
      <c r="D48" s="104" t="s">
        <v>12</v>
      </c>
      <c r="E48" s="105">
        <v>0</v>
      </c>
      <c r="F48" s="106">
        <f>TRUNC(1.63,2)</f>
        <v>1.63</v>
      </c>
      <c r="G48" s="77">
        <f>TRUNC(E48*F48,2)</f>
        <v>0</v>
      </c>
      <c r="H48" s="77"/>
      <c r="I48" s="78"/>
      <c r="J48" s="107"/>
    </row>
    <row r="49" spans="1:10" s="108" customFormat="1" ht="30">
      <c r="A49" s="101"/>
      <c r="B49" s="102" t="s">
        <v>155</v>
      </c>
      <c r="C49" s="103" t="s">
        <v>156</v>
      </c>
      <c r="D49" s="104" t="s">
        <v>6</v>
      </c>
      <c r="E49" s="105">
        <v>2.32</v>
      </c>
      <c r="F49" s="106">
        <f>TRUNC(21.67,2)</f>
        <v>21.67</v>
      </c>
      <c r="G49" s="77">
        <f>TRUNC(E49*F49,2)</f>
        <v>50.27</v>
      </c>
      <c r="H49" s="77"/>
      <c r="I49" s="78"/>
      <c r="J49" s="107"/>
    </row>
    <row r="50" spans="1:10" s="108" customFormat="1" ht="15">
      <c r="A50" s="101"/>
      <c r="B50" s="102"/>
      <c r="C50" s="103"/>
      <c r="D50" s="104"/>
      <c r="E50" s="105" t="s">
        <v>7</v>
      </c>
      <c r="F50" s="106"/>
      <c r="G50" s="77">
        <f>TRUNC(SUM(G45:G49),2)</f>
        <v>50.27</v>
      </c>
      <c r="H50" s="77"/>
      <c r="I50" s="78"/>
      <c r="J50" s="107"/>
    </row>
    <row r="51" spans="1:10" s="150" customFormat="1" ht="30">
      <c r="A51" s="151" t="s">
        <v>136</v>
      </c>
      <c r="B51" s="152" t="s">
        <v>648</v>
      </c>
      <c r="C51" s="153" t="s">
        <v>635</v>
      </c>
      <c r="D51" s="154" t="s">
        <v>12</v>
      </c>
      <c r="E51" s="155">
        <v>3</v>
      </c>
      <c r="F51" s="156">
        <f>TRUNC(G57,2)</f>
        <v>22.32</v>
      </c>
      <c r="G51" s="137">
        <f>TRUNC(F51*1.2247,2)</f>
        <v>27.33</v>
      </c>
      <c r="H51" s="137">
        <f>TRUNC(F51*E51,2)</f>
        <v>66.96</v>
      </c>
      <c r="I51" s="138">
        <f>TRUNC(E51*G51,2)</f>
        <v>81.99</v>
      </c>
      <c r="J51" s="149"/>
    </row>
    <row r="52" spans="1:10" s="108" customFormat="1" ht="15">
      <c r="A52" s="101"/>
      <c r="B52" s="102" t="s">
        <v>147</v>
      </c>
      <c r="C52" s="103" t="s">
        <v>148</v>
      </c>
      <c r="D52" s="104" t="s">
        <v>12</v>
      </c>
      <c r="E52" s="105">
        <v>0</v>
      </c>
      <c r="F52" s="106">
        <f>TRUNC(4.43,2)</f>
        <v>4.43</v>
      </c>
      <c r="G52" s="77">
        <f>TRUNC(E52*F52,2)</f>
        <v>0</v>
      </c>
      <c r="H52" s="77"/>
      <c r="I52" s="78"/>
      <c r="J52" s="107"/>
    </row>
    <row r="53" spans="1:10" s="108" customFormat="1" ht="15">
      <c r="A53" s="101"/>
      <c r="B53" s="102" t="s">
        <v>157</v>
      </c>
      <c r="C53" s="103" t="s">
        <v>473</v>
      </c>
      <c r="D53" s="104" t="s">
        <v>12</v>
      </c>
      <c r="E53" s="105">
        <v>0</v>
      </c>
      <c r="F53" s="106">
        <f>TRUNC(5.73,2)</f>
        <v>5.73</v>
      </c>
      <c r="G53" s="77">
        <f>TRUNC(E53*F53,2)</f>
        <v>0</v>
      </c>
      <c r="H53" s="77"/>
      <c r="I53" s="78"/>
      <c r="J53" s="107"/>
    </row>
    <row r="54" spans="1:10" s="108" customFormat="1" ht="15">
      <c r="A54" s="101"/>
      <c r="B54" s="102" t="s">
        <v>80</v>
      </c>
      <c r="C54" s="103" t="s">
        <v>81</v>
      </c>
      <c r="D54" s="104" t="s">
        <v>12</v>
      </c>
      <c r="E54" s="105">
        <v>0</v>
      </c>
      <c r="F54" s="106">
        <f>TRUNC(3.21,2)</f>
        <v>3.21</v>
      </c>
      <c r="G54" s="77">
        <f>TRUNC(E54*F54,2)</f>
        <v>0</v>
      </c>
      <c r="H54" s="77"/>
      <c r="I54" s="78"/>
      <c r="J54" s="107"/>
    </row>
    <row r="55" spans="1:10" s="108" customFormat="1" ht="15">
      <c r="A55" s="101"/>
      <c r="B55" s="102" t="s">
        <v>79</v>
      </c>
      <c r="C55" s="103" t="s">
        <v>62</v>
      </c>
      <c r="D55" s="104" t="s">
        <v>3</v>
      </c>
      <c r="E55" s="105">
        <v>0</v>
      </c>
      <c r="F55" s="106">
        <f>TRUNC(2.2782,2)</f>
        <v>2.27</v>
      </c>
      <c r="G55" s="77">
        <f>TRUNC(E55*F55,2)</f>
        <v>0</v>
      </c>
      <c r="H55" s="77"/>
      <c r="I55" s="78"/>
      <c r="J55" s="107"/>
    </row>
    <row r="56" spans="1:10" s="108" customFormat="1" ht="30">
      <c r="A56" s="101"/>
      <c r="B56" s="102" t="s">
        <v>155</v>
      </c>
      <c r="C56" s="103" t="s">
        <v>156</v>
      </c>
      <c r="D56" s="104" t="s">
        <v>6</v>
      </c>
      <c r="E56" s="105">
        <v>1.03</v>
      </c>
      <c r="F56" s="106">
        <f>TRUNC(21.67,2)</f>
        <v>21.67</v>
      </c>
      <c r="G56" s="77">
        <f>TRUNC(E56*F56,2)</f>
        <v>22.32</v>
      </c>
      <c r="H56" s="77"/>
      <c r="I56" s="78"/>
      <c r="J56" s="107"/>
    </row>
    <row r="57" spans="1:10" s="108" customFormat="1" ht="15">
      <c r="A57" s="101"/>
      <c r="B57" s="102"/>
      <c r="C57" s="103"/>
      <c r="D57" s="104"/>
      <c r="E57" s="105" t="s">
        <v>7</v>
      </c>
      <c r="F57" s="106"/>
      <c r="G57" s="77">
        <f>TRUNC(SUM(G52:G56),2)</f>
        <v>22.32</v>
      </c>
      <c r="H57" s="77"/>
      <c r="I57" s="78"/>
      <c r="J57" s="107"/>
    </row>
    <row r="58" spans="1:10" s="150" customFormat="1" ht="30">
      <c r="A58" s="151" t="s">
        <v>294</v>
      </c>
      <c r="B58" s="152" t="s">
        <v>649</v>
      </c>
      <c r="C58" s="153" t="s">
        <v>647</v>
      </c>
      <c r="D58" s="154" t="s">
        <v>12</v>
      </c>
      <c r="E58" s="155">
        <v>5</v>
      </c>
      <c r="F58" s="156">
        <f>TRUNC(G66,2)</f>
        <v>38.48</v>
      </c>
      <c r="G58" s="137">
        <f>TRUNC(F58*1.2247,2)</f>
        <v>47.12</v>
      </c>
      <c r="H58" s="137">
        <f>TRUNC(F58*E58,2)</f>
        <v>192.4</v>
      </c>
      <c r="I58" s="138">
        <f>TRUNC(E58*G58,2)</f>
        <v>235.6</v>
      </c>
      <c r="J58" s="149"/>
    </row>
    <row r="59" spans="1:10" s="108" customFormat="1" ht="15">
      <c r="A59" s="101"/>
      <c r="B59" s="102" t="s">
        <v>151</v>
      </c>
      <c r="C59" s="103" t="s">
        <v>152</v>
      </c>
      <c r="D59" s="104" t="s">
        <v>12</v>
      </c>
      <c r="E59" s="105">
        <v>0</v>
      </c>
      <c r="F59" s="106">
        <f>TRUNC(0.07,2)</f>
        <v>0.07</v>
      </c>
      <c r="G59" s="77">
        <f aca="true" t="shared" si="0" ref="G59:G65">TRUNC(E59*F59,2)</f>
        <v>0</v>
      </c>
      <c r="H59" s="77"/>
      <c r="I59" s="78"/>
      <c r="J59" s="107"/>
    </row>
    <row r="60" spans="1:10" s="108" customFormat="1" ht="15">
      <c r="A60" s="101"/>
      <c r="B60" s="102" t="s">
        <v>153</v>
      </c>
      <c r="C60" s="103" t="s">
        <v>154</v>
      </c>
      <c r="D60" s="104" t="s">
        <v>12</v>
      </c>
      <c r="E60" s="105">
        <v>0</v>
      </c>
      <c r="F60" s="106">
        <f>TRUNC(1.63,2)</f>
        <v>1.63</v>
      </c>
      <c r="G60" s="77">
        <f t="shared" si="0"/>
        <v>0</v>
      </c>
      <c r="H60" s="77"/>
      <c r="I60" s="78"/>
      <c r="J60" s="107"/>
    </row>
    <row r="61" spans="1:10" s="108" customFormat="1" ht="15">
      <c r="A61" s="101"/>
      <c r="B61" s="102" t="s">
        <v>158</v>
      </c>
      <c r="C61" s="103" t="s">
        <v>159</v>
      </c>
      <c r="D61" s="104" t="s">
        <v>5</v>
      </c>
      <c r="E61" s="105">
        <v>0</v>
      </c>
      <c r="F61" s="106">
        <f>TRUNC(71.43,2)</f>
        <v>71.43</v>
      </c>
      <c r="G61" s="77">
        <f t="shared" si="0"/>
        <v>0</v>
      </c>
      <c r="H61" s="77"/>
      <c r="I61" s="78"/>
      <c r="J61" s="107"/>
    </row>
    <row r="62" spans="1:10" s="108" customFormat="1" ht="15">
      <c r="A62" s="101"/>
      <c r="B62" s="102" t="s">
        <v>160</v>
      </c>
      <c r="C62" s="103" t="s">
        <v>161</v>
      </c>
      <c r="D62" s="104" t="s">
        <v>5</v>
      </c>
      <c r="E62" s="105">
        <v>0</v>
      </c>
      <c r="F62" s="106">
        <f>TRUNC(25.15,2)</f>
        <v>25.15</v>
      </c>
      <c r="G62" s="77">
        <f t="shared" si="0"/>
        <v>0</v>
      </c>
      <c r="H62" s="77"/>
      <c r="I62" s="78"/>
      <c r="J62" s="107"/>
    </row>
    <row r="63" spans="1:10" s="108" customFormat="1" ht="15">
      <c r="A63" s="101"/>
      <c r="B63" s="102" t="s">
        <v>162</v>
      </c>
      <c r="C63" s="103" t="s">
        <v>163</v>
      </c>
      <c r="D63" s="104" t="s">
        <v>5</v>
      </c>
      <c r="E63" s="105">
        <v>0</v>
      </c>
      <c r="F63" s="106">
        <f>TRUNC(1.37,2)</f>
        <v>1.37</v>
      </c>
      <c r="G63" s="77">
        <f t="shared" si="0"/>
        <v>0</v>
      </c>
      <c r="H63" s="77"/>
      <c r="I63" s="78"/>
      <c r="J63" s="107"/>
    </row>
    <row r="64" spans="1:10" s="108" customFormat="1" ht="15">
      <c r="A64" s="101"/>
      <c r="B64" s="102" t="s">
        <v>89</v>
      </c>
      <c r="C64" s="103" t="s">
        <v>90</v>
      </c>
      <c r="D64" s="104" t="s">
        <v>6</v>
      </c>
      <c r="E64" s="105">
        <v>1.03</v>
      </c>
      <c r="F64" s="106">
        <f>TRUNC(15.69,2)</f>
        <v>15.69</v>
      </c>
      <c r="G64" s="77">
        <f t="shared" si="0"/>
        <v>16.16</v>
      </c>
      <c r="H64" s="77"/>
      <c r="I64" s="78"/>
      <c r="J64" s="107"/>
    </row>
    <row r="65" spans="1:10" s="108" customFormat="1" ht="30">
      <c r="A65" s="101"/>
      <c r="B65" s="102" t="s">
        <v>155</v>
      </c>
      <c r="C65" s="103" t="s">
        <v>156</v>
      </c>
      <c r="D65" s="104" t="s">
        <v>6</v>
      </c>
      <c r="E65" s="105">
        <v>1.03</v>
      </c>
      <c r="F65" s="106">
        <f>TRUNC(21.67,2)</f>
        <v>21.67</v>
      </c>
      <c r="G65" s="77">
        <f t="shared" si="0"/>
        <v>22.32</v>
      </c>
      <c r="H65" s="77"/>
      <c r="I65" s="78"/>
      <c r="J65" s="107"/>
    </row>
    <row r="66" spans="1:10" s="108" customFormat="1" ht="15">
      <c r="A66" s="101"/>
      <c r="B66" s="102"/>
      <c r="C66" s="103"/>
      <c r="D66" s="104"/>
      <c r="E66" s="105" t="s">
        <v>7</v>
      </c>
      <c r="F66" s="106"/>
      <c r="G66" s="77">
        <f>TRUNC(SUM(G59:G65),2)</f>
        <v>38.48</v>
      </c>
      <c r="H66" s="77"/>
      <c r="I66" s="78"/>
      <c r="J66" s="107"/>
    </row>
    <row r="67" spans="1:10" s="140" customFormat="1" ht="29.25">
      <c r="A67" s="131" t="s">
        <v>555</v>
      </c>
      <c r="B67" s="132" t="s">
        <v>481</v>
      </c>
      <c r="C67" s="133" t="s">
        <v>636</v>
      </c>
      <c r="D67" s="134" t="s">
        <v>12</v>
      </c>
      <c r="E67" s="135">
        <v>6</v>
      </c>
      <c r="F67" s="136">
        <f>TRUNC(G70,2)</f>
        <v>22.85</v>
      </c>
      <c r="G67" s="137">
        <f>TRUNC(F67*1.2247,2)</f>
        <v>27.98</v>
      </c>
      <c r="H67" s="137">
        <f>TRUNC(F67*E67,2)</f>
        <v>137.1</v>
      </c>
      <c r="I67" s="138">
        <f>TRUNC(E67*G67,2)</f>
        <v>167.88</v>
      </c>
      <c r="J67" s="139"/>
    </row>
    <row r="68" spans="1:10" s="65" customFormat="1" ht="14.25">
      <c r="A68" s="59"/>
      <c r="B68" s="60" t="s">
        <v>89</v>
      </c>
      <c r="C68" s="80" t="s">
        <v>90</v>
      </c>
      <c r="D68" s="61" t="s">
        <v>6</v>
      </c>
      <c r="E68" s="81">
        <v>1.03</v>
      </c>
      <c r="F68" s="62">
        <f>TRUNC(15.69,2)</f>
        <v>15.69</v>
      </c>
      <c r="G68" s="63">
        <f>TRUNC(E68*F68,2)</f>
        <v>16.16</v>
      </c>
      <c r="H68" s="63"/>
      <c r="I68" s="64"/>
      <c r="J68" s="66"/>
    </row>
    <row r="69" spans="1:10" s="65" customFormat="1" ht="14.25">
      <c r="A69" s="59"/>
      <c r="B69" s="60" t="s">
        <v>93</v>
      </c>
      <c r="C69" s="80" t="s">
        <v>94</v>
      </c>
      <c r="D69" s="61" t="s">
        <v>6</v>
      </c>
      <c r="E69" s="81">
        <v>0.309</v>
      </c>
      <c r="F69" s="62">
        <f>TRUNC(21.67,2)</f>
        <v>21.67</v>
      </c>
      <c r="G69" s="63">
        <f>TRUNC(E69*F69,2)</f>
        <v>6.69</v>
      </c>
      <c r="H69" s="63"/>
      <c r="I69" s="64"/>
      <c r="J69" s="66"/>
    </row>
    <row r="70" spans="1:10" s="65" customFormat="1" ht="14.25">
      <c r="A70" s="59"/>
      <c r="B70" s="60"/>
      <c r="C70" s="80"/>
      <c r="D70" s="61"/>
      <c r="E70" s="81" t="s">
        <v>7</v>
      </c>
      <c r="F70" s="62"/>
      <c r="G70" s="63">
        <f>TRUNC(SUM(G68:G69),2)</f>
        <v>22.85</v>
      </c>
      <c r="H70" s="63"/>
      <c r="I70" s="64"/>
      <c r="J70" s="66"/>
    </row>
    <row r="71" spans="1:10" s="140" customFormat="1" ht="42.75">
      <c r="A71" s="131" t="s">
        <v>556</v>
      </c>
      <c r="B71" s="132" t="s">
        <v>482</v>
      </c>
      <c r="C71" s="133" t="s">
        <v>293</v>
      </c>
      <c r="D71" s="134" t="s">
        <v>0</v>
      </c>
      <c r="E71" s="135">
        <v>75.5</v>
      </c>
      <c r="F71" s="136">
        <f>TRUNC(G73,2)</f>
        <v>7.27</v>
      </c>
      <c r="G71" s="137">
        <f>TRUNC(F71*1.2247,2)</f>
        <v>8.9</v>
      </c>
      <c r="H71" s="137">
        <f>TRUNC(F71*E71,2)</f>
        <v>548.88</v>
      </c>
      <c r="I71" s="138">
        <f>TRUNC(E71*G71,2)</f>
        <v>671.95</v>
      </c>
      <c r="J71" s="139"/>
    </row>
    <row r="72" spans="1:10" s="65" customFormat="1" ht="14.25">
      <c r="A72" s="59"/>
      <c r="B72" s="60" t="s">
        <v>89</v>
      </c>
      <c r="C72" s="80" t="s">
        <v>90</v>
      </c>
      <c r="D72" s="61" t="s">
        <v>6</v>
      </c>
      <c r="E72" s="81">
        <v>0.4635</v>
      </c>
      <c r="F72" s="62">
        <f>TRUNC(15.69,2)</f>
        <v>15.69</v>
      </c>
      <c r="G72" s="63">
        <f>TRUNC(E72*F72,2)</f>
        <v>7.27</v>
      </c>
      <c r="H72" s="63"/>
      <c r="I72" s="64"/>
      <c r="J72" s="66"/>
    </row>
    <row r="73" spans="1:10" s="65" customFormat="1" ht="14.25">
      <c r="A73" s="59"/>
      <c r="B73" s="60"/>
      <c r="C73" s="80"/>
      <c r="D73" s="61"/>
      <c r="E73" s="81" t="s">
        <v>7</v>
      </c>
      <c r="F73" s="62"/>
      <c r="G73" s="63">
        <f>TRUNC(SUM(G72:G72),2)</f>
        <v>7.27</v>
      </c>
      <c r="H73" s="63"/>
      <c r="I73" s="64"/>
      <c r="J73" s="66"/>
    </row>
    <row r="74" spans="1:9" s="44" customFormat="1" ht="15.75">
      <c r="A74" s="53" t="s">
        <v>44</v>
      </c>
      <c r="C74" s="54"/>
      <c r="D74" s="55"/>
      <c r="E74" s="55"/>
      <c r="F74" s="55"/>
      <c r="G74" s="55" t="s">
        <v>47</v>
      </c>
      <c r="H74" s="57">
        <f>H71+H67+H58+H51+H44+H41+H38+H34+H30+H26+H13+H20+H23</f>
        <v>6779.04</v>
      </c>
      <c r="I74" s="57">
        <f>I71+I67+I58+I51+I44+I41+I38+I34+I30+I26+I13+I20+I23</f>
        <v>8300.49</v>
      </c>
    </row>
    <row r="75" spans="1:9" s="43" customFormat="1" ht="15.75">
      <c r="A75" s="43" t="s">
        <v>16</v>
      </c>
      <c r="B75" s="51"/>
      <c r="C75" s="52" t="s">
        <v>120</v>
      </c>
      <c r="D75" s="52"/>
      <c r="E75" s="52"/>
      <c r="F75" s="52"/>
      <c r="G75" s="52"/>
      <c r="H75" s="52"/>
      <c r="I75" s="50"/>
    </row>
    <row r="76" spans="1:9" s="157" customFormat="1" ht="71.25">
      <c r="A76" s="157" t="s">
        <v>579</v>
      </c>
      <c r="B76" s="157" t="s">
        <v>252</v>
      </c>
      <c r="C76" s="157" t="s">
        <v>474</v>
      </c>
      <c r="D76" s="157" t="s">
        <v>0</v>
      </c>
      <c r="E76" s="157">
        <v>120.49</v>
      </c>
      <c r="F76" s="158">
        <f>TRUNC(G84,2)</f>
        <v>64.26</v>
      </c>
      <c r="G76" s="137">
        <f>TRUNC(F76*1.2247,2)</f>
        <v>78.69</v>
      </c>
      <c r="H76" s="137">
        <f>TRUNC(F76*E76,2)</f>
        <v>7742.68</v>
      </c>
      <c r="I76" s="138">
        <f>TRUNC(E76*G76,2)</f>
        <v>9481.35</v>
      </c>
    </row>
    <row r="77" spans="2:9" s="67" customFormat="1" ht="28.5">
      <c r="B77" s="67" t="s">
        <v>253</v>
      </c>
      <c r="C77" s="67" t="s">
        <v>475</v>
      </c>
      <c r="D77" s="67" t="s">
        <v>0</v>
      </c>
      <c r="E77" s="67">
        <v>1.05</v>
      </c>
      <c r="F77" s="68">
        <f>TRUNC(14.4,2)</f>
        <v>14.4</v>
      </c>
      <c r="G77" s="63">
        <f aca="true" t="shared" si="1" ref="G77:G83">TRUNC(E77*F77,2)</f>
        <v>15.12</v>
      </c>
      <c r="H77" s="63"/>
      <c r="I77" s="64"/>
    </row>
    <row r="78" spans="2:9" s="67" customFormat="1" ht="14.25">
      <c r="B78" s="67" t="s">
        <v>165</v>
      </c>
      <c r="C78" s="67" t="s">
        <v>166</v>
      </c>
      <c r="D78" s="67" t="s">
        <v>12</v>
      </c>
      <c r="E78" s="67">
        <v>0.1</v>
      </c>
      <c r="F78" s="68">
        <f>TRUNC(9.5,2)</f>
        <v>9.5</v>
      </c>
      <c r="G78" s="63">
        <f t="shared" si="1"/>
        <v>0.95</v>
      </c>
      <c r="H78" s="63"/>
      <c r="I78" s="64"/>
    </row>
    <row r="79" spans="2:9" s="67" customFormat="1" ht="14.25">
      <c r="B79" s="67" t="s">
        <v>162</v>
      </c>
      <c r="C79" s="67" t="s">
        <v>163</v>
      </c>
      <c r="D79" s="67" t="s">
        <v>5</v>
      </c>
      <c r="E79" s="67">
        <v>0.1</v>
      </c>
      <c r="F79" s="68">
        <f>TRUNC(1.37,2)</f>
        <v>1.37</v>
      </c>
      <c r="G79" s="63">
        <f t="shared" si="1"/>
        <v>0.13</v>
      </c>
      <c r="H79" s="63"/>
      <c r="I79" s="64"/>
    </row>
    <row r="80" spans="2:9" s="67" customFormat="1" ht="14.25">
      <c r="B80" s="67" t="s">
        <v>89</v>
      </c>
      <c r="C80" s="67" t="s">
        <v>90</v>
      </c>
      <c r="D80" s="67" t="s">
        <v>6</v>
      </c>
      <c r="E80" s="67">
        <v>0.8755</v>
      </c>
      <c r="F80" s="68">
        <f>TRUNC(15.69,2)</f>
        <v>15.69</v>
      </c>
      <c r="G80" s="63">
        <f t="shared" si="1"/>
        <v>13.73</v>
      </c>
      <c r="H80" s="63"/>
      <c r="I80" s="64"/>
    </row>
    <row r="81" spans="2:9" s="67" customFormat="1" ht="14.25">
      <c r="B81" s="67" t="s">
        <v>140</v>
      </c>
      <c r="C81" s="67" t="s">
        <v>141</v>
      </c>
      <c r="D81" s="67" t="s">
        <v>6</v>
      </c>
      <c r="E81" s="67">
        <v>0.8755</v>
      </c>
      <c r="F81" s="68">
        <f>TRUNC(23.32,2)</f>
        <v>23.32</v>
      </c>
      <c r="G81" s="63">
        <f t="shared" si="1"/>
        <v>20.41</v>
      </c>
      <c r="H81" s="63"/>
      <c r="I81" s="64"/>
    </row>
    <row r="82" spans="2:9" s="67" customFormat="1" ht="14.25">
      <c r="B82" s="67" t="s">
        <v>167</v>
      </c>
      <c r="C82" s="67" t="s">
        <v>168</v>
      </c>
      <c r="D82" s="67" t="s">
        <v>1</v>
      </c>
      <c r="E82" s="67">
        <v>0.035</v>
      </c>
      <c r="F82" s="68">
        <f>TRUNC(349.0382,2)</f>
        <v>349.03</v>
      </c>
      <c r="G82" s="63">
        <f t="shared" si="1"/>
        <v>12.21</v>
      </c>
      <c r="H82" s="63"/>
      <c r="I82" s="64"/>
    </row>
    <row r="83" spans="2:9" s="67" customFormat="1" ht="14.25">
      <c r="B83" s="67" t="s">
        <v>169</v>
      </c>
      <c r="C83" s="67" t="s">
        <v>170</v>
      </c>
      <c r="D83" s="67" t="s">
        <v>1</v>
      </c>
      <c r="E83" s="67">
        <v>0.003</v>
      </c>
      <c r="F83" s="68">
        <f>TRUNC(570.4463,2)</f>
        <v>570.44</v>
      </c>
      <c r="G83" s="63">
        <f t="shared" si="1"/>
        <v>1.71</v>
      </c>
      <c r="H83" s="63"/>
      <c r="I83" s="64"/>
    </row>
    <row r="84" spans="5:9" s="67" customFormat="1" ht="14.25">
      <c r="E84" s="67" t="s">
        <v>7</v>
      </c>
      <c r="F84" s="68"/>
      <c r="G84" s="63">
        <f>TRUNC(SUM(G77:G83),2)</f>
        <v>64.26</v>
      </c>
      <c r="H84" s="63"/>
      <c r="I84" s="64"/>
    </row>
    <row r="85" spans="1:9" s="157" customFormat="1" ht="42.75">
      <c r="A85" s="157" t="s">
        <v>123</v>
      </c>
      <c r="B85" s="157" t="s">
        <v>650</v>
      </c>
      <c r="C85" s="157" t="s">
        <v>624</v>
      </c>
      <c r="D85" s="157" t="s">
        <v>0</v>
      </c>
      <c r="E85" s="157">
        <v>54.1</v>
      </c>
      <c r="F85" s="158">
        <f>TRUNC(G91,2)</f>
        <v>64.94</v>
      </c>
      <c r="G85" s="137">
        <f>TRUNC(F85*1.2247,2)</f>
        <v>79.53</v>
      </c>
      <c r="H85" s="137">
        <f>TRUNC(F85*E85,2)</f>
        <v>3513.25</v>
      </c>
      <c r="I85" s="138">
        <f>TRUNC(E85*G85,2)</f>
        <v>4302.57</v>
      </c>
    </row>
    <row r="86" spans="2:9" s="67" customFormat="1" ht="14.25">
      <c r="B86" s="67" t="s">
        <v>651</v>
      </c>
      <c r="C86" s="67" t="s">
        <v>626</v>
      </c>
      <c r="D86" s="67" t="s">
        <v>5</v>
      </c>
      <c r="E86" s="67">
        <v>0.22</v>
      </c>
      <c r="F86" s="68">
        <f>TRUNC(3.18,2)</f>
        <v>3.18</v>
      </c>
      <c r="G86" s="63">
        <f>TRUNC(E86*F86,2)</f>
        <v>0.69</v>
      </c>
      <c r="H86" s="63"/>
      <c r="I86" s="64"/>
    </row>
    <row r="87" spans="2:9" s="67" customFormat="1" ht="14.25">
      <c r="B87" s="67" t="s">
        <v>652</v>
      </c>
      <c r="C87" s="67" t="s">
        <v>628</v>
      </c>
      <c r="D87" s="67" t="s">
        <v>5</v>
      </c>
      <c r="E87" s="67">
        <v>6.14</v>
      </c>
      <c r="F87" s="68">
        <f>TRUNC(0.5,2)</f>
        <v>0.5</v>
      </c>
      <c r="G87" s="63">
        <f>TRUNC(E87*F87,2)</f>
        <v>3.07</v>
      </c>
      <c r="H87" s="63"/>
      <c r="I87" s="64"/>
    </row>
    <row r="88" spans="2:9" s="67" customFormat="1" ht="28.5">
      <c r="B88" s="67" t="s">
        <v>653</v>
      </c>
      <c r="C88" s="67" t="s">
        <v>630</v>
      </c>
      <c r="D88" s="67" t="s">
        <v>0</v>
      </c>
      <c r="E88" s="67">
        <v>1.09</v>
      </c>
      <c r="F88" s="68">
        <f>TRUNC(21.9,2)</f>
        <v>21.9</v>
      </c>
      <c r="G88" s="63">
        <f>TRUNC(E88*F88,2)</f>
        <v>23.87</v>
      </c>
      <c r="H88" s="63"/>
      <c r="I88" s="64"/>
    </row>
    <row r="89" spans="2:9" s="67" customFormat="1" ht="14.25">
      <c r="B89" s="67" t="s">
        <v>496</v>
      </c>
      <c r="C89" s="67" t="s">
        <v>78</v>
      </c>
      <c r="D89" s="67" t="s">
        <v>6</v>
      </c>
      <c r="E89" s="67">
        <v>0.46</v>
      </c>
      <c r="F89" s="68">
        <f>TRUNC(22.26,2)</f>
        <v>22.26</v>
      </c>
      <c r="G89" s="63">
        <f>TRUNC(E89*F89,2)</f>
        <v>10.23</v>
      </c>
      <c r="H89" s="63"/>
      <c r="I89" s="64"/>
    </row>
    <row r="90" spans="2:9" s="67" customFormat="1" ht="14.25">
      <c r="B90" s="67" t="s">
        <v>654</v>
      </c>
      <c r="C90" s="67" t="s">
        <v>632</v>
      </c>
      <c r="D90" s="67" t="s">
        <v>6</v>
      </c>
      <c r="E90" s="67">
        <v>0.91</v>
      </c>
      <c r="F90" s="68">
        <f>TRUNC(29.76,2)</f>
        <v>29.76</v>
      </c>
      <c r="G90" s="63">
        <f>TRUNC(E90*F90,2)</f>
        <v>27.08</v>
      </c>
      <c r="H90" s="63"/>
      <c r="I90" s="64"/>
    </row>
    <row r="91" spans="5:9" s="67" customFormat="1" ht="14.25">
      <c r="E91" s="67" t="s">
        <v>7</v>
      </c>
      <c r="F91" s="68"/>
      <c r="G91" s="63">
        <f>TRUNC(SUM(G86:G90),2)</f>
        <v>64.94</v>
      </c>
      <c r="H91" s="63"/>
      <c r="I91" s="64"/>
    </row>
    <row r="92" spans="1:9" s="157" customFormat="1" ht="57">
      <c r="A92" s="157" t="s">
        <v>124</v>
      </c>
      <c r="B92" s="157" t="s">
        <v>224</v>
      </c>
      <c r="C92" s="157" t="s">
        <v>225</v>
      </c>
      <c r="D92" s="157" t="s">
        <v>3</v>
      </c>
      <c r="E92" s="157">
        <v>1.8</v>
      </c>
      <c r="F92" s="158">
        <f>TRUNC(G99,2)</f>
        <v>41.67</v>
      </c>
      <c r="G92" s="137">
        <f>TRUNC(F92*1.2247,2)</f>
        <v>51.03</v>
      </c>
      <c r="H92" s="137">
        <f>TRUNC(F92*E92,2)</f>
        <v>75</v>
      </c>
      <c r="I92" s="138">
        <f>TRUNC(E92*G92,2)</f>
        <v>91.85</v>
      </c>
    </row>
    <row r="93" spans="2:9" s="67" customFormat="1" ht="14.25">
      <c r="B93" s="67" t="s">
        <v>226</v>
      </c>
      <c r="C93" s="67" t="s">
        <v>227</v>
      </c>
      <c r="D93" s="67" t="s">
        <v>3</v>
      </c>
      <c r="E93" s="67">
        <v>1.05</v>
      </c>
      <c r="F93" s="68">
        <f>TRUNC(22.31,2)</f>
        <v>22.31</v>
      </c>
      <c r="G93" s="63">
        <f aca="true" t="shared" si="2" ref="G93:G98">TRUNC(E93*F93,2)</f>
        <v>23.42</v>
      </c>
      <c r="H93" s="63"/>
      <c r="I93" s="64"/>
    </row>
    <row r="94" spans="2:9" s="67" customFormat="1" ht="14.25">
      <c r="B94" s="67" t="s">
        <v>165</v>
      </c>
      <c r="C94" s="67" t="s">
        <v>166</v>
      </c>
      <c r="D94" s="67" t="s">
        <v>12</v>
      </c>
      <c r="E94" s="67">
        <v>0.01</v>
      </c>
      <c r="F94" s="68">
        <f>TRUNC(9.5,2)</f>
        <v>9.5</v>
      </c>
      <c r="G94" s="63">
        <f t="shared" si="2"/>
        <v>0.09</v>
      </c>
      <c r="H94" s="63"/>
      <c r="I94" s="64"/>
    </row>
    <row r="95" spans="2:9" s="67" customFormat="1" ht="14.25">
      <c r="B95" s="67" t="s">
        <v>162</v>
      </c>
      <c r="C95" s="67" t="s">
        <v>163</v>
      </c>
      <c r="D95" s="67" t="s">
        <v>5</v>
      </c>
      <c r="E95" s="67">
        <v>0.5</v>
      </c>
      <c r="F95" s="68">
        <f>TRUNC(1.37,2)</f>
        <v>1.37</v>
      </c>
      <c r="G95" s="63">
        <f t="shared" si="2"/>
        <v>0.68</v>
      </c>
      <c r="H95" s="63"/>
      <c r="I95" s="64"/>
    </row>
    <row r="96" spans="2:9" s="67" customFormat="1" ht="14.25">
      <c r="B96" s="67" t="s">
        <v>89</v>
      </c>
      <c r="C96" s="67" t="s">
        <v>90</v>
      </c>
      <c r="D96" s="67" t="s">
        <v>6</v>
      </c>
      <c r="E96" s="67">
        <v>0.4635</v>
      </c>
      <c r="F96" s="68">
        <f>TRUNC(15.69,2)</f>
        <v>15.69</v>
      </c>
      <c r="G96" s="63">
        <f t="shared" si="2"/>
        <v>7.27</v>
      </c>
      <c r="H96" s="63"/>
      <c r="I96" s="64"/>
    </row>
    <row r="97" spans="2:9" s="67" customFormat="1" ht="14.25">
      <c r="B97" s="67" t="s">
        <v>228</v>
      </c>
      <c r="C97" s="67" t="s">
        <v>229</v>
      </c>
      <c r="D97" s="67" t="s">
        <v>6</v>
      </c>
      <c r="E97" s="67">
        <v>0.41200000000000003</v>
      </c>
      <c r="F97" s="68">
        <f>TRUNC(21.67,2)</f>
        <v>21.67</v>
      </c>
      <c r="G97" s="63">
        <f t="shared" si="2"/>
        <v>8.92</v>
      </c>
      <c r="H97" s="63"/>
      <c r="I97" s="64"/>
    </row>
    <row r="98" spans="2:9" s="67" customFormat="1" ht="14.25">
      <c r="B98" s="67" t="s">
        <v>230</v>
      </c>
      <c r="C98" s="67" t="s">
        <v>231</v>
      </c>
      <c r="D98" s="67" t="s">
        <v>1</v>
      </c>
      <c r="E98" s="67">
        <v>0.005</v>
      </c>
      <c r="F98" s="68">
        <f>TRUNC(259.8556,2)</f>
        <v>259.85</v>
      </c>
      <c r="G98" s="63">
        <f t="shared" si="2"/>
        <v>1.29</v>
      </c>
      <c r="H98" s="63"/>
      <c r="I98" s="64"/>
    </row>
    <row r="99" spans="5:9" s="67" customFormat="1" ht="14.25">
      <c r="E99" s="67" t="s">
        <v>7</v>
      </c>
      <c r="F99" s="68"/>
      <c r="G99" s="63">
        <f>TRUNC(SUM(G93:G98),2)</f>
        <v>41.67</v>
      </c>
      <c r="H99" s="63"/>
      <c r="I99" s="64"/>
    </row>
    <row r="100" spans="1:9" s="157" customFormat="1" ht="28.5">
      <c r="A100" s="157" t="s">
        <v>125</v>
      </c>
      <c r="B100" s="157" t="s">
        <v>483</v>
      </c>
      <c r="C100" s="157" t="s">
        <v>296</v>
      </c>
      <c r="D100" s="157" t="s">
        <v>0</v>
      </c>
      <c r="E100" s="157">
        <v>87.96</v>
      </c>
      <c r="F100" s="158">
        <f>TRUNC(G108,2)</f>
        <v>42.41</v>
      </c>
      <c r="G100" s="137">
        <f>TRUNC(F100*1.2247,2)</f>
        <v>51.93</v>
      </c>
      <c r="H100" s="137">
        <f>TRUNC(F100*E100,2)</f>
        <v>3730.38</v>
      </c>
      <c r="I100" s="138">
        <f>TRUNC(E100*G100,2)</f>
        <v>4567.76</v>
      </c>
    </row>
    <row r="101" spans="2:9" s="67" customFormat="1" ht="28.5">
      <c r="B101" s="67" t="s">
        <v>484</v>
      </c>
      <c r="C101" s="67" t="s">
        <v>298</v>
      </c>
      <c r="D101" s="67" t="s">
        <v>5</v>
      </c>
      <c r="E101" s="67">
        <v>0.0711</v>
      </c>
      <c r="F101" s="68">
        <f>TRUNC(16.14,2)</f>
        <v>16.14</v>
      </c>
      <c r="G101" s="63">
        <f aca="true" t="shared" si="3" ref="G101:G107">TRUNC(E101*F101,2)</f>
        <v>1.14</v>
      </c>
      <c r="H101" s="63"/>
      <c r="I101" s="64"/>
    </row>
    <row r="102" spans="2:9" s="67" customFormat="1" ht="14.25">
      <c r="B102" s="67" t="s">
        <v>485</v>
      </c>
      <c r="C102" s="67" t="s">
        <v>300</v>
      </c>
      <c r="D102" s="67" t="s">
        <v>301</v>
      </c>
      <c r="E102" s="67">
        <v>0.0333</v>
      </c>
      <c r="F102" s="68">
        <f>TRUNC(31.38,2)</f>
        <v>31.38</v>
      </c>
      <c r="G102" s="63">
        <f t="shared" si="3"/>
        <v>1.04</v>
      </c>
      <c r="H102" s="63"/>
      <c r="I102" s="64"/>
    </row>
    <row r="103" spans="2:9" s="67" customFormat="1" ht="14.25">
      <c r="B103" s="67" t="s">
        <v>486</v>
      </c>
      <c r="C103" s="67" t="s">
        <v>303</v>
      </c>
      <c r="D103" s="67" t="s">
        <v>301</v>
      </c>
      <c r="E103" s="67">
        <v>0.0221</v>
      </c>
      <c r="F103" s="68">
        <f>TRUNC(18.3,2)</f>
        <v>18.3</v>
      </c>
      <c r="G103" s="63">
        <f t="shared" si="3"/>
        <v>0.4</v>
      </c>
      <c r="H103" s="63"/>
      <c r="I103" s="64"/>
    </row>
    <row r="104" spans="2:9" s="67" customFormat="1" ht="28.5">
      <c r="B104" s="67" t="s">
        <v>487</v>
      </c>
      <c r="C104" s="67" t="s">
        <v>305</v>
      </c>
      <c r="D104" s="67" t="s">
        <v>12</v>
      </c>
      <c r="E104" s="67">
        <v>2.2127</v>
      </c>
      <c r="F104" s="68">
        <f>TRUNC(1.23,2)</f>
        <v>1.23</v>
      </c>
      <c r="G104" s="63">
        <f t="shared" si="3"/>
        <v>2.72</v>
      </c>
      <c r="H104" s="63"/>
      <c r="I104" s="64"/>
    </row>
    <row r="105" spans="2:9" s="67" customFormat="1" ht="28.5">
      <c r="B105" s="67" t="s">
        <v>488</v>
      </c>
      <c r="C105" s="67" t="s">
        <v>307</v>
      </c>
      <c r="D105" s="67" t="s">
        <v>3</v>
      </c>
      <c r="E105" s="67">
        <v>2.4018</v>
      </c>
      <c r="F105" s="68">
        <f>TRUNC(3.28,2)</f>
        <v>3.28</v>
      </c>
      <c r="G105" s="63">
        <f t="shared" si="3"/>
        <v>7.87</v>
      </c>
      <c r="H105" s="63"/>
      <c r="I105" s="64"/>
    </row>
    <row r="106" spans="2:9" s="67" customFormat="1" ht="28.5">
      <c r="B106" s="67" t="s">
        <v>489</v>
      </c>
      <c r="C106" s="67" t="s">
        <v>309</v>
      </c>
      <c r="D106" s="67" t="s">
        <v>0</v>
      </c>
      <c r="E106" s="67">
        <v>1.0326</v>
      </c>
      <c r="F106" s="68">
        <f>TRUNC(12.6,2)</f>
        <v>12.6</v>
      </c>
      <c r="G106" s="63">
        <f t="shared" si="3"/>
        <v>13.01</v>
      </c>
      <c r="H106" s="63"/>
      <c r="I106" s="64"/>
    </row>
    <row r="107" spans="2:9" s="67" customFormat="1" ht="14.25">
      <c r="B107" s="67" t="s">
        <v>490</v>
      </c>
      <c r="C107" s="67" t="s">
        <v>164</v>
      </c>
      <c r="D107" s="67" t="s">
        <v>6</v>
      </c>
      <c r="E107" s="67">
        <v>0.5672</v>
      </c>
      <c r="F107" s="68">
        <f>TRUNC(28.63,2)</f>
        <v>28.63</v>
      </c>
      <c r="G107" s="63">
        <f t="shared" si="3"/>
        <v>16.23</v>
      </c>
      <c r="H107" s="63"/>
      <c r="I107" s="64"/>
    </row>
    <row r="108" spans="5:10" s="67" customFormat="1" ht="28.5">
      <c r="E108" s="67" t="s">
        <v>7</v>
      </c>
      <c r="F108" s="68"/>
      <c r="G108" s="63">
        <f>TRUNC(SUM(G101:G107),2)</f>
        <v>42.41</v>
      </c>
      <c r="H108" s="63"/>
      <c r="I108" s="64"/>
      <c r="J108" s="67" t="s">
        <v>707</v>
      </c>
    </row>
    <row r="109" spans="1:9" s="157" customFormat="1" ht="42.75">
      <c r="A109" s="157" t="s">
        <v>711</v>
      </c>
      <c r="B109" s="157" t="s">
        <v>712</v>
      </c>
      <c r="C109" s="157" t="s">
        <v>708</v>
      </c>
      <c r="D109" s="157" t="s">
        <v>0</v>
      </c>
      <c r="E109" s="157">
        <v>2</v>
      </c>
      <c r="F109" s="158">
        <f>TRUNC(68.47072,2)</f>
        <v>68.47</v>
      </c>
      <c r="G109" s="137">
        <f>TRUNC(F109*1.2247,2)</f>
        <v>83.85</v>
      </c>
      <c r="H109" s="137">
        <f>TRUNC(F109*E109,2)</f>
        <v>136.94</v>
      </c>
      <c r="I109" s="138">
        <f>TRUNC(E109*G109,2)</f>
        <v>167.7</v>
      </c>
    </row>
    <row r="110" spans="2:9" s="67" customFormat="1" ht="28.5">
      <c r="B110" s="67" t="s">
        <v>709</v>
      </c>
      <c r="C110" s="67" t="s">
        <v>710</v>
      </c>
      <c r="D110" s="67" t="s">
        <v>12</v>
      </c>
      <c r="E110" s="67">
        <v>0.35</v>
      </c>
      <c r="F110" s="68">
        <f>TRUNC(96.68,2)</f>
        <v>96.68</v>
      </c>
      <c r="G110" s="63">
        <f>TRUNC(E110*F110,2)</f>
        <v>33.83</v>
      </c>
      <c r="H110" s="63"/>
      <c r="I110" s="64"/>
    </row>
    <row r="111" spans="2:9" s="67" customFormat="1" ht="14.25">
      <c r="B111" s="67" t="s">
        <v>508</v>
      </c>
      <c r="C111" s="67" t="s">
        <v>509</v>
      </c>
      <c r="D111" s="67" t="s">
        <v>6</v>
      </c>
      <c r="E111" s="67">
        <v>0.927</v>
      </c>
      <c r="F111" s="68">
        <f>TRUNC(21.67,2)</f>
        <v>21.67</v>
      </c>
      <c r="G111" s="63">
        <f>TRUNC(E111*F111,2)</f>
        <v>20.08</v>
      </c>
      <c r="H111" s="63"/>
      <c r="I111" s="64"/>
    </row>
    <row r="112" spans="2:9" s="67" customFormat="1" ht="14.25">
      <c r="B112" s="67" t="s">
        <v>89</v>
      </c>
      <c r="C112" s="67" t="s">
        <v>90</v>
      </c>
      <c r="D112" s="67" t="s">
        <v>6</v>
      </c>
      <c r="E112" s="67">
        <v>0.927</v>
      </c>
      <c r="F112" s="68">
        <f>TRUNC(15.69,2)</f>
        <v>15.69</v>
      </c>
      <c r="G112" s="63">
        <f>TRUNC(E112*F112,2)</f>
        <v>14.54</v>
      </c>
      <c r="H112" s="63"/>
      <c r="I112" s="64"/>
    </row>
    <row r="113" spans="5:9" s="67" customFormat="1" ht="14.25">
      <c r="E113" s="67" t="s">
        <v>7</v>
      </c>
      <c r="F113" s="68"/>
      <c r="G113" s="63">
        <f>TRUNC(SUM(G110:G112),2)</f>
        <v>68.45</v>
      </c>
      <c r="H113" s="63"/>
      <c r="I113" s="64"/>
    </row>
    <row r="114" spans="1:10" s="44" customFormat="1" ht="15.75">
      <c r="A114" s="53" t="s">
        <v>44</v>
      </c>
      <c r="B114" s="55"/>
      <c r="C114" s="54"/>
      <c r="D114" s="55"/>
      <c r="E114" s="55"/>
      <c r="F114" s="55"/>
      <c r="G114" s="55" t="s">
        <v>83</v>
      </c>
      <c r="H114" s="56">
        <f>H100+H92+H85+H76+H109</f>
        <v>15198.250000000002</v>
      </c>
      <c r="I114" s="56">
        <f>I100+I92+I85+I76+I109</f>
        <v>18611.23</v>
      </c>
      <c r="J114" s="83"/>
    </row>
    <row r="115" spans="1:9" s="43" customFormat="1" ht="15.75">
      <c r="A115" s="43" t="s">
        <v>17</v>
      </c>
      <c r="B115" s="51"/>
      <c r="C115" s="52" t="s">
        <v>171</v>
      </c>
      <c r="D115" s="52"/>
      <c r="E115" s="52"/>
      <c r="F115" s="52"/>
      <c r="G115" s="52"/>
      <c r="H115" s="52"/>
      <c r="I115" s="50"/>
    </row>
    <row r="116" spans="1:9" s="157" customFormat="1" ht="71.25">
      <c r="A116" s="157" t="s">
        <v>45</v>
      </c>
      <c r="B116" s="157" t="s">
        <v>493</v>
      </c>
      <c r="C116" s="157" t="s">
        <v>322</v>
      </c>
      <c r="D116" s="157" t="s">
        <v>12</v>
      </c>
      <c r="E116" s="157">
        <v>2</v>
      </c>
      <c r="F116" s="158">
        <f>TRUNC(G119,2)</f>
        <v>242.6</v>
      </c>
      <c r="G116" s="137">
        <f>TRUNC(F116*1.2247,2)</f>
        <v>297.11</v>
      </c>
      <c r="H116" s="137">
        <f>TRUNC(F116*E116,2)</f>
        <v>485.2</v>
      </c>
      <c r="I116" s="138">
        <f>TRUNC(E116*G116,2)</f>
        <v>594.22</v>
      </c>
    </row>
    <row r="117" spans="2:9" s="67" customFormat="1" ht="28.5">
      <c r="B117" s="67" t="s">
        <v>323</v>
      </c>
      <c r="C117" s="67" t="s">
        <v>324</v>
      </c>
      <c r="D117" s="67" t="s">
        <v>12</v>
      </c>
      <c r="E117" s="67">
        <v>1</v>
      </c>
      <c r="F117" s="68">
        <f>TRUNC(231.59,2)</f>
        <v>231.59</v>
      </c>
      <c r="G117" s="63">
        <f>TRUNC(E117*F117,2)</f>
        <v>231.59</v>
      </c>
      <c r="H117" s="63"/>
      <c r="I117" s="64"/>
    </row>
    <row r="118" spans="2:9" s="67" customFormat="1" ht="14.25">
      <c r="B118" s="67" t="s">
        <v>176</v>
      </c>
      <c r="C118" s="67" t="s">
        <v>177</v>
      </c>
      <c r="D118" s="67" t="s">
        <v>12</v>
      </c>
      <c r="E118" s="67">
        <v>3</v>
      </c>
      <c r="F118" s="68">
        <f>TRUNC(3.67,2)</f>
        <v>3.67</v>
      </c>
      <c r="G118" s="63">
        <f>TRUNC(E118*F118,2)</f>
        <v>11.01</v>
      </c>
      <c r="H118" s="63"/>
      <c r="I118" s="64"/>
    </row>
    <row r="119" spans="5:9" s="67" customFormat="1" ht="14.25">
      <c r="E119" s="67" t="s">
        <v>7</v>
      </c>
      <c r="F119" s="68"/>
      <c r="G119" s="63">
        <f>TRUNC(SUM(G117:G118),2)</f>
        <v>242.6</v>
      </c>
      <c r="H119" s="63"/>
      <c r="I119" s="64"/>
    </row>
    <row r="120" spans="1:9" s="157" customFormat="1" ht="28.5">
      <c r="A120" s="157" t="s">
        <v>580</v>
      </c>
      <c r="B120" s="157" t="s">
        <v>557</v>
      </c>
      <c r="C120" s="157" t="s">
        <v>558</v>
      </c>
      <c r="D120" s="157" t="s">
        <v>12</v>
      </c>
      <c r="E120" s="157">
        <v>2</v>
      </c>
      <c r="F120" s="158">
        <f>TRUNC(G124,2)</f>
        <v>144.11</v>
      </c>
      <c r="G120" s="137">
        <f>TRUNC(F120*1.2247,2)</f>
        <v>176.49</v>
      </c>
      <c r="H120" s="137">
        <f>TRUNC(F120*E120,2)</f>
        <v>288.22</v>
      </c>
      <c r="I120" s="138">
        <f>TRUNC(E120*G120,2)</f>
        <v>352.98</v>
      </c>
    </row>
    <row r="121" spans="2:9" s="67" customFormat="1" ht="14.25">
      <c r="B121" s="67" t="s">
        <v>655</v>
      </c>
      <c r="C121" s="67" t="s">
        <v>656</v>
      </c>
      <c r="D121" s="67" t="s">
        <v>12</v>
      </c>
      <c r="E121" s="67">
        <v>1</v>
      </c>
      <c r="F121" s="68">
        <f>TRUNC(84.41,2)</f>
        <v>84.41</v>
      </c>
      <c r="G121" s="63">
        <f>TRUNC(E121*F121,2)</f>
        <v>84.41</v>
      </c>
      <c r="H121" s="63"/>
      <c r="I121" s="64"/>
    </row>
    <row r="122" spans="2:9" s="67" customFormat="1" ht="14.25">
      <c r="B122" s="67" t="s">
        <v>498</v>
      </c>
      <c r="C122" s="67" t="s">
        <v>499</v>
      </c>
      <c r="D122" s="67" t="s">
        <v>6</v>
      </c>
      <c r="E122" s="67">
        <v>1.53058</v>
      </c>
      <c r="F122" s="68">
        <f>TRUNC(23.32,2)</f>
        <v>23.32</v>
      </c>
      <c r="G122" s="63">
        <f>TRUNC(E122*F122,2)</f>
        <v>35.69</v>
      </c>
      <c r="H122" s="63"/>
      <c r="I122" s="64"/>
    </row>
    <row r="123" spans="2:9" s="67" customFormat="1" ht="14.25">
      <c r="B123" s="67" t="s">
        <v>89</v>
      </c>
      <c r="C123" s="67" t="s">
        <v>90</v>
      </c>
      <c r="D123" s="67" t="s">
        <v>6</v>
      </c>
      <c r="E123" s="67">
        <v>1.53058</v>
      </c>
      <c r="F123" s="68">
        <f>TRUNC(15.69,2)</f>
        <v>15.69</v>
      </c>
      <c r="G123" s="63">
        <f>TRUNC(E123*F123,2)</f>
        <v>24.01</v>
      </c>
      <c r="H123" s="63"/>
      <c r="I123" s="64"/>
    </row>
    <row r="124" spans="5:9" s="67" customFormat="1" ht="14.25">
      <c r="E124" s="67" t="s">
        <v>7</v>
      </c>
      <c r="F124" s="68"/>
      <c r="G124" s="63">
        <f>TRUNC(SUM(G121:G123),2)</f>
        <v>144.11</v>
      </c>
      <c r="H124" s="63"/>
      <c r="I124" s="64"/>
    </row>
    <row r="125" spans="1:9" s="157" customFormat="1" ht="28.5">
      <c r="A125" s="157" t="s">
        <v>581</v>
      </c>
      <c r="B125" s="157" t="s">
        <v>657</v>
      </c>
      <c r="C125" s="157" t="s">
        <v>560</v>
      </c>
      <c r="D125" s="157" t="s">
        <v>12</v>
      </c>
      <c r="E125" s="157">
        <v>6</v>
      </c>
      <c r="F125" s="158">
        <f>TRUNC(G129,2)</f>
        <v>118.17</v>
      </c>
      <c r="G125" s="137">
        <f>TRUNC(F125*1.2247,2)</f>
        <v>144.72</v>
      </c>
      <c r="H125" s="137">
        <f>TRUNC(F125*E125,2)</f>
        <v>709.02</v>
      </c>
      <c r="I125" s="138">
        <f>TRUNC(E125*G125,2)</f>
        <v>868.32</v>
      </c>
    </row>
    <row r="126" spans="2:9" s="67" customFormat="1" ht="14.25">
      <c r="B126" s="67" t="s">
        <v>561</v>
      </c>
      <c r="C126" s="67" t="s">
        <v>562</v>
      </c>
      <c r="D126" s="67" t="s">
        <v>12</v>
      </c>
      <c r="E126" s="67">
        <v>1</v>
      </c>
      <c r="F126" s="68">
        <f>TRUNC(69.96,2)</f>
        <v>69.96</v>
      </c>
      <c r="G126" s="63">
        <f>TRUNC(E126*F126,2)</f>
        <v>69.96</v>
      </c>
      <c r="H126" s="63"/>
      <c r="I126" s="64"/>
    </row>
    <row r="127" spans="2:9" s="67" customFormat="1" ht="14.25">
      <c r="B127" s="67" t="s">
        <v>89</v>
      </c>
      <c r="C127" s="67" t="s">
        <v>90</v>
      </c>
      <c r="D127" s="67" t="s">
        <v>6</v>
      </c>
      <c r="E127" s="67">
        <v>1.236</v>
      </c>
      <c r="F127" s="68">
        <f>TRUNC(15.69,2)</f>
        <v>15.69</v>
      </c>
      <c r="G127" s="63">
        <f>TRUNC(E127*F127,2)</f>
        <v>19.39</v>
      </c>
      <c r="H127" s="63"/>
      <c r="I127" s="64"/>
    </row>
    <row r="128" spans="2:9" s="67" customFormat="1" ht="14.25">
      <c r="B128" s="67" t="s">
        <v>91</v>
      </c>
      <c r="C128" s="67" t="s">
        <v>92</v>
      </c>
      <c r="D128" s="67" t="s">
        <v>6</v>
      </c>
      <c r="E128" s="67">
        <v>1.236</v>
      </c>
      <c r="F128" s="68">
        <f>TRUNC(23.32,2)</f>
        <v>23.32</v>
      </c>
      <c r="G128" s="63">
        <f>TRUNC(E128*F128,2)</f>
        <v>28.82</v>
      </c>
      <c r="H128" s="63"/>
      <c r="I128" s="64"/>
    </row>
    <row r="129" spans="5:9" s="67" customFormat="1" ht="14.25">
      <c r="E129" s="67" t="s">
        <v>7</v>
      </c>
      <c r="F129" s="68"/>
      <c r="G129" s="63">
        <f>TRUNC(SUM(G126:G128),2)</f>
        <v>118.17</v>
      </c>
      <c r="H129" s="63"/>
      <c r="I129" s="64"/>
    </row>
    <row r="130" spans="1:9" s="157" customFormat="1" ht="28.5">
      <c r="A130" s="157" t="s">
        <v>582</v>
      </c>
      <c r="B130" s="157" t="s">
        <v>658</v>
      </c>
      <c r="C130" s="157" t="s">
        <v>564</v>
      </c>
      <c r="D130" s="157" t="s">
        <v>12</v>
      </c>
      <c r="E130" s="157">
        <v>5</v>
      </c>
      <c r="F130" s="158">
        <f>TRUNC(G134,2)</f>
        <v>105.01</v>
      </c>
      <c r="G130" s="137">
        <f>TRUNC(F130*1.2247,2)</f>
        <v>128.6</v>
      </c>
      <c r="H130" s="137">
        <f>TRUNC(F130*E130,2)</f>
        <v>525.05</v>
      </c>
      <c r="I130" s="138">
        <f>TRUNC(E130*G130,2)</f>
        <v>643</v>
      </c>
    </row>
    <row r="131" spans="2:9" s="67" customFormat="1" ht="14.25">
      <c r="B131" s="67" t="s">
        <v>565</v>
      </c>
      <c r="C131" s="67" t="s">
        <v>566</v>
      </c>
      <c r="D131" s="67" t="s">
        <v>12</v>
      </c>
      <c r="E131" s="67">
        <v>1</v>
      </c>
      <c r="F131" s="68">
        <f>TRUNC(64.84,2)</f>
        <v>64.84</v>
      </c>
      <c r="G131" s="63">
        <f>TRUNC(E131*F131,2)</f>
        <v>64.84</v>
      </c>
      <c r="H131" s="63"/>
      <c r="I131" s="64"/>
    </row>
    <row r="132" spans="2:9" s="67" customFormat="1" ht="14.25">
      <c r="B132" s="67" t="s">
        <v>89</v>
      </c>
      <c r="C132" s="67" t="s">
        <v>90</v>
      </c>
      <c r="D132" s="67" t="s">
        <v>6</v>
      </c>
      <c r="E132" s="67">
        <v>1.03</v>
      </c>
      <c r="F132" s="68">
        <f>TRUNC(15.69,2)</f>
        <v>15.69</v>
      </c>
      <c r="G132" s="63">
        <f>TRUNC(E132*F132,2)</f>
        <v>16.16</v>
      </c>
      <c r="H132" s="63"/>
      <c r="I132" s="64"/>
    </row>
    <row r="133" spans="2:9" s="67" customFormat="1" ht="14.25">
      <c r="B133" s="67" t="s">
        <v>91</v>
      </c>
      <c r="C133" s="67" t="s">
        <v>92</v>
      </c>
      <c r="D133" s="67" t="s">
        <v>6</v>
      </c>
      <c r="E133" s="67">
        <v>1.03</v>
      </c>
      <c r="F133" s="68">
        <f>TRUNC(23.32,2)</f>
        <v>23.32</v>
      </c>
      <c r="G133" s="63">
        <f>TRUNC(E133*F133,2)</f>
        <v>24.01</v>
      </c>
      <c r="H133" s="63"/>
      <c r="I133" s="64"/>
    </row>
    <row r="134" spans="5:9" s="67" customFormat="1" ht="14.25">
      <c r="E134" s="67" t="s">
        <v>7</v>
      </c>
      <c r="F134" s="68"/>
      <c r="G134" s="63">
        <f>TRUNC(SUM(G131:G133),2)</f>
        <v>105.01</v>
      </c>
      <c r="H134" s="63"/>
      <c r="I134" s="64"/>
    </row>
    <row r="135" spans="1:9" s="157" customFormat="1" ht="42.75">
      <c r="A135" s="157" t="s">
        <v>583</v>
      </c>
      <c r="B135" s="157" t="s">
        <v>494</v>
      </c>
      <c r="C135" s="157" t="s">
        <v>312</v>
      </c>
      <c r="D135" s="157" t="s">
        <v>12</v>
      </c>
      <c r="E135" s="157">
        <v>1</v>
      </c>
      <c r="F135" s="158">
        <f>TRUNC(G143,2)</f>
        <v>441.31</v>
      </c>
      <c r="G135" s="137">
        <f>TRUNC(F135*1.2247,2)</f>
        <v>540.47</v>
      </c>
      <c r="H135" s="137">
        <f>TRUNC(F135*E135,2)</f>
        <v>441.31</v>
      </c>
      <c r="I135" s="138">
        <f>TRUNC(E135*G135,2)</f>
        <v>540.47</v>
      </c>
    </row>
    <row r="136" spans="2:9" s="67" customFormat="1" ht="14.25">
      <c r="B136" s="67" t="s">
        <v>172</v>
      </c>
      <c r="C136" s="67" t="s">
        <v>173</v>
      </c>
      <c r="D136" s="67" t="s">
        <v>3</v>
      </c>
      <c r="E136" s="67">
        <v>10.6</v>
      </c>
      <c r="F136" s="68">
        <f>TRUNC(3.27,2)</f>
        <v>3.27</v>
      </c>
      <c r="G136" s="63">
        <f aca="true" t="shared" si="4" ref="G136:G142">TRUNC(E136*F136,2)</f>
        <v>34.66</v>
      </c>
      <c r="H136" s="63"/>
      <c r="I136" s="64"/>
    </row>
    <row r="137" spans="2:9" s="67" customFormat="1" ht="14.25">
      <c r="B137" s="67" t="s">
        <v>174</v>
      </c>
      <c r="C137" s="67" t="s">
        <v>175</v>
      </c>
      <c r="D137" s="67" t="s">
        <v>3</v>
      </c>
      <c r="E137" s="67">
        <v>5.3</v>
      </c>
      <c r="F137" s="68">
        <f>TRUNC(16.3,2)</f>
        <v>16.3</v>
      </c>
      <c r="G137" s="63">
        <f t="shared" si="4"/>
        <v>86.39</v>
      </c>
      <c r="H137" s="63"/>
      <c r="I137" s="64"/>
    </row>
    <row r="138" spans="2:9" s="67" customFormat="1" ht="14.25">
      <c r="B138" s="67" t="s">
        <v>313</v>
      </c>
      <c r="C138" s="67" t="s">
        <v>314</v>
      </c>
      <c r="D138" s="67" t="s">
        <v>12</v>
      </c>
      <c r="E138" s="67">
        <v>1</v>
      </c>
      <c r="F138" s="68">
        <f>TRUNC(71.07,2)</f>
        <v>71.07</v>
      </c>
      <c r="G138" s="63">
        <f t="shared" si="4"/>
        <v>71.07</v>
      </c>
      <c r="H138" s="63"/>
      <c r="I138" s="64"/>
    </row>
    <row r="139" spans="2:9" s="67" customFormat="1" ht="28.5">
      <c r="B139" s="67" t="s">
        <v>4</v>
      </c>
      <c r="C139" s="67" t="s">
        <v>55</v>
      </c>
      <c r="D139" s="67" t="s">
        <v>5</v>
      </c>
      <c r="E139" s="67">
        <v>0.16</v>
      </c>
      <c r="F139" s="68">
        <f>TRUNC(10.3,2)</f>
        <v>10.3</v>
      </c>
      <c r="G139" s="63">
        <f t="shared" si="4"/>
        <v>1.64</v>
      </c>
      <c r="H139" s="63"/>
      <c r="I139" s="64"/>
    </row>
    <row r="140" spans="2:9" s="67" customFormat="1" ht="14.25">
      <c r="B140" s="67" t="s">
        <v>89</v>
      </c>
      <c r="C140" s="67" t="s">
        <v>90</v>
      </c>
      <c r="D140" s="67" t="s">
        <v>6</v>
      </c>
      <c r="E140" s="67">
        <v>6.18</v>
      </c>
      <c r="F140" s="68">
        <f>TRUNC(15.69,2)</f>
        <v>15.69</v>
      </c>
      <c r="G140" s="63">
        <f t="shared" si="4"/>
        <v>96.96</v>
      </c>
      <c r="H140" s="63"/>
      <c r="I140" s="64"/>
    </row>
    <row r="141" spans="2:9" s="67" customFormat="1" ht="14.25">
      <c r="B141" s="67" t="s">
        <v>91</v>
      </c>
      <c r="C141" s="67" t="s">
        <v>92</v>
      </c>
      <c r="D141" s="67" t="s">
        <v>6</v>
      </c>
      <c r="E141" s="67">
        <v>6.18</v>
      </c>
      <c r="F141" s="68">
        <f>TRUNC(23.32,2)</f>
        <v>23.32</v>
      </c>
      <c r="G141" s="63">
        <f t="shared" si="4"/>
        <v>144.11</v>
      </c>
      <c r="H141" s="63"/>
      <c r="I141" s="64"/>
    </row>
    <row r="142" spans="2:9" s="67" customFormat="1" ht="14.25">
      <c r="B142" s="67" t="s">
        <v>491</v>
      </c>
      <c r="C142" s="67" t="s">
        <v>492</v>
      </c>
      <c r="D142" s="67" t="s">
        <v>12</v>
      </c>
      <c r="E142" s="67">
        <v>6</v>
      </c>
      <c r="F142" s="68">
        <f>TRUNC(1.0861,2)</f>
        <v>1.08</v>
      </c>
      <c r="G142" s="63">
        <f t="shared" si="4"/>
        <v>6.48</v>
      </c>
      <c r="H142" s="63"/>
      <c r="I142" s="64"/>
    </row>
    <row r="143" spans="5:9" s="67" customFormat="1" ht="14.25">
      <c r="E143" s="67" t="s">
        <v>7</v>
      </c>
      <c r="F143" s="68"/>
      <c r="G143" s="63">
        <f>TRUNC(SUM(G136:G142),2)</f>
        <v>441.31</v>
      </c>
      <c r="H143" s="63"/>
      <c r="I143" s="64"/>
    </row>
    <row r="144" spans="1:9" s="157" customFormat="1" ht="42.75">
      <c r="A144" s="157" t="s">
        <v>584</v>
      </c>
      <c r="B144" s="157" t="s">
        <v>495</v>
      </c>
      <c r="C144" s="157" t="s">
        <v>316</v>
      </c>
      <c r="D144" s="157" t="s">
        <v>12</v>
      </c>
      <c r="E144" s="157">
        <v>1</v>
      </c>
      <c r="F144" s="158">
        <f>TRUNC(G152,2)</f>
        <v>484.31</v>
      </c>
      <c r="G144" s="137">
        <f>TRUNC(F144*1.2247,2)</f>
        <v>593.13</v>
      </c>
      <c r="H144" s="137">
        <f>TRUNC(F144*E144,2)</f>
        <v>484.31</v>
      </c>
      <c r="I144" s="138">
        <f>TRUNC(E144*G144,2)</f>
        <v>593.13</v>
      </c>
    </row>
    <row r="145" spans="2:9" s="67" customFormat="1" ht="14.25">
      <c r="B145" s="67" t="s">
        <v>317</v>
      </c>
      <c r="C145" s="67" t="s">
        <v>318</v>
      </c>
      <c r="D145" s="67" t="s">
        <v>12</v>
      </c>
      <c r="E145" s="67">
        <v>1</v>
      </c>
      <c r="F145" s="68">
        <f>TRUNC(109.5,2)</f>
        <v>109.5</v>
      </c>
      <c r="G145" s="63">
        <f aca="true" t="shared" si="5" ref="G145:G151">TRUNC(E145*F145,2)</f>
        <v>109.5</v>
      </c>
      <c r="H145" s="63"/>
      <c r="I145" s="64"/>
    </row>
    <row r="146" spans="2:9" s="67" customFormat="1" ht="14.25">
      <c r="B146" s="67" t="s">
        <v>172</v>
      </c>
      <c r="C146" s="67" t="s">
        <v>173</v>
      </c>
      <c r="D146" s="67" t="s">
        <v>3</v>
      </c>
      <c r="E146" s="67">
        <v>11</v>
      </c>
      <c r="F146" s="68">
        <f>TRUNC(3.27,2)</f>
        <v>3.27</v>
      </c>
      <c r="G146" s="63">
        <f t="shared" si="5"/>
        <v>35.97</v>
      </c>
      <c r="H146" s="63"/>
      <c r="I146" s="64"/>
    </row>
    <row r="147" spans="2:9" s="67" customFormat="1" ht="14.25">
      <c r="B147" s="67" t="s">
        <v>174</v>
      </c>
      <c r="C147" s="67" t="s">
        <v>175</v>
      </c>
      <c r="D147" s="67" t="s">
        <v>3</v>
      </c>
      <c r="E147" s="67">
        <v>5.5</v>
      </c>
      <c r="F147" s="68">
        <f>TRUNC(16.3,2)</f>
        <v>16.3</v>
      </c>
      <c r="G147" s="63">
        <f t="shared" si="5"/>
        <v>89.65</v>
      </c>
      <c r="H147" s="63"/>
      <c r="I147" s="64"/>
    </row>
    <row r="148" spans="2:9" s="67" customFormat="1" ht="28.5">
      <c r="B148" s="67" t="s">
        <v>4</v>
      </c>
      <c r="C148" s="67" t="s">
        <v>55</v>
      </c>
      <c r="D148" s="67" t="s">
        <v>5</v>
      </c>
      <c r="E148" s="67">
        <v>0.16</v>
      </c>
      <c r="F148" s="68">
        <f>TRUNC(10.3,2)</f>
        <v>10.3</v>
      </c>
      <c r="G148" s="63">
        <f t="shared" si="5"/>
        <v>1.64</v>
      </c>
      <c r="H148" s="63"/>
      <c r="I148" s="64"/>
    </row>
    <row r="149" spans="2:9" s="67" customFormat="1" ht="14.25">
      <c r="B149" s="67" t="s">
        <v>89</v>
      </c>
      <c r="C149" s="67" t="s">
        <v>90</v>
      </c>
      <c r="D149" s="67" t="s">
        <v>6</v>
      </c>
      <c r="E149" s="67">
        <v>6.18</v>
      </c>
      <c r="F149" s="68">
        <f>TRUNC(15.69,2)</f>
        <v>15.69</v>
      </c>
      <c r="G149" s="63">
        <f t="shared" si="5"/>
        <v>96.96</v>
      </c>
      <c r="H149" s="63"/>
      <c r="I149" s="64"/>
    </row>
    <row r="150" spans="2:9" s="67" customFormat="1" ht="14.25">
      <c r="B150" s="67" t="s">
        <v>91</v>
      </c>
      <c r="C150" s="67" t="s">
        <v>92</v>
      </c>
      <c r="D150" s="67" t="s">
        <v>6</v>
      </c>
      <c r="E150" s="67">
        <v>6.18</v>
      </c>
      <c r="F150" s="68">
        <f>TRUNC(23.32,2)</f>
        <v>23.32</v>
      </c>
      <c r="G150" s="63">
        <f t="shared" si="5"/>
        <v>144.11</v>
      </c>
      <c r="H150" s="63"/>
      <c r="I150" s="64"/>
    </row>
    <row r="151" spans="2:9" s="67" customFormat="1" ht="14.25">
      <c r="B151" s="67" t="s">
        <v>491</v>
      </c>
      <c r="C151" s="67" t="s">
        <v>492</v>
      </c>
      <c r="D151" s="67" t="s">
        <v>12</v>
      </c>
      <c r="E151" s="67">
        <v>6</v>
      </c>
      <c r="F151" s="68">
        <f>TRUNC(1.0861,2)</f>
        <v>1.08</v>
      </c>
      <c r="G151" s="63">
        <f t="shared" si="5"/>
        <v>6.48</v>
      </c>
      <c r="H151" s="63"/>
      <c r="I151" s="64"/>
    </row>
    <row r="152" spans="5:9" s="67" customFormat="1" ht="14.25">
      <c r="E152" s="67" t="s">
        <v>7</v>
      </c>
      <c r="F152" s="68"/>
      <c r="G152" s="63">
        <f>TRUNC(SUM(G145:G151),2)</f>
        <v>484.31</v>
      </c>
      <c r="H152" s="63"/>
      <c r="I152" s="64"/>
    </row>
    <row r="153" spans="1:9" s="157" customFormat="1" ht="42.75">
      <c r="A153" s="157" t="s">
        <v>585</v>
      </c>
      <c r="B153" s="157" t="s">
        <v>500</v>
      </c>
      <c r="C153" s="157" t="s">
        <v>463</v>
      </c>
      <c r="D153" s="157" t="s">
        <v>0</v>
      </c>
      <c r="E153" s="157">
        <v>11.75</v>
      </c>
      <c r="F153" s="158">
        <f>TRUNC(G159,2)</f>
        <v>254.71</v>
      </c>
      <c r="G153" s="137">
        <f>TRUNC(F153*1.2247,2)</f>
        <v>311.94</v>
      </c>
      <c r="H153" s="137">
        <f>TRUNC(F153*E153,2)</f>
        <v>2992.84</v>
      </c>
      <c r="I153" s="138">
        <f>TRUNC(E153*G153,2)</f>
        <v>3665.29</v>
      </c>
    </row>
    <row r="154" spans="2:9" s="67" customFormat="1" ht="14.25">
      <c r="B154" s="67" t="s">
        <v>501</v>
      </c>
      <c r="C154" s="67" t="s">
        <v>465</v>
      </c>
      <c r="D154" s="67" t="s">
        <v>12</v>
      </c>
      <c r="E154" s="67">
        <v>0.6233</v>
      </c>
      <c r="F154" s="68">
        <f>TRUNC(16.1,2)</f>
        <v>16.1</v>
      </c>
      <c r="G154" s="63">
        <f>TRUNC(E154*F154,2)</f>
        <v>10.03</v>
      </c>
      <c r="H154" s="63"/>
      <c r="I154" s="64"/>
    </row>
    <row r="155" spans="2:9" s="67" customFormat="1" ht="28.5">
      <c r="B155" s="67" t="s">
        <v>502</v>
      </c>
      <c r="C155" s="67" t="s">
        <v>467</v>
      </c>
      <c r="D155" s="67" t="s">
        <v>12</v>
      </c>
      <c r="E155" s="67">
        <v>0.694</v>
      </c>
      <c r="F155" s="68">
        <f>TRUNC(321.58,2)</f>
        <v>321.58</v>
      </c>
      <c r="G155" s="63">
        <f>TRUNC(E155*F155,2)</f>
        <v>223.17</v>
      </c>
      <c r="H155" s="63"/>
      <c r="I155" s="64"/>
    </row>
    <row r="156" spans="2:9" s="67" customFormat="1" ht="28.5">
      <c r="B156" s="67" t="s">
        <v>503</v>
      </c>
      <c r="C156" s="67" t="s">
        <v>469</v>
      </c>
      <c r="D156" s="67" t="s">
        <v>12</v>
      </c>
      <c r="E156" s="67">
        <v>9.2</v>
      </c>
      <c r="F156" s="68">
        <f>TRUNC(0.12,2)</f>
        <v>0.12</v>
      </c>
      <c r="G156" s="63">
        <f>TRUNC(E156*F156,2)</f>
        <v>1.1</v>
      </c>
      <c r="H156" s="63"/>
      <c r="I156" s="64"/>
    </row>
    <row r="157" spans="2:9" s="67" customFormat="1" ht="14.25">
      <c r="B157" s="67" t="s">
        <v>496</v>
      </c>
      <c r="C157" s="67" t="s">
        <v>78</v>
      </c>
      <c r="D157" s="67" t="s">
        <v>6</v>
      </c>
      <c r="E157" s="67">
        <v>0.259</v>
      </c>
      <c r="F157" s="68">
        <f>TRUNC(22.26,2)</f>
        <v>22.26</v>
      </c>
      <c r="G157" s="63">
        <f>TRUNC(E157*F157,2)</f>
        <v>5.76</v>
      </c>
      <c r="H157" s="63"/>
      <c r="I157" s="64"/>
    </row>
    <row r="158" spans="2:9" s="67" customFormat="1" ht="14.25">
      <c r="B158" s="67" t="s">
        <v>497</v>
      </c>
      <c r="C158" s="67" t="s">
        <v>105</v>
      </c>
      <c r="D158" s="67" t="s">
        <v>6</v>
      </c>
      <c r="E158" s="67">
        <v>0.519</v>
      </c>
      <c r="F158" s="68">
        <f>TRUNC(28.24,2)</f>
        <v>28.24</v>
      </c>
      <c r="G158" s="63">
        <f>TRUNC(E158*F158,2)</f>
        <v>14.65</v>
      </c>
      <c r="H158" s="63"/>
      <c r="I158" s="64"/>
    </row>
    <row r="159" spans="5:9" s="67" customFormat="1" ht="14.25">
      <c r="E159" s="67" t="s">
        <v>7</v>
      </c>
      <c r="F159" s="68"/>
      <c r="G159" s="63">
        <f>TRUNC(SUM(G154:G158),2)</f>
        <v>254.71</v>
      </c>
      <c r="H159" s="63"/>
      <c r="I159" s="64"/>
    </row>
    <row r="160" spans="1:9" s="157" customFormat="1" ht="42.75">
      <c r="A160" s="157" t="s">
        <v>586</v>
      </c>
      <c r="B160" s="157" t="s">
        <v>504</v>
      </c>
      <c r="C160" s="157" t="s">
        <v>471</v>
      </c>
      <c r="D160" s="157" t="s">
        <v>0</v>
      </c>
      <c r="E160" s="157">
        <v>4.25</v>
      </c>
      <c r="F160" s="158">
        <f>TRUNC(G165,2)</f>
        <v>365.89</v>
      </c>
      <c r="G160" s="137">
        <f>TRUNC(F160*1.2247,2)</f>
        <v>448.1</v>
      </c>
      <c r="H160" s="137">
        <f>TRUNC(F160*E160,2)</f>
        <v>1555.03</v>
      </c>
      <c r="I160" s="138">
        <f>TRUNC(E160*G160,2)</f>
        <v>1904.42</v>
      </c>
    </row>
    <row r="161" spans="2:9" s="67" customFormat="1" ht="14.25">
      <c r="B161" s="67" t="s">
        <v>178</v>
      </c>
      <c r="C161" s="67" t="s">
        <v>179</v>
      </c>
      <c r="D161" s="67" t="s">
        <v>5</v>
      </c>
      <c r="E161" s="67">
        <v>12.177</v>
      </c>
      <c r="F161" s="68">
        <f>TRUNC(20.15,2)</f>
        <v>20.15</v>
      </c>
      <c r="G161" s="63">
        <f>TRUNC(E161*F161,2)</f>
        <v>245.36</v>
      </c>
      <c r="H161" s="63"/>
      <c r="I161" s="64"/>
    </row>
    <row r="162" spans="2:9" s="76" customFormat="1" ht="15">
      <c r="B162" s="76" t="s">
        <v>180</v>
      </c>
      <c r="C162" s="76" t="s">
        <v>181</v>
      </c>
      <c r="D162" s="76" t="s">
        <v>0</v>
      </c>
      <c r="E162" s="76">
        <v>1</v>
      </c>
      <c r="F162" s="79">
        <v>142</v>
      </c>
      <c r="G162" s="77"/>
      <c r="H162" s="77"/>
      <c r="I162" s="78"/>
    </row>
    <row r="163" spans="2:9" s="67" customFormat="1" ht="14.25">
      <c r="B163" s="67" t="s">
        <v>498</v>
      </c>
      <c r="C163" s="67" t="s">
        <v>499</v>
      </c>
      <c r="D163" s="67" t="s">
        <v>6</v>
      </c>
      <c r="E163" s="67">
        <v>3.09</v>
      </c>
      <c r="F163" s="68">
        <f>TRUNC(23.32,2)</f>
        <v>23.32</v>
      </c>
      <c r="G163" s="63">
        <f>TRUNC(E163*F163,2)</f>
        <v>72.05</v>
      </c>
      <c r="H163" s="63"/>
      <c r="I163" s="64"/>
    </row>
    <row r="164" spans="2:9" s="67" customFormat="1" ht="14.25">
      <c r="B164" s="67" t="s">
        <v>89</v>
      </c>
      <c r="C164" s="67" t="s">
        <v>90</v>
      </c>
      <c r="D164" s="67" t="s">
        <v>6</v>
      </c>
      <c r="E164" s="67">
        <v>3.09</v>
      </c>
      <c r="F164" s="68">
        <f>TRUNC(15.69,2)</f>
        <v>15.69</v>
      </c>
      <c r="G164" s="63">
        <f>TRUNC(E164*F164,2)</f>
        <v>48.48</v>
      </c>
      <c r="H164" s="63"/>
      <c r="I164" s="64"/>
    </row>
    <row r="165" spans="5:9" s="67" customFormat="1" ht="14.25">
      <c r="E165" s="67" t="s">
        <v>7</v>
      </c>
      <c r="F165" s="68"/>
      <c r="G165" s="63">
        <f>TRUNC(SUM(G161:G164),2)</f>
        <v>365.89</v>
      </c>
      <c r="H165" s="63"/>
      <c r="I165" s="64"/>
    </row>
    <row r="166" spans="1:9" s="157" customFormat="1" ht="42.75">
      <c r="A166" s="157" t="s">
        <v>587</v>
      </c>
      <c r="B166" s="157" t="s">
        <v>505</v>
      </c>
      <c r="C166" s="157" t="s">
        <v>442</v>
      </c>
      <c r="D166" s="157" t="s">
        <v>0</v>
      </c>
      <c r="E166" s="157">
        <v>26.15</v>
      </c>
      <c r="F166" s="158">
        <f>TRUNC(G170,2)</f>
        <v>186.28</v>
      </c>
      <c r="G166" s="137">
        <f>TRUNC(F166*1.2247,2)</f>
        <v>228.13</v>
      </c>
      <c r="H166" s="137">
        <f>TRUNC(F166*E166,2)</f>
        <v>4871.22</v>
      </c>
      <c r="I166" s="138">
        <f>TRUNC(E166*G166,2)</f>
        <v>5965.59</v>
      </c>
    </row>
    <row r="167" spans="2:9" s="67" customFormat="1" ht="14.25">
      <c r="B167" s="67" t="s">
        <v>443</v>
      </c>
      <c r="C167" s="67" t="s">
        <v>444</v>
      </c>
      <c r="D167" s="67" t="s">
        <v>0</v>
      </c>
      <c r="E167" s="67">
        <v>1</v>
      </c>
      <c r="F167" s="68">
        <f>TRUNC(77,2)</f>
        <v>77</v>
      </c>
      <c r="G167" s="63">
        <f>TRUNC(E167*F167,2)</f>
        <v>77</v>
      </c>
      <c r="H167" s="63"/>
      <c r="I167" s="64"/>
    </row>
    <row r="168" spans="2:9" s="67" customFormat="1" ht="14.25">
      <c r="B168" s="67" t="s">
        <v>89</v>
      </c>
      <c r="C168" s="67" t="s">
        <v>90</v>
      </c>
      <c r="D168" s="67" t="s">
        <v>6</v>
      </c>
      <c r="E168" s="67">
        <v>4.12</v>
      </c>
      <c r="F168" s="68">
        <f>TRUNC(15.69,2)</f>
        <v>15.69</v>
      </c>
      <c r="G168" s="63">
        <f>TRUNC(E168*F168,2)</f>
        <v>64.64</v>
      </c>
      <c r="H168" s="63"/>
      <c r="I168" s="64"/>
    </row>
    <row r="169" spans="2:9" s="67" customFormat="1" ht="14.25">
      <c r="B169" s="67" t="s">
        <v>93</v>
      </c>
      <c r="C169" s="67" t="s">
        <v>94</v>
      </c>
      <c r="D169" s="67" t="s">
        <v>6</v>
      </c>
      <c r="E169" s="67">
        <v>2.06</v>
      </c>
      <c r="F169" s="68">
        <f>TRUNC(21.67,2)</f>
        <v>21.67</v>
      </c>
      <c r="G169" s="63">
        <f>TRUNC(E169*F169,2)</f>
        <v>44.64</v>
      </c>
      <c r="H169" s="63"/>
      <c r="I169" s="64"/>
    </row>
    <row r="170" spans="5:9" s="67" customFormat="1" ht="14.25">
      <c r="E170" s="67" t="s">
        <v>7</v>
      </c>
      <c r="F170" s="68"/>
      <c r="G170" s="63">
        <f>TRUNC(SUM(G167:G169),2)</f>
        <v>186.28</v>
      </c>
      <c r="H170" s="63"/>
      <c r="I170" s="64"/>
    </row>
    <row r="171" spans="1:9" s="44" customFormat="1" ht="15.75">
      <c r="A171" s="53" t="s">
        <v>44</v>
      </c>
      <c r="B171" s="55"/>
      <c r="C171" s="54"/>
      <c r="D171" s="55"/>
      <c r="E171" s="55"/>
      <c r="F171" s="55"/>
      <c r="G171" s="55" t="s">
        <v>46</v>
      </c>
      <c r="H171" s="58">
        <f>H166+H160+H153+H144+H135+H116+H130+H125+H120</f>
        <v>12352.199999999999</v>
      </c>
      <c r="I171" s="58">
        <f>I166+I160+I153+I144+I135+I116+I130+I125+I120</f>
        <v>15127.419999999996</v>
      </c>
    </row>
    <row r="172" spans="1:9" s="43" customFormat="1" ht="15.75">
      <c r="A172" s="43" t="s">
        <v>18</v>
      </c>
      <c r="B172" s="51"/>
      <c r="C172" s="52" t="s">
        <v>53</v>
      </c>
      <c r="D172" s="52"/>
      <c r="E172" s="52"/>
      <c r="F172" s="52"/>
      <c r="G172" s="52"/>
      <c r="H172" s="52"/>
      <c r="I172" s="50"/>
    </row>
    <row r="173" spans="1:9" s="157" customFormat="1" ht="71.25">
      <c r="A173" s="157" t="s">
        <v>13</v>
      </c>
      <c r="B173" s="157" t="s">
        <v>506</v>
      </c>
      <c r="C173" s="157" t="s">
        <v>117</v>
      </c>
      <c r="D173" s="157" t="s">
        <v>0</v>
      </c>
      <c r="E173" s="157">
        <v>146.85</v>
      </c>
      <c r="F173" s="158">
        <f>TRUNC(G179,2)</f>
        <v>15.83</v>
      </c>
      <c r="G173" s="137">
        <f>TRUNC(F173*1.2247,2)</f>
        <v>19.38</v>
      </c>
      <c r="H173" s="137">
        <f>TRUNC(F173*E173,2)</f>
        <v>2324.63</v>
      </c>
      <c r="I173" s="138">
        <f>TRUNC(E173*G173,2)</f>
        <v>2845.95</v>
      </c>
    </row>
    <row r="174" spans="2:9" s="67" customFormat="1" ht="14.25">
      <c r="B174" s="67" t="s">
        <v>112</v>
      </c>
      <c r="C174" s="67" t="s">
        <v>113</v>
      </c>
      <c r="D174" s="67" t="s">
        <v>12</v>
      </c>
      <c r="E174" s="67">
        <v>0.5</v>
      </c>
      <c r="F174" s="68">
        <f>TRUNC(0.72,2)</f>
        <v>0.72</v>
      </c>
      <c r="G174" s="63">
        <f>TRUNC(E174*F174,2)</f>
        <v>0.36</v>
      </c>
      <c r="H174" s="63"/>
      <c r="I174" s="64"/>
    </row>
    <row r="175" spans="2:9" s="67" customFormat="1" ht="14.25">
      <c r="B175" s="67" t="s">
        <v>114</v>
      </c>
      <c r="C175" s="67" t="s">
        <v>115</v>
      </c>
      <c r="D175" s="67" t="s">
        <v>43</v>
      </c>
      <c r="E175" s="67">
        <v>0.04</v>
      </c>
      <c r="F175" s="68">
        <f>TRUNC(14.51,2)</f>
        <v>14.51</v>
      </c>
      <c r="G175" s="63">
        <f>TRUNC(E175*F175,2)</f>
        <v>0.58</v>
      </c>
      <c r="H175" s="63"/>
      <c r="I175" s="64"/>
    </row>
    <row r="176" spans="2:9" s="67" customFormat="1" ht="28.5">
      <c r="B176" s="67" t="s">
        <v>118</v>
      </c>
      <c r="C176" s="67" t="s">
        <v>119</v>
      </c>
      <c r="D176" s="67" t="s">
        <v>12</v>
      </c>
      <c r="E176" s="67">
        <v>0.012</v>
      </c>
      <c r="F176" s="68">
        <f>TRUNC(355.25,2)</f>
        <v>355.25</v>
      </c>
      <c r="G176" s="63">
        <f>TRUNC(E176*F176,2)</f>
        <v>4.26</v>
      </c>
      <c r="H176" s="63"/>
      <c r="I176" s="64"/>
    </row>
    <row r="177" spans="2:9" s="67" customFormat="1" ht="14.25">
      <c r="B177" s="67" t="s">
        <v>89</v>
      </c>
      <c r="C177" s="67" t="s">
        <v>90</v>
      </c>
      <c r="D177" s="67" t="s">
        <v>6</v>
      </c>
      <c r="E177" s="67">
        <v>0.18025</v>
      </c>
      <c r="F177" s="68">
        <f>TRUNC(15.69,2)</f>
        <v>15.69</v>
      </c>
      <c r="G177" s="63">
        <f>TRUNC(E177*F177,2)</f>
        <v>2.82</v>
      </c>
      <c r="H177" s="63"/>
      <c r="I177" s="64"/>
    </row>
    <row r="178" spans="2:9" s="67" customFormat="1" ht="14.25">
      <c r="B178" s="67" t="s">
        <v>95</v>
      </c>
      <c r="C178" s="67" t="s">
        <v>96</v>
      </c>
      <c r="D178" s="67" t="s">
        <v>6</v>
      </c>
      <c r="E178" s="67">
        <v>0.3605</v>
      </c>
      <c r="F178" s="68">
        <f>TRUNC(21.67,2)</f>
        <v>21.67</v>
      </c>
      <c r="G178" s="63">
        <f>TRUNC(E178*F178,2)</f>
        <v>7.81</v>
      </c>
      <c r="H178" s="63"/>
      <c r="I178" s="64"/>
    </row>
    <row r="179" spans="5:9" s="67" customFormat="1" ht="14.25">
      <c r="E179" s="67" t="s">
        <v>7</v>
      </c>
      <c r="F179" s="68"/>
      <c r="G179" s="63">
        <f>TRUNC(SUM(G174:G178),2)</f>
        <v>15.83</v>
      </c>
      <c r="H179" s="63"/>
      <c r="I179" s="64"/>
    </row>
    <row r="180" spans="1:9" s="157" customFormat="1" ht="71.25">
      <c r="A180" s="157" t="s">
        <v>588</v>
      </c>
      <c r="B180" s="157" t="s">
        <v>507</v>
      </c>
      <c r="C180" s="157" t="s">
        <v>232</v>
      </c>
      <c r="D180" s="157" t="s">
        <v>0</v>
      </c>
      <c r="E180" s="157">
        <v>8.52</v>
      </c>
      <c r="F180" s="158">
        <f>TRUNC(G186,2)</f>
        <v>64.78</v>
      </c>
      <c r="G180" s="137">
        <f>TRUNC(F180*1.2247,2)</f>
        <v>79.33</v>
      </c>
      <c r="H180" s="137">
        <f>TRUNC(F180*E180,2)</f>
        <v>551.92</v>
      </c>
      <c r="I180" s="138">
        <f>TRUNC(E180*G180,2)</f>
        <v>675.89</v>
      </c>
    </row>
    <row r="181" spans="2:9" s="67" customFormat="1" ht="14.25">
      <c r="B181" s="67" t="s">
        <v>233</v>
      </c>
      <c r="C181" s="67" t="s">
        <v>234</v>
      </c>
      <c r="D181" s="67" t="s">
        <v>5</v>
      </c>
      <c r="E181" s="67">
        <v>2</v>
      </c>
      <c r="F181" s="68">
        <f>TRUNC(2.64,2)</f>
        <v>2.64</v>
      </c>
      <c r="G181" s="63">
        <f>TRUNC(E181*F181,2)</f>
        <v>5.28</v>
      </c>
      <c r="H181" s="63"/>
      <c r="I181" s="64"/>
    </row>
    <row r="182" spans="2:9" s="67" customFormat="1" ht="28.5">
      <c r="B182" s="67" t="s">
        <v>235</v>
      </c>
      <c r="C182" s="67" t="s">
        <v>236</v>
      </c>
      <c r="D182" s="67" t="s">
        <v>5</v>
      </c>
      <c r="E182" s="67">
        <v>3</v>
      </c>
      <c r="F182" s="68">
        <f>TRUNC(7.47,2)</f>
        <v>7.47</v>
      </c>
      <c r="G182" s="63">
        <f>TRUNC(E182*F182,2)</f>
        <v>22.41</v>
      </c>
      <c r="H182" s="63"/>
      <c r="I182" s="64"/>
    </row>
    <row r="183" spans="2:9" s="67" customFormat="1" ht="14.25">
      <c r="B183" s="67" t="s">
        <v>237</v>
      </c>
      <c r="C183" s="67" t="s">
        <v>238</v>
      </c>
      <c r="D183" s="67" t="s">
        <v>0</v>
      </c>
      <c r="E183" s="67">
        <v>1.1</v>
      </c>
      <c r="F183" s="68">
        <f>TRUNC(2.8,2)</f>
        <v>2.8</v>
      </c>
      <c r="G183" s="63">
        <f>TRUNC(E183*F183,2)</f>
        <v>3.08</v>
      </c>
      <c r="H183" s="63"/>
      <c r="I183" s="64"/>
    </row>
    <row r="184" spans="2:9" s="67" customFormat="1" ht="14.25">
      <c r="B184" s="67" t="s">
        <v>508</v>
      </c>
      <c r="C184" s="67" t="s">
        <v>509</v>
      </c>
      <c r="D184" s="67" t="s">
        <v>6</v>
      </c>
      <c r="E184" s="67">
        <v>0.8240000000000001</v>
      </c>
      <c r="F184" s="68">
        <f>TRUNC(21.67,2)</f>
        <v>21.67</v>
      </c>
      <c r="G184" s="63">
        <f>TRUNC(E184*F184,2)</f>
        <v>17.85</v>
      </c>
      <c r="H184" s="63"/>
      <c r="I184" s="64"/>
    </row>
    <row r="185" spans="2:9" s="67" customFormat="1" ht="14.25">
      <c r="B185" s="67" t="s">
        <v>89</v>
      </c>
      <c r="C185" s="67" t="s">
        <v>90</v>
      </c>
      <c r="D185" s="67" t="s">
        <v>6</v>
      </c>
      <c r="E185" s="67">
        <v>1.03</v>
      </c>
      <c r="F185" s="68">
        <f>TRUNC(15.69,2)</f>
        <v>15.69</v>
      </c>
      <c r="G185" s="63">
        <f>TRUNC(E185*F185,2)</f>
        <v>16.16</v>
      </c>
      <c r="H185" s="63"/>
      <c r="I185" s="64"/>
    </row>
    <row r="186" spans="5:9" s="67" customFormat="1" ht="14.25">
      <c r="E186" s="67" t="s">
        <v>7</v>
      </c>
      <c r="F186" s="68"/>
      <c r="G186" s="63">
        <f>TRUNC(SUM(G181:G185),2)</f>
        <v>64.78</v>
      </c>
      <c r="H186" s="63"/>
      <c r="I186" s="64"/>
    </row>
    <row r="187" spans="1:9" s="44" customFormat="1" ht="15.75">
      <c r="A187" s="53" t="s">
        <v>44</v>
      </c>
      <c r="B187" s="55"/>
      <c r="C187" s="54"/>
      <c r="D187" s="55"/>
      <c r="E187" s="55"/>
      <c r="F187" s="55" t="s">
        <v>48</v>
      </c>
      <c r="G187" s="55"/>
      <c r="H187" s="57">
        <f>H180+H173</f>
        <v>2876.55</v>
      </c>
      <c r="I187" s="57">
        <f>I180+I173</f>
        <v>3521.8399999999997</v>
      </c>
    </row>
    <row r="188" spans="1:9" s="43" customFormat="1" ht="15.75">
      <c r="A188" s="43" t="s">
        <v>19</v>
      </c>
      <c r="B188" s="51"/>
      <c r="C188" s="52" t="s">
        <v>221</v>
      </c>
      <c r="D188" s="52"/>
      <c r="E188" s="52"/>
      <c r="F188" s="52"/>
      <c r="G188" s="52"/>
      <c r="H188" s="52"/>
      <c r="I188" s="50"/>
    </row>
    <row r="189" spans="1:9" s="157" customFormat="1" ht="42.75">
      <c r="A189" s="157" t="s">
        <v>84</v>
      </c>
      <c r="B189" s="157" t="s">
        <v>510</v>
      </c>
      <c r="C189" s="157" t="s">
        <v>184</v>
      </c>
      <c r="D189" s="157" t="s">
        <v>12</v>
      </c>
      <c r="E189" s="157">
        <v>4</v>
      </c>
      <c r="F189" s="158">
        <f>TRUNC(G194,2)</f>
        <v>352.54</v>
      </c>
      <c r="G189" s="137">
        <f>TRUNC(F189*1.2247,2)</f>
        <v>431.75</v>
      </c>
      <c r="H189" s="137">
        <f>TRUNC(F189*E189,2)</f>
        <v>1410.16</v>
      </c>
      <c r="I189" s="138">
        <f>TRUNC(E189*G189,2)</f>
        <v>1727</v>
      </c>
    </row>
    <row r="190" spans="2:9" s="67" customFormat="1" ht="14.25">
      <c r="B190" s="67" t="s">
        <v>457</v>
      </c>
      <c r="C190" s="67" t="s">
        <v>458</v>
      </c>
      <c r="D190" s="67" t="s">
        <v>12</v>
      </c>
      <c r="E190" s="67">
        <v>1</v>
      </c>
      <c r="F190" s="68">
        <f>TRUNC(5.5,2)</f>
        <v>5.5</v>
      </c>
      <c r="G190" s="63">
        <f>TRUNC(E190*F190,2)</f>
        <v>5.5</v>
      </c>
      <c r="H190" s="63"/>
      <c r="I190" s="64"/>
    </row>
    <row r="191" spans="2:9" s="67" customFormat="1" ht="14.25">
      <c r="B191" s="67" t="s">
        <v>185</v>
      </c>
      <c r="C191" s="67" t="s">
        <v>476</v>
      </c>
      <c r="D191" s="67" t="s">
        <v>12</v>
      </c>
      <c r="E191" s="67">
        <v>1</v>
      </c>
      <c r="F191" s="68">
        <f>TRUNC(334.65,2)</f>
        <v>334.65</v>
      </c>
      <c r="G191" s="63">
        <f>TRUNC(E191*F191,2)</f>
        <v>334.65</v>
      </c>
      <c r="H191" s="63"/>
      <c r="I191" s="64"/>
    </row>
    <row r="192" spans="2:9" s="67" customFormat="1" ht="14.25">
      <c r="B192" s="67" t="s">
        <v>182</v>
      </c>
      <c r="C192" s="67" t="s">
        <v>183</v>
      </c>
      <c r="D192" s="67" t="s">
        <v>12</v>
      </c>
      <c r="E192" s="67">
        <v>1</v>
      </c>
      <c r="F192" s="68">
        <f>TRUNC(1.27,2)</f>
        <v>1.27</v>
      </c>
      <c r="G192" s="63">
        <f>TRUNC(E192*F192,2)</f>
        <v>1.27</v>
      </c>
      <c r="H192" s="63"/>
      <c r="I192" s="64"/>
    </row>
    <row r="193" spans="2:9" s="67" customFormat="1" ht="14.25">
      <c r="B193" s="67" t="s">
        <v>186</v>
      </c>
      <c r="C193" s="67" t="s">
        <v>187</v>
      </c>
      <c r="D193" s="67" t="s">
        <v>12</v>
      </c>
      <c r="E193" s="67">
        <v>1</v>
      </c>
      <c r="F193" s="68">
        <f>TRUNC(11.12,2)</f>
        <v>11.12</v>
      </c>
      <c r="G193" s="63">
        <f>TRUNC(E193*F193,2)</f>
        <v>11.12</v>
      </c>
      <c r="H193" s="63"/>
      <c r="I193" s="64"/>
    </row>
    <row r="194" spans="5:9" s="67" customFormat="1" ht="14.25">
      <c r="E194" s="67" t="s">
        <v>7</v>
      </c>
      <c r="F194" s="68"/>
      <c r="G194" s="63">
        <f>TRUNC(SUM(G190:G193),2)</f>
        <v>352.54</v>
      </c>
      <c r="H194" s="63"/>
      <c r="I194" s="64"/>
    </row>
    <row r="195" spans="1:9" s="157" customFormat="1" ht="28.5">
      <c r="A195" s="157" t="s">
        <v>85</v>
      </c>
      <c r="B195" s="157" t="s">
        <v>511</v>
      </c>
      <c r="C195" s="157" t="s">
        <v>188</v>
      </c>
      <c r="D195" s="157" t="s">
        <v>12</v>
      </c>
      <c r="E195" s="157">
        <v>5</v>
      </c>
      <c r="F195" s="158">
        <f>TRUNC(G200,2)</f>
        <v>30.32</v>
      </c>
      <c r="G195" s="137">
        <f>TRUNC(F195*1.2247,2)</f>
        <v>37.13</v>
      </c>
      <c r="H195" s="137">
        <f>TRUNC(F195*E195,2)</f>
        <v>151.6</v>
      </c>
      <c r="I195" s="138">
        <f>TRUNC(E195*G195,2)</f>
        <v>185.65</v>
      </c>
    </row>
    <row r="196" spans="2:9" s="67" customFormat="1" ht="14.25">
      <c r="B196" s="67" t="s">
        <v>157</v>
      </c>
      <c r="C196" s="67" t="s">
        <v>473</v>
      </c>
      <c r="D196" s="67" t="s">
        <v>12</v>
      </c>
      <c r="E196" s="67">
        <v>1</v>
      </c>
      <c r="F196" s="68">
        <f>TRUNC(5.73,2)</f>
        <v>5.73</v>
      </c>
      <c r="G196" s="63">
        <f>TRUNC(E196*F196,2)</f>
        <v>5.73</v>
      </c>
      <c r="H196" s="63"/>
      <c r="I196" s="64"/>
    </row>
    <row r="197" spans="2:9" s="67" customFormat="1" ht="14.25">
      <c r="B197" s="67" t="s">
        <v>80</v>
      </c>
      <c r="C197" s="67" t="s">
        <v>81</v>
      </c>
      <c r="D197" s="67" t="s">
        <v>12</v>
      </c>
      <c r="E197" s="67">
        <v>0.001</v>
      </c>
      <c r="F197" s="68">
        <f>TRUNC(3.21,2)</f>
        <v>3.21</v>
      </c>
      <c r="G197" s="63">
        <f>TRUNC(E197*F197,2)</f>
        <v>0</v>
      </c>
      <c r="H197" s="63"/>
      <c r="I197" s="64"/>
    </row>
    <row r="198" spans="2:9" s="67" customFormat="1" ht="14.25">
      <c r="B198" s="67" t="s">
        <v>79</v>
      </c>
      <c r="C198" s="67" t="s">
        <v>62</v>
      </c>
      <c r="D198" s="67" t="s">
        <v>3</v>
      </c>
      <c r="E198" s="67">
        <v>1</v>
      </c>
      <c r="F198" s="68">
        <f>TRUNC(2.2782,2)</f>
        <v>2.27</v>
      </c>
      <c r="G198" s="63">
        <f>TRUNC(E198*F198,2)</f>
        <v>2.27</v>
      </c>
      <c r="H198" s="63"/>
      <c r="I198" s="64"/>
    </row>
    <row r="199" spans="2:9" s="67" customFormat="1" ht="28.5">
      <c r="B199" s="67" t="s">
        <v>155</v>
      </c>
      <c r="C199" s="67" t="s">
        <v>156</v>
      </c>
      <c r="D199" s="67" t="s">
        <v>6</v>
      </c>
      <c r="E199" s="67">
        <v>1.03</v>
      </c>
      <c r="F199" s="68">
        <f>TRUNC(21.67,2)</f>
        <v>21.67</v>
      </c>
      <c r="G199" s="63">
        <f>TRUNC(E199*F199,2)</f>
        <v>22.32</v>
      </c>
      <c r="H199" s="63"/>
      <c r="I199" s="64"/>
    </row>
    <row r="200" spans="5:9" s="67" customFormat="1" ht="14.25">
      <c r="E200" s="67" t="s">
        <v>7</v>
      </c>
      <c r="F200" s="68"/>
      <c r="G200" s="63">
        <f>TRUNC(SUM(G196:G199),2)</f>
        <v>30.32</v>
      </c>
      <c r="H200" s="63"/>
      <c r="I200" s="64"/>
    </row>
    <row r="201" spans="1:9" s="157" customFormat="1" ht="57">
      <c r="A201" s="157" t="s">
        <v>137</v>
      </c>
      <c r="B201" s="157" t="s">
        <v>512</v>
      </c>
      <c r="C201" s="157" t="s">
        <v>189</v>
      </c>
      <c r="D201" s="157" t="s">
        <v>12</v>
      </c>
      <c r="E201" s="157">
        <v>1</v>
      </c>
      <c r="F201" s="158">
        <f>TRUNC(G217,2)</f>
        <v>164.39</v>
      </c>
      <c r="G201" s="137">
        <f>TRUNC(F201*1.2247,2)</f>
        <v>201.32</v>
      </c>
      <c r="H201" s="137">
        <f>TRUNC(F201*E201,2)</f>
        <v>164.39</v>
      </c>
      <c r="I201" s="138">
        <f>TRUNC(E201*G201,2)</f>
        <v>201.32</v>
      </c>
    </row>
    <row r="202" spans="2:9" s="67" customFormat="1" ht="14.25">
      <c r="B202" s="67" t="s">
        <v>190</v>
      </c>
      <c r="C202" s="67" t="s">
        <v>191</v>
      </c>
      <c r="D202" s="67" t="s">
        <v>12</v>
      </c>
      <c r="E202" s="67">
        <v>1</v>
      </c>
      <c r="F202" s="68">
        <f>TRUNC(9.71,2)</f>
        <v>9.71</v>
      </c>
      <c r="G202" s="63">
        <f aca="true" t="shared" si="6" ref="G202:G216">TRUNC(E202*F202,2)</f>
        <v>9.71</v>
      </c>
      <c r="H202" s="63"/>
      <c r="I202" s="64"/>
    </row>
    <row r="203" spans="2:9" s="67" customFormat="1" ht="14.25">
      <c r="B203" s="67" t="s">
        <v>192</v>
      </c>
      <c r="C203" s="67" t="s">
        <v>193</v>
      </c>
      <c r="D203" s="67" t="s">
        <v>12</v>
      </c>
      <c r="E203" s="67">
        <v>2</v>
      </c>
      <c r="F203" s="68">
        <f>TRUNC(0.96,2)</f>
        <v>0.96</v>
      </c>
      <c r="G203" s="63">
        <f t="shared" si="6"/>
        <v>1.92</v>
      </c>
      <c r="H203" s="63"/>
      <c r="I203" s="64"/>
    </row>
    <row r="204" spans="2:9" s="67" customFormat="1" ht="14.25">
      <c r="B204" s="67" t="s">
        <v>194</v>
      </c>
      <c r="C204" s="67" t="s">
        <v>195</v>
      </c>
      <c r="D204" s="67" t="s">
        <v>12</v>
      </c>
      <c r="E204" s="67">
        <v>1</v>
      </c>
      <c r="F204" s="68">
        <f>TRUNC(3.5003,2)</f>
        <v>3.5</v>
      </c>
      <c r="G204" s="63">
        <f t="shared" si="6"/>
        <v>3.5</v>
      </c>
      <c r="H204" s="63"/>
      <c r="I204" s="64"/>
    </row>
    <row r="205" spans="2:9" s="67" customFormat="1" ht="14.25">
      <c r="B205" s="67" t="s">
        <v>196</v>
      </c>
      <c r="C205" s="67" t="s">
        <v>197</v>
      </c>
      <c r="D205" s="67" t="s">
        <v>12</v>
      </c>
      <c r="E205" s="67">
        <v>2</v>
      </c>
      <c r="F205" s="68">
        <f>TRUNC(0.4627,2)</f>
        <v>0.46</v>
      </c>
      <c r="G205" s="63">
        <f t="shared" si="6"/>
        <v>0.92</v>
      </c>
      <c r="H205" s="63"/>
      <c r="I205" s="64"/>
    </row>
    <row r="206" spans="2:9" s="67" customFormat="1" ht="14.25">
      <c r="B206" s="67" t="s">
        <v>198</v>
      </c>
      <c r="C206" s="67" t="s">
        <v>199</v>
      </c>
      <c r="D206" s="67" t="s">
        <v>12</v>
      </c>
      <c r="E206" s="67">
        <v>1</v>
      </c>
      <c r="F206" s="68">
        <f>TRUNC(0.73,2)</f>
        <v>0.73</v>
      </c>
      <c r="G206" s="63">
        <f t="shared" si="6"/>
        <v>0.73</v>
      </c>
      <c r="H206" s="63"/>
      <c r="I206" s="64"/>
    </row>
    <row r="207" spans="2:9" s="67" customFormat="1" ht="14.25">
      <c r="B207" s="67" t="s">
        <v>200</v>
      </c>
      <c r="C207" s="67" t="s">
        <v>201</v>
      </c>
      <c r="D207" s="67" t="s">
        <v>12</v>
      </c>
      <c r="E207" s="67">
        <v>0.05</v>
      </c>
      <c r="F207" s="68">
        <f>TRUNC(35.18,2)</f>
        <v>35.18</v>
      </c>
      <c r="G207" s="63">
        <f t="shared" si="6"/>
        <v>1.75</v>
      </c>
      <c r="H207" s="63"/>
      <c r="I207" s="64"/>
    </row>
    <row r="208" spans="2:9" s="67" customFormat="1" ht="14.25">
      <c r="B208" s="67" t="s">
        <v>202</v>
      </c>
      <c r="C208" s="67" t="s">
        <v>203</v>
      </c>
      <c r="D208" s="67" t="s">
        <v>12</v>
      </c>
      <c r="E208" s="67">
        <v>0.5</v>
      </c>
      <c r="F208" s="68">
        <f>TRUNC(11.01,2)</f>
        <v>11.01</v>
      </c>
      <c r="G208" s="63">
        <f t="shared" si="6"/>
        <v>5.5</v>
      </c>
      <c r="H208" s="63"/>
      <c r="I208" s="64"/>
    </row>
    <row r="209" spans="2:9" s="67" customFormat="1" ht="14.25">
      <c r="B209" s="67" t="s">
        <v>204</v>
      </c>
      <c r="C209" s="67" t="s">
        <v>205</v>
      </c>
      <c r="D209" s="67" t="s">
        <v>12</v>
      </c>
      <c r="E209" s="67">
        <v>0.25</v>
      </c>
      <c r="F209" s="68">
        <f>TRUNC(29.4,2)</f>
        <v>29.4</v>
      </c>
      <c r="G209" s="63">
        <f t="shared" si="6"/>
        <v>7.35</v>
      </c>
      <c r="H209" s="63"/>
      <c r="I209" s="64"/>
    </row>
    <row r="210" spans="2:9" s="67" customFormat="1" ht="28.5">
      <c r="B210" s="67" t="s">
        <v>206</v>
      </c>
      <c r="C210" s="67" t="s">
        <v>207</v>
      </c>
      <c r="D210" s="67" t="s">
        <v>12</v>
      </c>
      <c r="E210" s="67">
        <v>0.25</v>
      </c>
      <c r="F210" s="68">
        <f>TRUNC(17.34,2)</f>
        <v>17.34</v>
      </c>
      <c r="G210" s="63">
        <f t="shared" si="6"/>
        <v>4.33</v>
      </c>
      <c r="H210" s="63"/>
      <c r="I210" s="64"/>
    </row>
    <row r="211" spans="2:9" s="67" customFormat="1" ht="14.25">
      <c r="B211" s="67" t="s">
        <v>82</v>
      </c>
      <c r="C211" s="67" t="s">
        <v>77</v>
      </c>
      <c r="D211" s="67" t="s">
        <v>12</v>
      </c>
      <c r="E211" s="67">
        <v>1</v>
      </c>
      <c r="F211" s="68">
        <f>TRUNC(0.86,2)</f>
        <v>0.86</v>
      </c>
      <c r="G211" s="63">
        <f t="shared" si="6"/>
        <v>0.86</v>
      </c>
      <c r="H211" s="63"/>
      <c r="I211" s="64"/>
    </row>
    <row r="212" spans="2:9" s="67" customFormat="1" ht="14.25">
      <c r="B212" s="67" t="s">
        <v>208</v>
      </c>
      <c r="C212" s="67" t="s">
        <v>209</v>
      </c>
      <c r="D212" s="67" t="s">
        <v>12</v>
      </c>
      <c r="E212" s="67">
        <v>0.4</v>
      </c>
      <c r="F212" s="68">
        <f>TRUNC(3.23,2)</f>
        <v>3.23</v>
      </c>
      <c r="G212" s="63">
        <f t="shared" si="6"/>
        <v>1.29</v>
      </c>
      <c r="H212" s="63"/>
      <c r="I212" s="64"/>
    </row>
    <row r="213" spans="2:9" s="67" customFormat="1" ht="14.25">
      <c r="B213" s="67" t="s">
        <v>151</v>
      </c>
      <c r="C213" s="67" t="s">
        <v>152</v>
      </c>
      <c r="D213" s="67" t="s">
        <v>12</v>
      </c>
      <c r="E213" s="67">
        <v>2</v>
      </c>
      <c r="F213" s="68">
        <f>TRUNC(0.07,2)</f>
        <v>0.07</v>
      </c>
      <c r="G213" s="63">
        <f t="shared" si="6"/>
        <v>0.14</v>
      </c>
      <c r="H213" s="63"/>
      <c r="I213" s="64"/>
    </row>
    <row r="214" spans="2:9" s="67" customFormat="1" ht="14.25">
      <c r="B214" s="67" t="s">
        <v>153</v>
      </c>
      <c r="C214" s="67" t="s">
        <v>154</v>
      </c>
      <c r="D214" s="67" t="s">
        <v>12</v>
      </c>
      <c r="E214" s="67">
        <v>2</v>
      </c>
      <c r="F214" s="68">
        <f>TRUNC(1.63,2)</f>
        <v>1.63</v>
      </c>
      <c r="G214" s="63">
        <f t="shared" si="6"/>
        <v>3.26</v>
      </c>
      <c r="H214" s="63"/>
      <c r="I214" s="64"/>
    </row>
    <row r="215" spans="2:9" s="67" customFormat="1" ht="14.25">
      <c r="B215" s="67" t="s">
        <v>89</v>
      </c>
      <c r="C215" s="67" t="s">
        <v>90</v>
      </c>
      <c r="D215" s="67" t="s">
        <v>6</v>
      </c>
      <c r="E215" s="67">
        <v>3.2960000000000003</v>
      </c>
      <c r="F215" s="68">
        <f>TRUNC(15.69,2)</f>
        <v>15.69</v>
      </c>
      <c r="G215" s="63">
        <f t="shared" si="6"/>
        <v>51.71</v>
      </c>
      <c r="H215" s="63"/>
      <c r="I215" s="64"/>
    </row>
    <row r="216" spans="2:9" s="67" customFormat="1" ht="28.5">
      <c r="B216" s="67" t="s">
        <v>155</v>
      </c>
      <c r="C216" s="67" t="s">
        <v>156</v>
      </c>
      <c r="D216" s="67" t="s">
        <v>6</v>
      </c>
      <c r="E216" s="67">
        <v>3.2960000000000003</v>
      </c>
      <c r="F216" s="68">
        <f>TRUNC(21.67,2)</f>
        <v>21.67</v>
      </c>
      <c r="G216" s="63">
        <f t="shared" si="6"/>
        <v>71.42</v>
      </c>
      <c r="H216" s="63"/>
      <c r="I216" s="64"/>
    </row>
    <row r="217" spans="5:9" s="67" customFormat="1" ht="14.25">
      <c r="E217" s="67" t="s">
        <v>7</v>
      </c>
      <c r="F217" s="68"/>
      <c r="G217" s="63">
        <f>TRUNC(SUM(G202:G216),2)</f>
        <v>164.39</v>
      </c>
      <c r="H217" s="63"/>
      <c r="I217" s="64"/>
    </row>
    <row r="218" spans="1:9" s="157" customFormat="1" ht="42.75">
      <c r="A218" s="157" t="s">
        <v>107</v>
      </c>
      <c r="B218" s="157" t="s">
        <v>513</v>
      </c>
      <c r="C218" s="157" t="s">
        <v>477</v>
      </c>
      <c r="D218" s="157" t="s">
        <v>12</v>
      </c>
      <c r="E218" s="157">
        <v>1</v>
      </c>
      <c r="F218" s="158">
        <f>TRUNC(G223,2)</f>
        <v>200.85</v>
      </c>
      <c r="G218" s="137">
        <f>TRUNC(F218*1.2247,2)</f>
        <v>245.98</v>
      </c>
      <c r="H218" s="137">
        <f>TRUNC(F218*E218,2)</f>
        <v>200.85</v>
      </c>
      <c r="I218" s="138">
        <f>TRUNC(E218*G218,2)</f>
        <v>245.98</v>
      </c>
    </row>
    <row r="219" spans="2:9" s="67" customFormat="1" ht="14.25">
      <c r="B219" s="67" t="s">
        <v>457</v>
      </c>
      <c r="C219" s="67" t="s">
        <v>458</v>
      </c>
      <c r="D219" s="67" t="s">
        <v>12</v>
      </c>
      <c r="E219" s="67">
        <v>1</v>
      </c>
      <c r="F219" s="68">
        <f>TRUNC(5.5,2)</f>
        <v>5.5</v>
      </c>
      <c r="G219" s="63">
        <f>TRUNC(E219*F219,2)</f>
        <v>5.5</v>
      </c>
      <c r="H219" s="63"/>
      <c r="I219" s="64"/>
    </row>
    <row r="220" spans="2:9" s="67" customFormat="1" ht="14.25">
      <c r="B220" s="67" t="s">
        <v>210</v>
      </c>
      <c r="C220" s="67" t="s">
        <v>211</v>
      </c>
      <c r="D220" s="67" t="s">
        <v>12</v>
      </c>
      <c r="E220" s="67">
        <v>1</v>
      </c>
      <c r="F220" s="68">
        <f>TRUNC(161.34,2)</f>
        <v>161.34</v>
      </c>
      <c r="G220" s="63">
        <f>TRUNC(E220*F220,2)</f>
        <v>161.34</v>
      </c>
      <c r="H220" s="63"/>
      <c r="I220" s="64"/>
    </row>
    <row r="221" spans="2:9" s="67" customFormat="1" ht="14.25">
      <c r="B221" s="67" t="s">
        <v>212</v>
      </c>
      <c r="C221" s="67" t="s">
        <v>213</v>
      </c>
      <c r="D221" s="67" t="s">
        <v>12</v>
      </c>
      <c r="E221" s="67">
        <v>1</v>
      </c>
      <c r="F221" s="68">
        <f>TRUNC(9.96,2)</f>
        <v>9.96</v>
      </c>
      <c r="G221" s="63">
        <f>TRUNC(E221*F221,2)</f>
        <v>9.96</v>
      </c>
      <c r="H221" s="63"/>
      <c r="I221" s="64"/>
    </row>
    <row r="222" spans="2:9" s="67" customFormat="1" ht="14.25">
      <c r="B222" s="67" t="s">
        <v>214</v>
      </c>
      <c r="C222" s="67" t="s">
        <v>215</v>
      </c>
      <c r="D222" s="67" t="s">
        <v>12</v>
      </c>
      <c r="E222" s="67">
        <v>1</v>
      </c>
      <c r="F222" s="68">
        <f>TRUNC(24.05,2)</f>
        <v>24.05</v>
      </c>
      <c r="G222" s="63">
        <f>TRUNC(E222*F222,2)</f>
        <v>24.05</v>
      </c>
      <c r="H222" s="63"/>
      <c r="I222" s="64"/>
    </row>
    <row r="223" spans="5:9" s="67" customFormat="1" ht="14.25">
      <c r="E223" s="67" t="s">
        <v>7</v>
      </c>
      <c r="F223" s="68"/>
      <c r="G223" s="63">
        <f>TRUNC(SUM(G219:G222),2)</f>
        <v>200.85</v>
      </c>
      <c r="H223" s="63"/>
      <c r="I223" s="64"/>
    </row>
    <row r="224" spans="1:9" s="157" customFormat="1" ht="57">
      <c r="A224" s="157" t="s">
        <v>589</v>
      </c>
      <c r="B224" s="157" t="s">
        <v>549</v>
      </c>
      <c r="C224" s="157" t="s">
        <v>550</v>
      </c>
      <c r="D224" s="157" t="s">
        <v>12</v>
      </c>
      <c r="E224" s="157">
        <v>4</v>
      </c>
      <c r="F224" s="158">
        <f>TRUNC(G231,2)</f>
        <v>215.63</v>
      </c>
      <c r="G224" s="137">
        <f>TRUNC(F224*1.2247,2)</f>
        <v>264.08</v>
      </c>
      <c r="H224" s="137">
        <f>TRUNC(F224*E224,2)</f>
        <v>862.52</v>
      </c>
      <c r="I224" s="138">
        <f>TRUNC(E224*G224,2)</f>
        <v>1056.32</v>
      </c>
    </row>
    <row r="225" spans="2:9" s="67" customFormat="1" ht="14.25">
      <c r="B225" s="67" t="s">
        <v>457</v>
      </c>
      <c r="C225" s="67" t="s">
        <v>458</v>
      </c>
      <c r="D225" s="67" t="s">
        <v>12</v>
      </c>
      <c r="E225" s="67">
        <v>1</v>
      </c>
      <c r="F225" s="68">
        <f>TRUNC(5.5,2)</f>
        <v>5.5</v>
      </c>
      <c r="G225" s="63">
        <f aca="true" t="shared" si="7" ref="G225:G230">TRUNC(E225*F225,2)</f>
        <v>5.5</v>
      </c>
      <c r="H225" s="63"/>
      <c r="I225" s="64"/>
    </row>
    <row r="226" spans="2:9" s="67" customFormat="1" ht="14.25">
      <c r="B226" s="67" t="s">
        <v>216</v>
      </c>
      <c r="C226" s="67" t="s">
        <v>217</v>
      </c>
      <c r="D226" s="67" t="s">
        <v>12</v>
      </c>
      <c r="E226" s="67">
        <v>1</v>
      </c>
      <c r="F226" s="68">
        <f>TRUNC(9.26,2)</f>
        <v>9.26</v>
      </c>
      <c r="G226" s="63">
        <f t="shared" si="7"/>
        <v>9.26</v>
      </c>
      <c r="H226" s="63"/>
      <c r="I226" s="64"/>
    </row>
    <row r="227" spans="2:9" s="67" customFormat="1" ht="14.25">
      <c r="B227" s="67" t="s">
        <v>218</v>
      </c>
      <c r="C227" s="67" t="s">
        <v>459</v>
      </c>
      <c r="D227" s="67" t="s">
        <v>12</v>
      </c>
      <c r="E227" s="67">
        <v>1</v>
      </c>
      <c r="F227" s="68">
        <f>TRUNC(25.9,2)</f>
        <v>25.9</v>
      </c>
      <c r="G227" s="63">
        <f t="shared" si="7"/>
        <v>25.9</v>
      </c>
      <c r="H227" s="63"/>
      <c r="I227" s="64"/>
    </row>
    <row r="228" spans="2:9" s="67" customFormat="1" ht="14.25">
      <c r="B228" s="67" t="s">
        <v>219</v>
      </c>
      <c r="C228" s="67" t="s">
        <v>220</v>
      </c>
      <c r="D228" s="67" t="s">
        <v>12</v>
      </c>
      <c r="E228" s="67">
        <v>1</v>
      </c>
      <c r="F228" s="68">
        <f>TRUNC(103.42,2)</f>
        <v>103.42</v>
      </c>
      <c r="G228" s="63">
        <f t="shared" si="7"/>
        <v>103.42</v>
      </c>
      <c r="H228" s="63"/>
      <c r="I228" s="64"/>
    </row>
    <row r="229" spans="2:9" s="67" customFormat="1" ht="14.25">
      <c r="B229" s="67" t="s">
        <v>551</v>
      </c>
      <c r="C229" s="67" t="s">
        <v>552</v>
      </c>
      <c r="D229" s="67" t="s">
        <v>12</v>
      </c>
      <c r="E229" s="67">
        <v>1</v>
      </c>
      <c r="F229" s="68">
        <f>TRUNC(69.03,2)</f>
        <v>69.03</v>
      </c>
      <c r="G229" s="63">
        <f t="shared" si="7"/>
        <v>69.03</v>
      </c>
      <c r="H229" s="63"/>
      <c r="I229" s="64"/>
    </row>
    <row r="230" spans="2:9" s="67" customFormat="1" ht="14.25">
      <c r="B230" s="67" t="s">
        <v>149</v>
      </c>
      <c r="C230" s="67" t="s">
        <v>150</v>
      </c>
      <c r="D230" s="67" t="s">
        <v>12</v>
      </c>
      <c r="E230" s="67">
        <v>1</v>
      </c>
      <c r="F230" s="68">
        <f>TRUNC(2.52,2)</f>
        <v>2.52</v>
      </c>
      <c r="G230" s="63">
        <f t="shared" si="7"/>
        <v>2.52</v>
      </c>
      <c r="H230" s="63"/>
      <c r="I230" s="64"/>
    </row>
    <row r="231" spans="5:9" s="67" customFormat="1" ht="14.25">
      <c r="E231" s="67" t="s">
        <v>7</v>
      </c>
      <c r="F231" s="68"/>
      <c r="G231" s="63">
        <f>TRUNC(SUM(G225:G230),2)</f>
        <v>215.63</v>
      </c>
      <c r="H231" s="63"/>
      <c r="I231" s="64"/>
    </row>
    <row r="232" spans="1:9" s="157" customFormat="1" ht="42.75">
      <c r="A232" s="157" t="s">
        <v>590</v>
      </c>
      <c r="B232" s="157" t="s">
        <v>514</v>
      </c>
      <c r="C232" s="157" t="s">
        <v>239</v>
      </c>
      <c r="D232" s="157" t="s">
        <v>3</v>
      </c>
      <c r="E232" s="157">
        <v>32.33</v>
      </c>
      <c r="F232" s="158">
        <f>TRUNC(G237,2)</f>
        <v>8.31</v>
      </c>
      <c r="G232" s="137">
        <f>TRUNC(F232*1.2247,2)</f>
        <v>10.17</v>
      </c>
      <c r="H232" s="137">
        <f>TRUNC(F232*E232,2)</f>
        <v>268.66</v>
      </c>
      <c r="I232" s="138">
        <f>TRUNC(E232*G232,2)</f>
        <v>328.79</v>
      </c>
    </row>
    <row r="233" spans="2:9" s="67" customFormat="1" ht="14.25">
      <c r="B233" s="67" t="s">
        <v>202</v>
      </c>
      <c r="C233" s="67" t="s">
        <v>203</v>
      </c>
      <c r="D233" s="67" t="s">
        <v>12</v>
      </c>
      <c r="E233" s="67">
        <v>0.1925</v>
      </c>
      <c r="F233" s="68">
        <f>TRUNC(11.01,2)</f>
        <v>11.01</v>
      </c>
      <c r="G233" s="63">
        <f>TRUNC(E233*F233,2)</f>
        <v>2.11</v>
      </c>
      <c r="H233" s="63"/>
      <c r="I233" s="64"/>
    </row>
    <row r="234" spans="2:9" s="67" customFormat="1" ht="14.25">
      <c r="B234" s="67" t="s">
        <v>208</v>
      </c>
      <c r="C234" s="67" t="s">
        <v>209</v>
      </c>
      <c r="D234" s="67" t="s">
        <v>12</v>
      </c>
      <c r="E234" s="67">
        <v>0.1375</v>
      </c>
      <c r="F234" s="68">
        <f>TRUNC(3.23,2)</f>
        <v>3.23</v>
      </c>
      <c r="G234" s="63">
        <f>TRUNC(E234*F234,2)</f>
        <v>0.44</v>
      </c>
      <c r="H234" s="63"/>
      <c r="I234" s="64"/>
    </row>
    <row r="235" spans="2:9" s="67" customFormat="1" ht="14.25">
      <c r="B235" s="67" t="s">
        <v>89</v>
      </c>
      <c r="C235" s="67" t="s">
        <v>90</v>
      </c>
      <c r="D235" s="67" t="s">
        <v>6</v>
      </c>
      <c r="E235" s="67">
        <v>0.1545</v>
      </c>
      <c r="F235" s="68">
        <f>TRUNC(15.69,2)</f>
        <v>15.69</v>
      </c>
      <c r="G235" s="63">
        <f>TRUNC(E235*F235,2)</f>
        <v>2.42</v>
      </c>
      <c r="H235" s="63"/>
      <c r="I235" s="64"/>
    </row>
    <row r="236" spans="2:9" s="67" customFormat="1" ht="28.5">
      <c r="B236" s="67" t="s">
        <v>155</v>
      </c>
      <c r="C236" s="67" t="s">
        <v>156</v>
      </c>
      <c r="D236" s="67" t="s">
        <v>6</v>
      </c>
      <c r="E236" s="67">
        <v>0.1545</v>
      </c>
      <c r="F236" s="68">
        <f>TRUNC(21.67,2)</f>
        <v>21.67</v>
      </c>
      <c r="G236" s="63">
        <f>TRUNC(E236*F236,2)</f>
        <v>3.34</v>
      </c>
      <c r="H236" s="63"/>
      <c r="I236" s="64"/>
    </row>
    <row r="237" spans="5:9" s="67" customFormat="1" ht="14.25">
      <c r="E237" s="67" t="s">
        <v>7</v>
      </c>
      <c r="F237" s="68"/>
      <c r="G237" s="63">
        <f>TRUNC(SUM(G233:G236),2)</f>
        <v>8.31</v>
      </c>
      <c r="H237" s="63"/>
      <c r="I237" s="64"/>
    </row>
    <row r="238" spans="1:9" s="157" customFormat="1" ht="42.75">
      <c r="A238" s="157" t="s">
        <v>591</v>
      </c>
      <c r="B238" s="157" t="s">
        <v>515</v>
      </c>
      <c r="C238" s="157" t="s">
        <v>240</v>
      </c>
      <c r="D238" s="157" t="s">
        <v>3</v>
      </c>
      <c r="E238" s="157">
        <v>9.7</v>
      </c>
      <c r="F238" s="158">
        <f>TRUNC(G243,2)</f>
        <v>7.6</v>
      </c>
      <c r="G238" s="137">
        <f>TRUNC(F238*1.2247,2)</f>
        <v>9.3</v>
      </c>
      <c r="H238" s="137">
        <f>TRUNC(F238*E238,2)</f>
        <v>73.72</v>
      </c>
      <c r="I238" s="138">
        <f>TRUNC(E238*G238,2)</f>
        <v>90.21</v>
      </c>
    </row>
    <row r="239" spans="2:9" s="67" customFormat="1" ht="14.25">
      <c r="B239" s="67" t="s">
        <v>241</v>
      </c>
      <c r="C239" s="67" t="s">
        <v>242</v>
      </c>
      <c r="D239" s="67" t="s">
        <v>12</v>
      </c>
      <c r="E239" s="67">
        <v>0.1925</v>
      </c>
      <c r="F239" s="68">
        <f>TRUNC(9.4,2)</f>
        <v>9.4</v>
      </c>
      <c r="G239" s="63">
        <f>TRUNC(E239*F239,2)</f>
        <v>1.8</v>
      </c>
      <c r="H239" s="63"/>
      <c r="I239" s="64"/>
    </row>
    <row r="240" spans="2:9" s="67" customFormat="1" ht="14.25">
      <c r="B240" s="67" t="s">
        <v>208</v>
      </c>
      <c r="C240" s="67" t="s">
        <v>209</v>
      </c>
      <c r="D240" s="67" t="s">
        <v>12</v>
      </c>
      <c r="E240" s="67">
        <v>0.132</v>
      </c>
      <c r="F240" s="68">
        <f>TRUNC(3.23,2)</f>
        <v>3.23</v>
      </c>
      <c r="G240" s="63">
        <f>TRUNC(E240*F240,2)</f>
        <v>0.42</v>
      </c>
      <c r="H240" s="63"/>
      <c r="I240" s="64"/>
    </row>
    <row r="241" spans="2:9" s="67" customFormat="1" ht="14.25">
      <c r="B241" s="67" t="s">
        <v>89</v>
      </c>
      <c r="C241" s="67" t="s">
        <v>90</v>
      </c>
      <c r="D241" s="67" t="s">
        <v>6</v>
      </c>
      <c r="E241" s="67">
        <v>0.14420000000000002</v>
      </c>
      <c r="F241" s="68">
        <f>TRUNC(15.69,2)</f>
        <v>15.69</v>
      </c>
      <c r="G241" s="63">
        <f>TRUNC(E241*F241,2)</f>
        <v>2.26</v>
      </c>
      <c r="H241" s="63"/>
      <c r="I241" s="64"/>
    </row>
    <row r="242" spans="2:9" s="67" customFormat="1" ht="28.5">
      <c r="B242" s="67" t="s">
        <v>155</v>
      </c>
      <c r="C242" s="67" t="s">
        <v>156</v>
      </c>
      <c r="D242" s="67" t="s">
        <v>6</v>
      </c>
      <c r="E242" s="67">
        <v>0.14420000000000002</v>
      </c>
      <c r="F242" s="68">
        <f>TRUNC(21.67,2)</f>
        <v>21.67</v>
      </c>
      <c r="G242" s="63">
        <f>TRUNC(E242*F242,2)</f>
        <v>3.12</v>
      </c>
      <c r="H242" s="63"/>
      <c r="I242" s="64"/>
    </row>
    <row r="243" spans="5:9" s="67" customFormat="1" ht="14.25">
      <c r="E243" s="67" t="s">
        <v>7</v>
      </c>
      <c r="F243" s="68"/>
      <c r="G243" s="63">
        <f>TRUNC(SUM(G239:G242),2)</f>
        <v>7.6</v>
      </c>
      <c r="H243" s="63"/>
      <c r="I243" s="64"/>
    </row>
    <row r="244" spans="1:9" s="157" customFormat="1" ht="28.5">
      <c r="A244" s="157" t="s">
        <v>108</v>
      </c>
      <c r="B244" s="157" t="s">
        <v>516</v>
      </c>
      <c r="C244" s="157" t="s">
        <v>223</v>
      </c>
      <c r="D244" s="157" t="s">
        <v>3</v>
      </c>
      <c r="E244" s="157">
        <v>42.03</v>
      </c>
      <c r="F244" s="158">
        <f>TRUNC(G248,2)</f>
        <v>12.31</v>
      </c>
      <c r="G244" s="137">
        <f>TRUNC(F244*1.2247,2)</f>
        <v>15.07</v>
      </c>
      <c r="H244" s="137">
        <f>TRUNC(F244*E244,2)</f>
        <v>517.38</v>
      </c>
      <c r="I244" s="138">
        <f>TRUNC(E244*G244,2)</f>
        <v>633.39</v>
      </c>
    </row>
    <row r="245" spans="2:9" s="67" customFormat="1" ht="14.25">
      <c r="B245" s="67" t="s">
        <v>89</v>
      </c>
      <c r="C245" s="67" t="s">
        <v>90</v>
      </c>
      <c r="D245" s="67" t="s">
        <v>6</v>
      </c>
      <c r="E245" s="67">
        <v>0.41200000000000003</v>
      </c>
      <c r="F245" s="68">
        <f>TRUNC(15.69,2)</f>
        <v>15.69</v>
      </c>
      <c r="G245" s="63">
        <f>TRUNC(E245*F245,2)</f>
        <v>6.46</v>
      </c>
      <c r="H245" s="63"/>
      <c r="I245" s="64"/>
    </row>
    <row r="246" spans="2:9" s="67" customFormat="1" ht="14.25">
      <c r="B246" s="67" t="s">
        <v>93</v>
      </c>
      <c r="C246" s="67" t="s">
        <v>94</v>
      </c>
      <c r="D246" s="67" t="s">
        <v>6</v>
      </c>
      <c r="E246" s="67">
        <v>0.2575</v>
      </c>
      <c r="F246" s="68">
        <f>TRUNC(21.67,2)</f>
        <v>21.67</v>
      </c>
      <c r="G246" s="63">
        <f>TRUNC(E246*F246,2)</f>
        <v>5.58</v>
      </c>
      <c r="H246" s="63"/>
      <c r="I246" s="64"/>
    </row>
    <row r="247" spans="2:9" s="67" customFormat="1" ht="14.25">
      <c r="B247" s="67" t="s">
        <v>131</v>
      </c>
      <c r="C247" s="67" t="s">
        <v>132</v>
      </c>
      <c r="D247" s="67" t="s">
        <v>1</v>
      </c>
      <c r="E247" s="67">
        <v>0.001</v>
      </c>
      <c r="F247" s="68">
        <f>TRUNC(279.8252,2)</f>
        <v>279.82</v>
      </c>
      <c r="G247" s="63">
        <f>TRUNC(E247*F247,2)</f>
        <v>0.27</v>
      </c>
      <c r="H247" s="63"/>
      <c r="I247" s="64"/>
    </row>
    <row r="248" spans="5:9" s="67" customFormat="1" ht="14.25">
      <c r="E248" s="67" t="s">
        <v>7</v>
      </c>
      <c r="F248" s="68"/>
      <c r="G248" s="63">
        <f>TRUNC(SUM(G245:G247),2)</f>
        <v>12.31</v>
      </c>
      <c r="H248" s="63"/>
      <c r="I248" s="64"/>
    </row>
    <row r="249" spans="1:9" s="157" customFormat="1" ht="28.5">
      <c r="A249" s="157" t="s">
        <v>109</v>
      </c>
      <c r="B249" s="157" t="s">
        <v>517</v>
      </c>
      <c r="C249" s="157" t="s">
        <v>411</v>
      </c>
      <c r="D249" s="157" t="s">
        <v>12</v>
      </c>
      <c r="E249" s="157">
        <v>2</v>
      </c>
      <c r="F249" s="158">
        <f>TRUNC(G253,2)</f>
        <v>55.82</v>
      </c>
      <c r="G249" s="137">
        <f>TRUNC(F249*1.2247,2)</f>
        <v>68.36</v>
      </c>
      <c r="H249" s="137">
        <f>TRUNC(F249*E249,2)</f>
        <v>111.64</v>
      </c>
      <c r="I249" s="138">
        <f>TRUNC(E249*G249,2)</f>
        <v>136.72</v>
      </c>
    </row>
    <row r="250" spans="2:9" s="67" customFormat="1" ht="14.25">
      <c r="B250" s="67" t="s">
        <v>412</v>
      </c>
      <c r="C250" s="67" t="s">
        <v>413</v>
      </c>
      <c r="D250" s="67" t="s">
        <v>12</v>
      </c>
      <c r="E250" s="67">
        <v>1</v>
      </c>
      <c r="F250" s="68">
        <f>TRUNC(32.7426,2)</f>
        <v>32.74</v>
      </c>
      <c r="G250" s="63">
        <f>TRUNC(E250*F250,2)</f>
        <v>32.74</v>
      </c>
      <c r="H250" s="63"/>
      <c r="I250" s="64"/>
    </row>
    <row r="251" spans="2:9" s="67" customFormat="1" ht="14.25">
      <c r="B251" s="67" t="s">
        <v>89</v>
      </c>
      <c r="C251" s="67" t="s">
        <v>90</v>
      </c>
      <c r="D251" s="67" t="s">
        <v>6</v>
      </c>
      <c r="E251" s="67">
        <v>0.618</v>
      </c>
      <c r="F251" s="68">
        <f>TRUNC(15.69,2)</f>
        <v>15.69</v>
      </c>
      <c r="G251" s="63">
        <f>TRUNC(E251*F251,2)</f>
        <v>9.69</v>
      </c>
      <c r="H251" s="63"/>
      <c r="I251" s="64"/>
    </row>
    <row r="252" spans="2:9" s="67" customFormat="1" ht="28.5">
      <c r="B252" s="67" t="s">
        <v>155</v>
      </c>
      <c r="C252" s="67" t="s">
        <v>156</v>
      </c>
      <c r="D252" s="67" t="s">
        <v>6</v>
      </c>
      <c r="E252" s="67">
        <v>0.618</v>
      </c>
      <c r="F252" s="68">
        <f>TRUNC(21.67,2)</f>
        <v>21.67</v>
      </c>
      <c r="G252" s="63">
        <f>TRUNC(E252*F252,2)</f>
        <v>13.39</v>
      </c>
      <c r="H252" s="63"/>
      <c r="I252" s="64"/>
    </row>
    <row r="253" spans="5:9" s="67" customFormat="1" ht="14.25">
      <c r="E253" s="67" t="s">
        <v>7</v>
      </c>
      <c r="F253" s="68"/>
      <c r="G253" s="63">
        <f>TRUNC(SUM(G250:G252),2)</f>
        <v>55.82</v>
      </c>
      <c r="H253" s="63"/>
      <c r="I253" s="64"/>
    </row>
    <row r="254" spans="1:9" s="157" customFormat="1" ht="28.5">
      <c r="A254" s="157" t="s">
        <v>138</v>
      </c>
      <c r="B254" s="157" t="s">
        <v>518</v>
      </c>
      <c r="C254" s="157" t="s">
        <v>415</v>
      </c>
      <c r="D254" s="157" t="s">
        <v>12</v>
      </c>
      <c r="E254" s="157">
        <v>5</v>
      </c>
      <c r="F254" s="158">
        <f>TRUNC(G256,2)</f>
        <v>24.05</v>
      </c>
      <c r="G254" s="137">
        <f>TRUNC(F254*1.2247,2)</f>
        <v>29.45</v>
      </c>
      <c r="H254" s="137">
        <f>TRUNC(F254*E254,2)</f>
        <v>120.25</v>
      </c>
      <c r="I254" s="138">
        <f>TRUNC(E254*G254,2)</f>
        <v>147.25</v>
      </c>
    </row>
    <row r="255" spans="2:9" s="67" customFormat="1" ht="14.25">
      <c r="B255" s="67" t="s">
        <v>214</v>
      </c>
      <c r="C255" s="67" t="s">
        <v>215</v>
      </c>
      <c r="D255" s="67" t="s">
        <v>12</v>
      </c>
      <c r="E255" s="67">
        <v>1</v>
      </c>
      <c r="F255" s="68">
        <f>TRUNC(24.05,2)</f>
        <v>24.05</v>
      </c>
      <c r="G255" s="63">
        <f>TRUNC(E255*F255,2)</f>
        <v>24.05</v>
      </c>
      <c r="H255" s="63"/>
      <c r="I255" s="64"/>
    </row>
    <row r="256" spans="5:9" s="67" customFormat="1" ht="14.25">
      <c r="E256" s="67" t="s">
        <v>7</v>
      </c>
      <c r="F256" s="68"/>
      <c r="G256" s="63">
        <f>TRUNC(SUM(G255:G255),2)</f>
        <v>24.05</v>
      </c>
      <c r="H256" s="63"/>
      <c r="I256" s="64"/>
    </row>
    <row r="257" spans="1:9" s="157" customFormat="1" ht="28.5">
      <c r="A257" s="157" t="s">
        <v>110</v>
      </c>
      <c r="B257" s="157" t="s">
        <v>519</v>
      </c>
      <c r="C257" s="157" t="s">
        <v>243</v>
      </c>
      <c r="D257" s="157" t="s">
        <v>12</v>
      </c>
      <c r="E257" s="157">
        <v>2</v>
      </c>
      <c r="F257" s="158">
        <f>TRUNC(G264,2)</f>
        <v>11.12</v>
      </c>
      <c r="G257" s="137">
        <f>TRUNC(F257*1.2247,2)</f>
        <v>13.61</v>
      </c>
      <c r="H257" s="137">
        <f>TRUNC(F257*E257,2)</f>
        <v>22.24</v>
      </c>
      <c r="I257" s="138">
        <f>TRUNC(E257*G257,2)</f>
        <v>27.22</v>
      </c>
    </row>
    <row r="258" spans="2:9" s="67" customFormat="1" ht="14.25">
      <c r="B258" s="67" t="s">
        <v>520</v>
      </c>
      <c r="C258" s="67" t="s">
        <v>244</v>
      </c>
      <c r="D258" s="67" t="s">
        <v>12</v>
      </c>
      <c r="E258" s="67">
        <v>0.017</v>
      </c>
      <c r="F258" s="68">
        <f>TRUNC(1.57,2)</f>
        <v>1.57</v>
      </c>
      <c r="G258" s="63">
        <f aca="true" t="shared" si="8" ref="G258:G263">TRUNC(E258*F258,2)</f>
        <v>0.02</v>
      </c>
      <c r="H258" s="63"/>
      <c r="I258" s="64"/>
    </row>
    <row r="259" spans="2:9" s="67" customFormat="1" ht="14.25">
      <c r="B259" s="67" t="s">
        <v>521</v>
      </c>
      <c r="C259" s="67" t="s">
        <v>245</v>
      </c>
      <c r="D259" s="67" t="s">
        <v>12</v>
      </c>
      <c r="E259" s="67">
        <v>0.0075</v>
      </c>
      <c r="F259" s="68">
        <f>TRUNC(46.2,2)</f>
        <v>46.2</v>
      </c>
      <c r="G259" s="63">
        <f t="shared" si="8"/>
        <v>0.34</v>
      </c>
      <c r="H259" s="63"/>
      <c r="I259" s="64"/>
    </row>
    <row r="260" spans="2:9" s="67" customFormat="1" ht="14.25">
      <c r="B260" s="67" t="s">
        <v>522</v>
      </c>
      <c r="C260" s="67" t="s">
        <v>246</v>
      </c>
      <c r="D260" s="67" t="s">
        <v>12</v>
      </c>
      <c r="E260" s="67">
        <v>1</v>
      </c>
      <c r="F260" s="68">
        <f>TRUNC(7.06,2)</f>
        <v>7.06</v>
      </c>
      <c r="G260" s="63">
        <f t="shared" si="8"/>
        <v>7.06</v>
      </c>
      <c r="H260" s="63"/>
      <c r="I260" s="64"/>
    </row>
    <row r="261" spans="2:9" s="67" customFormat="1" ht="14.25">
      <c r="B261" s="67" t="s">
        <v>523</v>
      </c>
      <c r="C261" s="67" t="s">
        <v>247</v>
      </c>
      <c r="D261" s="67" t="s">
        <v>12</v>
      </c>
      <c r="E261" s="67">
        <v>0.0049</v>
      </c>
      <c r="F261" s="68">
        <f>TRUNC(53.2,2)</f>
        <v>53.2</v>
      </c>
      <c r="G261" s="63">
        <f t="shared" si="8"/>
        <v>0.26</v>
      </c>
      <c r="H261" s="63"/>
      <c r="I261" s="64"/>
    </row>
    <row r="262" spans="2:9" s="67" customFormat="1" ht="14.25">
      <c r="B262" s="67" t="s">
        <v>524</v>
      </c>
      <c r="C262" s="67" t="s">
        <v>248</v>
      </c>
      <c r="D262" s="67" t="s">
        <v>6</v>
      </c>
      <c r="E262" s="67">
        <v>0.07</v>
      </c>
      <c r="F262" s="68">
        <f>TRUNC(27.81,2)</f>
        <v>27.81</v>
      </c>
      <c r="G262" s="63">
        <f t="shared" si="8"/>
        <v>1.94</v>
      </c>
      <c r="H262" s="63"/>
      <c r="I262" s="64"/>
    </row>
    <row r="263" spans="2:9" s="67" customFormat="1" ht="14.25">
      <c r="B263" s="67" t="s">
        <v>525</v>
      </c>
      <c r="C263" s="67" t="s">
        <v>249</v>
      </c>
      <c r="D263" s="67" t="s">
        <v>6</v>
      </c>
      <c r="E263" s="67">
        <v>0.07</v>
      </c>
      <c r="F263" s="68">
        <f>TRUNC(21.57,2)</f>
        <v>21.57</v>
      </c>
      <c r="G263" s="63">
        <f t="shared" si="8"/>
        <v>1.5</v>
      </c>
      <c r="H263" s="63"/>
      <c r="I263" s="64"/>
    </row>
    <row r="264" spans="5:9" s="67" customFormat="1" ht="14.25">
      <c r="E264" s="67" t="s">
        <v>7</v>
      </c>
      <c r="F264" s="68"/>
      <c r="G264" s="63">
        <f>TRUNC(SUM(G258:G263),2)</f>
        <v>11.12</v>
      </c>
      <c r="H264" s="63"/>
      <c r="I264" s="64"/>
    </row>
    <row r="265" spans="1:9" s="157" customFormat="1" ht="28.5">
      <c r="A265" s="157" t="s">
        <v>110</v>
      </c>
      <c r="B265" s="157" t="s">
        <v>526</v>
      </c>
      <c r="C265" s="157" t="s">
        <v>250</v>
      </c>
      <c r="D265" s="157" t="s">
        <v>12</v>
      </c>
      <c r="E265" s="157">
        <v>4</v>
      </c>
      <c r="F265" s="158">
        <f>TRUNC(G272,2)</f>
        <v>10.91</v>
      </c>
      <c r="G265" s="137">
        <f>TRUNC(F265*1.2247,2)</f>
        <v>13.36</v>
      </c>
      <c r="H265" s="137">
        <f>TRUNC(F265*E265,2)</f>
        <v>43.64</v>
      </c>
      <c r="I265" s="138">
        <f>TRUNC(E265*G265,2)</f>
        <v>53.44</v>
      </c>
    </row>
    <row r="266" spans="2:9" s="67" customFormat="1" ht="14.25">
      <c r="B266" s="67" t="s">
        <v>520</v>
      </c>
      <c r="C266" s="67" t="s">
        <v>244</v>
      </c>
      <c r="D266" s="67" t="s">
        <v>12</v>
      </c>
      <c r="E266" s="67">
        <v>0.017</v>
      </c>
      <c r="F266" s="68">
        <f>TRUNC(1.57,2)</f>
        <v>1.57</v>
      </c>
      <c r="G266" s="63">
        <f aca="true" t="shared" si="9" ref="G266:G271">TRUNC(E266*F266,2)</f>
        <v>0.02</v>
      </c>
      <c r="H266" s="63"/>
      <c r="I266" s="64"/>
    </row>
    <row r="267" spans="2:9" s="67" customFormat="1" ht="14.25">
      <c r="B267" s="67" t="s">
        <v>521</v>
      </c>
      <c r="C267" s="67" t="s">
        <v>245</v>
      </c>
      <c r="D267" s="67" t="s">
        <v>12</v>
      </c>
      <c r="E267" s="67">
        <v>0.0075</v>
      </c>
      <c r="F267" s="68">
        <f>TRUNC(46.2,2)</f>
        <v>46.2</v>
      </c>
      <c r="G267" s="63">
        <f t="shared" si="9"/>
        <v>0.34</v>
      </c>
      <c r="H267" s="63"/>
      <c r="I267" s="64"/>
    </row>
    <row r="268" spans="2:9" s="67" customFormat="1" ht="14.25">
      <c r="B268" s="67" t="s">
        <v>527</v>
      </c>
      <c r="C268" s="67" t="s">
        <v>251</v>
      </c>
      <c r="D268" s="67" t="s">
        <v>12</v>
      </c>
      <c r="E268" s="67">
        <v>1</v>
      </c>
      <c r="F268" s="68">
        <f>TRUNC(6.85,2)</f>
        <v>6.85</v>
      </c>
      <c r="G268" s="63">
        <f t="shared" si="9"/>
        <v>6.85</v>
      </c>
      <c r="H268" s="63"/>
      <c r="I268" s="64"/>
    </row>
    <row r="269" spans="2:9" s="67" customFormat="1" ht="14.25">
      <c r="B269" s="67" t="s">
        <v>523</v>
      </c>
      <c r="C269" s="67" t="s">
        <v>247</v>
      </c>
      <c r="D269" s="67" t="s">
        <v>12</v>
      </c>
      <c r="E269" s="67">
        <v>0.0049</v>
      </c>
      <c r="F269" s="68">
        <f>TRUNC(53.2,2)</f>
        <v>53.2</v>
      </c>
      <c r="G269" s="63">
        <f t="shared" si="9"/>
        <v>0.26</v>
      </c>
      <c r="H269" s="63"/>
      <c r="I269" s="64"/>
    </row>
    <row r="270" spans="2:9" s="67" customFormat="1" ht="14.25">
      <c r="B270" s="67" t="s">
        <v>524</v>
      </c>
      <c r="C270" s="67" t="s">
        <v>248</v>
      </c>
      <c r="D270" s="67" t="s">
        <v>6</v>
      </c>
      <c r="E270" s="67">
        <v>0.07</v>
      </c>
      <c r="F270" s="68">
        <f>TRUNC(27.81,2)</f>
        <v>27.81</v>
      </c>
      <c r="G270" s="63">
        <f t="shared" si="9"/>
        <v>1.94</v>
      </c>
      <c r="H270" s="63"/>
      <c r="I270" s="64"/>
    </row>
    <row r="271" spans="2:9" s="67" customFormat="1" ht="14.25">
      <c r="B271" s="67" t="s">
        <v>525</v>
      </c>
      <c r="C271" s="67" t="s">
        <v>249</v>
      </c>
      <c r="D271" s="67" t="s">
        <v>6</v>
      </c>
      <c r="E271" s="67">
        <v>0.07</v>
      </c>
      <c r="F271" s="68">
        <f>TRUNC(21.57,2)</f>
        <v>21.57</v>
      </c>
      <c r="G271" s="63">
        <f t="shared" si="9"/>
        <v>1.5</v>
      </c>
      <c r="H271" s="63"/>
      <c r="I271" s="64"/>
    </row>
    <row r="272" spans="5:9" s="67" customFormat="1" ht="14.25">
      <c r="E272" s="67" t="s">
        <v>7</v>
      </c>
      <c r="F272" s="68"/>
      <c r="G272" s="63">
        <f>TRUNC(SUM(G266:G271),2)</f>
        <v>10.91</v>
      </c>
      <c r="H272" s="63"/>
      <c r="I272" s="64"/>
    </row>
    <row r="273" spans="1:9" s="157" customFormat="1" ht="28.5">
      <c r="A273" s="157" t="s">
        <v>592</v>
      </c>
      <c r="B273" s="157" t="s">
        <v>528</v>
      </c>
      <c r="C273" s="157" t="s">
        <v>425</v>
      </c>
      <c r="D273" s="157" t="s">
        <v>3</v>
      </c>
      <c r="E273" s="157">
        <v>19.97</v>
      </c>
      <c r="F273" s="158">
        <f>TRUNC(G278,2)</f>
        <v>18.36</v>
      </c>
      <c r="G273" s="137">
        <f>TRUNC(F273*1.2247,2)</f>
        <v>22.48</v>
      </c>
      <c r="H273" s="137">
        <f>TRUNC(F273*E273,2)</f>
        <v>366.64</v>
      </c>
      <c r="I273" s="138">
        <f>TRUNC(E273*G273,2)</f>
        <v>448.92</v>
      </c>
    </row>
    <row r="274" spans="2:9" s="67" customFormat="1" ht="14.25">
      <c r="B274" s="67" t="s">
        <v>520</v>
      </c>
      <c r="C274" s="67" t="s">
        <v>244</v>
      </c>
      <c r="D274" s="67" t="s">
        <v>12</v>
      </c>
      <c r="E274" s="67">
        <v>0.1</v>
      </c>
      <c r="F274" s="68">
        <f>TRUNC(1.57,2)</f>
        <v>1.57</v>
      </c>
      <c r="G274" s="63">
        <f>TRUNC(E274*F274,2)</f>
        <v>0.15</v>
      </c>
      <c r="H274" s="63"/>
      <c r="I274" s="64"/>
    </row>
    <row r="275" spans="2:9" s="67" customFormat="1" ht="14.25">
      <c r="B275" s="67" t="s">
        <v>529</v>
      </c>
      <c r="C275" s="67" t="s">
        <v>426</v>
      </c>
      <c r="D275" s="67" t="s">
        <v>3</v>
      </c>
      <c r="E275" s="67">
        <v>1.05</v>
      </c>
      <c r="F275" s="68">
        <f>TRUNC(3.24,2)</f>
        <v>3.24</v>
      </c>
      <c r="G275" s="63">
        <f>TRUNC(E275*F275,2)</f>
        <v>3.4</v>
      </c>
      <c r="H275" s="63"/>
      <c r="I275" s="64"/>
    </row>
    <row r="276" spans="2:9" s="67" customFormat="1" ht="14.25">
      <c r="B276" s="67" t="s">
        <v>524</v>
      </c>
      <c r="C276" s="67" t="s">
        <v>248</v>
      </c>
      <c r="D276" s="67" t="s">
        <v>6</v>
      </c>
      <c r="E276" s="67">
        <v>0.3</v>
      </c>
      <c r="F276" s="68">
        <f>TRUNC(27.81,2)</f>
        <v>27.81</v>
      </c>
      <c r="G276" s="63">
        <f>TRUNC(E276*F276,2)</f>
        <v>8.34</v>
      </c>
      <c r="H276" s="63"/>
      <c r="I276" s="64"/>
    </row>
    <row r="277" spans="2:9" s="67" customFormat="1" ht="14.25">
      <c r="B277" s="67" t="s">
        <v>525</v>
      </c>
      <c r="C277" s="67" t="s">
        <v>249</v>
      </c>
      <c r="D277" s="67" t="s">
        <v>6</v>
      </c>
      <c r="E277" s="67">
        <v>0.3</v>
      </c>
      <c r="F277" s="68">
        <f>TRUNC(21.57,2)</f>
        <v>21.57</v>
      </c>
      <c r="G277" s="63">
        <f>TRUNC(E277*F277,2)</f>
        <v>6.47</v>
      </c>
      <c r="H277" s="63"/>
      <c r="I277" s="64"/>
    </row>
    <row r="278" spans="5:9" s="67" customFormat="1" ht="14.25">
      <c r="E278" s="67" t="s">
        <v>7</v>
      </c>
      <c r="F278" s="68"/>
      <c r="G278" s="63">
        <f>TRUNC(SUM(G274:G277),2)</f>
        <v>18.36</v>
      </c>
      <c r="H278" s="63"/>
      <c r="I278" s="64"/>
    </row>
    <row r="279" spans="1:9" s="157" customFormat="1" ht="28.5">
      <c r="A279" s="157" t="s">
        <v>593</v>
      </c>
      <c r="B279" s="157" t="s">
        <v>530</v>
      </c>
      <c r="C279" s="157" t="s">
        <v>427</v>
      </c>
      <c r="D279" s="157" t="s">
        <v>3</v>
      </c>
      <c r="E279" s="157">
        <v>3.47</v>
      </c>
      <c r="F279" s="158">
        <f>TRUNC(G286,2)</f>
        <v>26.05</v>
      </c>
      <c r="G279" s="137">
        <f>TRUNC(F279*1.2247,2)</f>
        <v>31.9</v>
      </c>
      <c r="H279" s="137">
        <f>TRUNC(F279*E279,2)</f>
        <v>90.39</v>
      </c>
      <c r="I279" s="138">
        <f>TRUNC(E279*G279,2)</f>
        <v>110.69</v>
      </c>
    </row>
    <row r="280" spans="2:9" s="67" customFormat="1" ht="14.25">
      <c r="B280" s="67" t="s">
        <v>520</v>
      </c>
      <c r="C280" s="67" t="s">
        <v>244</v>
      </c>
      <c r="D280" s="67" t="s">
        <v>12</v>
      </c>
      <c r="E280" s="67">
        <v>0.127</v>
      </c>
      <c r="F280" s="68">
        <f>TRUNC(1.57,2)</f>
        <v>1.57</v>
      </c>
      <c r="G280" s="63">
        <f aca="true" t="shared" si="10" ref="G280:G285">TRUNC(E280*F280,2)</f>
        <v>0.19</v>
      </c>
      <c r="H280" s="63"/>
      <c r="I280" s="64"/>
    </row>
    <row r="281" spans="2:9" s="67" customFormat="1" ht="14.25">
      <c r="B281" s="67" t="s">
        <v>521</v>
      </c>
      <c r="C281" s="67" t="s">
        <v>245</v>
      </c>
      <c r="D281" s="67" t="s">
        <v>12</v>
      </c>
      <c r="E281" s="67">
        <v>0.0163</v>
      </c>
      <c r="F281" s="68">
        <f>TRUNC(46.2,2)</f>
        <v>46.2</v>
      </c>
      <c r="G281" s="63">
        <f t="shared" si="10"/>
        <v>0.75</v>
      </c>
      <c r="H281" s="63"/>
      <c r="I281" s="64"/>
    </row>
    <row r="282" spans="2:9" s="67" customFormat="1" ht="14.25">
      <c r="B282" s="67" t="s">
        <v>531</v>
      </c>
      <c r="C282" s="67" t="s">
        <v>428</v>
      </c>
      <c r="D282" s="67" t="s">
        <v>3</v>
      </c>
      <c r="E282" s="67">
        <v>1.05</v>
      </c>
      <c r="F282" s="68">
        <f>TRUNC(5.52,2)</f>
        <v>5.52</v>
      </c>
      <c r="G282" s="63">
        <f t="shared" si="10"/>
        <v>5.79</v>
      </c>
      <c r="H282" s="63"/>
      <c r="I282" s="64"/>
    </row>
    <row r="283" spans="2:9" s="67" customFormat="1" ht="14.25">
      <c r="B283" s="67" t="s">
        <v>523</v>
      </c>
      <c r="C283" s="67" t="s">
        <v>247</v>
      </c>
      <c r="D283" s="67" t="s">
        <v>12</v>
      </c>
      <c r="E283" s="67">
        <v>0.0108</v>
      </c>
      <c r="F283" s="68">
        <f>TRUNC(53.2,2)</f>
        <v>53.2</v>
      </c>
      <c r="G283" s="63">
        <f t="shared" si="10"/>
        <v>0.57</v>
      </c>
      <c r="H283" s="63"/>
      <c r="I283" s="64"/>
    </row>
    <row r="284" spans="2:9" s="67" customFormat="1" ht="14.25">
      <c r="B284" s="67" t="s">
        <v>524</v>
      </c>
      <c r="C284" s="67" t="s">
        <v>248</v>
      </c>
      <c r="D284" s="67" t="s">
        <v>6</v>
      </c>
      <c r="E284" s="67">
        <v>0.38</v>
      </c>
      <c r="F284" s="68">
        <f>TRUNC(27.81,2)</f>
        <v>27.81</v>
      </c>
      <c r="G284" s="63">
        <f t="shared" si="10"/>
        <v>10.56</v>
      </c>
      <c r="H284" s="63"/>
      <c r="I284" s="64"/>
    </row>
    <row r="285" spans="2:9" s="67" customFormat="1" ht="14.25">
      <c r="B285" s="67" t="s">
        <v>525</v>
      </c>
      <c r="C285" s="67" t="s">
        <v>249</v>
      </c>
      <c r="D285" s="67" t="s">
        <v>6</v>
      </c>
      <c r="E285" s="67">
        <v>0.38</v>
      </c>
      <c r="F285" s="68">
        <f>TRUNC(21.57,2)</f>
        <v>21.57</v>
      </c>
      <c r="G285" s="63">
        <f t="shared" si="10"/>
        <v>8.19</v>
      </c>
      <c r="H285" s="63"/>
      <c r="I285" s="64"/>
    </row>
    <row r="286" spans="5:9" s="67" customFormat="1" ht="14.25">
      <c r="E286" s="67" t="s">
        <v>7</v>
      </c>
      <c r="F286" s="68"/>
      <c r="G286" s="63">
        <f>TRUNC(SUM(G280:G285),2)</f>
        <v>26.05</v>
      </c>
      <c r="H286" s="63"/>
      <c r="I286" s="64"/>
    </row>
    <row r="287" spans="1:9" s="157" customFormat="1" ht="28.5">
      <c r="A287" s="157" t="s">
        <v>594</v>
      </c>
      <c r="B287" s="157" t="s">
        <v>532</v>
      </c>
      <c r="C287" s="157" t="s">
        <v>434</v>
      </c>
      <c r="D287" s="157" t="s">
        <v>3</v>
      </c>
      <c r="E287" s="157">
        <v>7.7</v>
      </c>
      <c r="F287" s="158">
        <f>TRUNC(G294,2)</f>
        <v>39.36</v>
      </c>
      <c r="G287" s="137">
        <f>TRUNC(F287*1.2247,2)</f>
        <v>48.2</v>
      </c>
      <c r="H287" s="137">
        <f>TRUNC(F287*E287,2)</f>
        <v>303.07</v>
      </c>
      <c r="I287" s="138">
        <f>TRUNC(E287*G287,2)</f>
        <v>371.14</v>
      </c>
    </row>
    <row r="288" spans="2:9" s="67" customFormat="1" ht="14.25">
      <c r="B288" s="67" t="s">
        <v>520</v>
      </c>
      <c r="C288" s="67" t="s">
        <v>244</v>
      </c>
      <c r="D288" s="67" t="s">
        <v>12</v>
      </c>
      <c r="E288" s="67">
        <v>0.187</v>
      </c>
      <c r="F288" s="68">
        <f>TRUNC(1.57,2)</f>
        <v>1.57</v>
      </c>
      <c r="G288" s="63">
        <f aca="true" t="shared" si="11" ref="G288:G293">TRUNC(E288*F288,2)</f>
        <v>0.29</v>
      </c>
      <c r="H288" s="63"/>
      <c r="I288" s="64"/>
    </row>
    <row r="289" spans="2:9" s="67" customFormat="1" ht="14.25">
      <c r="B289" s="67" t="s">
        <v>521</v>
      </c>
      <c r="C289" s="67" t="s">
        <v>245</v>
      </c>
      <c r="D289" s="67" t="s">
        <v>12</v>
      </c>
      <c r="E289" s="67">
        <v>0.0385</v>
      </c>
      <c r="F289" s="68">
        <f>TRUNC(46.2,2)</f>
        <v>46.2</v>
      </c>
      <c r="G289" s="63">
        <f t="shared" si="11"/>
        <v>1.77</v>
      </c>
      <c r="H289" s="63"/>
      <c r="I289" s="64"/>
    </row>
    <row r="290" spans="2:9" s="67" customFormat="1" ht="14.25">
      <c r="B290" s="67" t="s">
        <v>533</v>
      </c>
      <c r="C290" s="67" t="s">
        <v>436</v>
      </c>
      <c r="D290" s="67" t="s">
        <v>3</v>
      </c>
      <c r="E290" s="67">
        <v>1.05</v>
      </c>
      <c r="F290" s="68">
        <f>TRUNC(7.96,2)</f>
        <v>7.96</v>
      </c>
      <c r="G290" s="63">
        <f t="shared" si="11"/>
        <v>8.35</v>
      </c>
      <c r="H290" s="63"/>
      <c r="I290" s="64"/>
    </row>
    <row r="291" spans="2:9" s="67" customFormat="1" ht="14.25">
      <c r="B291" s="67" t="s">
        <v>523</v>
      </c>
      <c r="C291" s="67" t="s">
        <v>247</v>
      </c>
      <c r="D291" s="67" t="s">
        <v>12</v>
      </c>
      <c r="E291" s="67">
        <v>0.0247</v>
      </c>
      <c r="F291" s="68">
        <f>TRUNC(53.2,2)</f>
        <v>53.2</v>
      </c>
      <c r="G291" s="63">
        <f t="shared" si="11"/>
        <v>1.31</v>
      </c>
      <c r="H291" s="63"/>
      <c r="I291" s="64"/>
    </row>
    <row r="292" spans="2:9" s="67" customFormat="1" ht="14.25">
      <c r="B292" s="67" t="s">
        <v>524</v>
      </c>
      <c r="C292" s="67" t="s">
        <v>248</v>
      </c>
      <c r="D292" s="67" t="s">
        <v>6</v>
      </c>
      <c r="E292" s="67">
        <v>0.56</v>
      </c>
      <c r="F292" s="68">
        <f>TRUNC(27.81,2)</f>
        <v>27.81</v>
      </c>
      <c r="G292" s="63">
        <f t="shared" si="11"/>
        <v>15.57</v>
      </c>
      <c r="H292" s="63"/>
      <c r="I292" s="64"/>
    </row>
    <row r="293" spans="2:9" s="67" customFormat="1" ht="14.25">
      <c r="B293" s="67" t="s">
        <v>525</v>
      </c>
      <c r="C293" s="67" t="s">
        <v>249</v>
      </c>
      <c r="D293" s="67" t="s">
        <v>6</v>
      </c>
      <c r="E293" s="67">
        <v>0.56</v>
      </c>
      <c r="F293" s="68">
        <f>TRUNC(21.57,2)</f>
        <v>21.57</v>
      </c>
      <c r="G293" s="63">
        <f t="shared" si="11"/>
        <v>12.07</v>
      </c>
      <c r="H293" s="63"/>
      <c r="I293" s="64"/>
    </row>
    <row r="294" spans="5:9" s="67" customFormat="1" ht="14.25">
      <c r="E294" s="67" t="s">
        <v>7</v>
      </c>
      <c r="F294" s="68"/>
      <c r="G294" s="63">
        <f>TRUNC(SUM(G288:G293),2)</f>
        <v>39.36</v>
      </c>
      <c r="H294" s="63"/>
      <c r="I294" s="64"/>
    </row>
    <row r="295" spans="1:9" s="157" customFormat="1" ht="28.5">
      <c r="A295" s="157" t="s">
        <v>595</v>
      </c>
      <c r="B295" s="157" t="s">
        <v>534</v>
      </c>
      <c r="C295" s="157" t="s">
        <v>438</v>
      </c>
      <c r="D295" s="157" t="s">
        <v>3</v>
      </c>
      <c r="E295" s="157">
        <v>8</v>
      </c>
      <c r="F295" s="158">
        <f>TRUNC(G302,2)</f>
        <v>51</v>
      </c>
      <c r="G295" s="137">
        <f>TRUNC(F295*1.2247,2)</f>
        <v>62.45</v>
      </c>
      <c r="H295" s="137">
        <f>TRUNC(F295*E295,2)</f>
        <v>408</v>
      </c>
      <c r="I295" s="138">
        <f>TRUNC(E295*G295,2)</f>
        <v>499.6</v>
      </c>
    </row>
    <row r="296" spans="2:9" s="67" customFormat="1" ht="14.25">
      <c r="B296" s="67" t="s">
        <v>520</v>
      </c>
      <c r="C296" s="67" t="s">
        <v>244</v>
      </c>
      <c r="D296" s="67" t="s">
        <v>12</v>
      </c>
      <c r="E296" s="67">
        <v>0.247</v>
      </c>
      <c r="F296" s="68">
        <f>TRUNC(1.57,2)</f>
        <v>1.57</v>
      </c>
      <c r="G296" s="63">
        <f aca="true" t="shared" si="12" ref="G296:G301">TRUNC(E296*F296,2)</f>
        <v>0.38</v>
      </c>
      <c r="H296" s="63"/>
      <c r="I296" s="64"/>
    </row>
    <row r="297" spans="2:9" s="67" customFormat="1" ht="14.25">
      <c r="B297" s="67" t="s">
        <v>521</v>
      </c>
      <c r="C297" s="67" t="s">
        <v>245</v>
      </c>
      <c r="D297" s="67" t="s">
        <v>12</v>
      </c>
      <c r="E297" s="67">
        <v>0.0593</v>
      </c>
      <c r="F297" s="68">
        <f>TRUNC(46.2,2)</f>
        <v>46.2</v>
      </c>
      <c r="G297" s="63">
        <f t="shared" si="12"/>
        <v>2.73</v>
      </c>
      <c r="H297" s="63"/>
      <c r="I297" s="64"/>
    </row>
    <row r="298" spans="2:9" s="67" customFormat="1" ht="14.25">
      <c r="B298" s="67" t="s">
        <v>535</v>
      </c>
      <c r="C298" s="67" t="s">
        <v>440</v>
      </c>
      <c r="D298" s="67" t="s">
        <v>3</v>
      </c>
      <c r="E298" s="67">
        <v>1.05</v>
      </c>
      <c r="F298" s="68">
        <f>TRUNC(8.99,2)</f>
        <v>8.99</v>
      </c>
      <c r="G298" s="63">
        <f t="shared" si="12"/>
        <v>9.43</v>
      </c>
      <c r="H298" s="63"/>
      <c r="I298" s="64"/>
    </row>
    <row r="299" spans="2:9" s="67" customFormat="1" ht="14.25">
      <c r="B299" s="67" t="s">
        <v>523</v>
      </c>
      <c r="C299" s="67" t="s">
        <v>247</v>
      </c>
      <c r="D299" s="67" t="s">
        <v>12</v>
      </c>
      <c r="E299" s="67">
        <v>0.0363</v>
      </c>
      <c r="F299" s="68">
        <f>TRUNC(53.2,2)</f>
        <v>53.2</v>
      </c>
      <c r="G299" s="63">
        <f t="shared" si="12"/>
        <v>1.93</v>
      </c>
      <c r="H299" s="63"/>
      <c r="I299" s="64"/>
    </row>
    <row r="300" spans="2:9" s="67" customFormat="1" ht="14.25">
      <c r="B300" s="67" t="s">
        <v>524</v>
      </c>
      <c r="C300" s="67" t="s">
        <v>248</v>
      </c>
      <c r="D300" s="67" t="s">
        <v>6</v>
      </c>
      <c r="E300" s="67">
        <v>0.74</v>
      </c>
      <c r="F300" s="68">
        <f>TRUNC(27.81,2)</f>
        <v>27.81</v>
      </c>
      <c r="G300" s="63">
        <f t="shared" si="12"/>
        <v>20.57</v>
      </c>
      <c r="H300" s="63"/>
      <c r="I300" s="64"/>
    </row>
    <row r="301" spans="2:9" s="67" customFormat="1" ht="14.25">
      <c r="B301" s="67" t="s">
        <v>525</v>
      </c>
      <c r="C301" s="67" t="s">
        <v>249</v>
      </c>
      <c r="D301" s="67" t="s">
        <v>6</v>
      </c>
      <c r="E301" s="67">
        <v>0.74</v>
      </c>
      <c r="F301" s="68">
        <f>TRUNC(21.57,2)</f>
        <v>21.57</v>
      </c>
      <c r="G301" s="63">
        <f t="shared" si="12"/>
        <v>15.96</v>
      </c>
      <c r="H301" s="63"/>
      <c r="I301" s="64"/>
    </row>
    <row r="302" spans="5:9" s="67" customFormat="1" ht="14.25">
      <c r="E302" s="67" t="s">
        <v>7</v>
      </c>
      <c r="F302" s="68"/>
      <c r="G302" s="63">
        <f>TRUNC(SUM(G296:G301),2)</f>
        <v>51</v>
      </c>
      <c r="H302" s="63"/>
      <c r="I302" s="64"/>
    </row>
    <row r="303" spans="1:9" s="157" customFormat="1" ht="28.5">
      <c r="A303" s="157" t="s">
        <v>596</v>
      </c>
      <c r="B303" s="157" t="s">
        <v>536</v>
      </c>
      <c r="C303" s="157" t="s">
        <v>446</v>
      </c>
      <c r="D303" s="157" t="s">
        <v>3</v>
      </c>
      <c r="E303" s="157">
        <v>31.14</v>
      </c>
      <c r="F303" s="158">
        <f>TRUNC(G308,2)</f>
        <v>32.96</v>
      </c>
      <c r="G303" s="137">
        <f>TRUNC(F303*1.2247,2)</f>
        <v>40.36</v>
      </c>
      <c r="H303" s="137">
        <f>TRUNC(F303*E303,2)</f>
        <v>1026.37</v>
      </c>
      <c r="I303" s="138">
        <f>TRUNC(E303*G303,2)</f>
        <v>1256.81</v>
      </c>
    </row>
    <row r="304" spans="2:9" s="67" customFormat="1" ht="14.25">
      <c r="B304" s="67" t="s">
        <v>524</v>
      </c>
      <c r="C304" s="67" t="s">
        <v>248</v>
      </c>
      <c r="D304" s="67" t="s">
        <v>6</v>
      </c>
      <c r="E304" s="67">
        <v>0.537</v>
      </c>
      <c r="F304" s="68">
        <f>TRUNC(27.81,2)</f>
        <v>27.81</v>
      </c>
      <c r="G304" s="63">
        <f>TRUNC(E304*F304,2)</f>
        <v>14.93</v>
      </c>
      <c r="H304" s="63"/>
      <c r="I304" s="64"/>
    </row>
    <row r="305" spans="2:9" s="67" customFormat="1" ht="14.25">
      <c r="B305" s="67" t="s">
        <v>525</v>
      </c>
      <c r="C305" s="67" t="s">
        <v>249</v>
      </c>
      <c r="D305" s="67" t="s">
        <v>6</v>
      </c>
      <c r="E305" s="67">
        <v>0.084</v>
      </c>
      <c r="F305" s="68">
        <f>TRUNC(21.57,2)</f>
        <v>21.57</v>
      </c>
      <c r="G305" s="63">
        <f>TRUNC(E305*F305,2)</f>
        <v>1.81</v>
      </c>
      <c r="H305" s="63"/>
      <c r="I305" s="64"/>
    </row>
    <row r="306" spans="2:9" s="67" customFormat="1" ht="28.5">
      <c r="B306" s="67" t="s">
        <v>537</v>
      </c>
      <c r="C306" s="67" t="s">
        <v>538</v>
      </c>
      <c r="D306" s="67" t="s">
        <v>449</v>
      </c>
      <c r="E306" s="67">
        <v>0.369</v>
      </c>
      <c r="F306" s="68">
        <f>TRUNC(29.81,2)</f>
        <v>29.81</v>
      </c>
      <c r="G306" s="63">
        <f>TRUNC(E306*F306,2)</f>
        <v>10.99</v>
      </c>
      <c r="H306" s="63"/>
      <c r="I306" s="64"/>
    </row>
    <row r="307" spans="2:9" s="67" customFormat="1" ht="28.5">
      <c r="B307" s="67" t="s">
        <v>539</v>
      </c>
      <c r="C307" s="67" t="s">
        <v>540</v>
      </c>
      <c r="D307" s="67" t="s">
        <v>452</v>
      </c>
      <c r="E307" s="67">
        <v>0.168</v>
      </c>
      <c r="F307" s="68">
        <f>TRUNC(31.19,2)</f>
        <v>31.19</v>
      </c>
      <c r="G307" s="63">
        <f>TRUNC(E307*F307,2)</f>
        <v>5.23</v>
      </c>
      <c r="H307" s="63"/>
      <c r="I307" s="64"/>
    </row>
    <row r="308" spans="5:9" s="67" customFormat="1" ht="14.25">
      <c r="E308" s="67" t="s">
        <v>7</v>
      </c>
      <c r="F308" s="68"/>
      <c r="G308" s="63">
        <f>TRUNC(SUM(G304:G307),2)</f>
        <v>32.96</v>
      </c>
      <c r="H308" s="63"/>
      <c r="I308" s="64"/>
    </row>
    <row r="309" spans="1:9" s="157" customFormat="1" ht="28.5">
      <c r="A309" s="157" t="s">
        <v>597</v>
      </c>
      <c r="B309" s="157" t="s">
        <v>541</v>
      </c>
      <c r="C309" s="157" t="s">
        <v>454</v>
      </c>
      <c r="D309" s="157" t="s">
        <v>3</v>
      </c>
      <c r="E309" s="157">
        <v>8</v>
      </c>
      <c r="F309" s="158">
        <f>TRUNC(G314,2)</f>
        <v>35.82</v>
      </c>
      <c r="G309" s="137">
        <f>TRUNC(F309*1.2247,2)</f>
        <v>43.86</v>
      </c>
      <c r="H309" s="137">
        <f>TRUNC(F309*E309,2)</f>
        <v>286.56</v>
      </c>
      <c r="I309" s="138">
        <f>TRUNC(E309*G309,2)</f>
        <v>350.88</v>
      </c>
    </row>
    <row r="310" spans="2:9" s="67" customFormat="1" ht="14.25">
      <c r="B310" s="67" t="s">
        <v>524</v>
      </c>
      <c r="C310" s="67" t="s">
        <v>248</v>
      </c>
      <c r="D310" s="67" t="s">
        <v>6</v>
      </c>
      <c r="E310" s="67">
        <v>0.583</v>
      </c>
      <c r="F310" s="68">
        <f>TRUNC(27.81,2)</f>
        <v>27.81</v>
      </c>
      <c r="G310" s="63">
        <f>TRUNC(E310*F310,2)</f>
        <v>16.21</v>
      </c>
      <c r="H310" s="63"/>
      <c r="I310" s="64"/>
    </row>
    <row r="311" spans="2:9" s="67" customFormat="1" ht="14.25">
      <c r="B311" s="67" t="s">
        <v>525</v>
      </c>
      <c r="C311" s="67" t="s">
        <v>249</v>
      </c>
      <c r="D311" s="67" t="s">
        <v>6</v>
      </c>
      <c r="E311" s="67">
        <v>0.091</v>
      </c>
      <c r="F311" s="68">
        <f>TRUNC(21.57,2)</f>
        <v>21.57</v>
      </c>
      <c r="G311" s="63">
        <f>TRUNC(E311*F311,2)</f>
        <v>1.96</v>
      </c>
      <c r="H311" s="63"/>
      <c r="I311" s="64"/>
    </row>
    <row r="312" spans="2:9" s="67" customFormat="1" ht="28.5">
      <c r="B312" s="67" t="s">
        <v>537</v>
      </c>
      <c r="C312" s="67" t="s">
        <v>538</v>
      </c>
      <c r="D312" s="67" t="s">
        <v>449</v>
      </c>
      <c r="E312" s="67">
        <v>0.401</v>
      </c>
      <c r="F312" s="68">
        <f>TRUNC(29.81,2)</f>
        <v>29.81</v>
      </c>
      <c r="G312" s="63">
        <f>TRUNC(E312*F312,2)</f>
        <v>11.95</v>
      </c>
      <c r="H312" s="63"/>
      <c r="I312" s="64"/>
    </row>
    <row r="313" spans="2:9" s="67" customFormat="1" ht="28.5">
      <c r="B313" s="67" t="s">
        <v>539</v>
      </c>
      <c r="C313" s="67" t="s">
        <v>540</v>
      </c>
      <c r="D313" s="67" t="s">
        <v>452</v>
      </c>
      <c r="E313" s="67">
        <v>0.183</v>
      </c>
      <c r="F313" s="68">
        <f>TRUNC(31.19,2)</f>
        <v>31.19</v>
      </c>
      <c r="G313" s="63">
        <f>TRUNC(E313*F313,2)</f>
        <v>5.7</v>
      </c>
      <c r="H313" s="63"/>
      <c r="I313" s="64"/>
    </row>
    <row r="314" spans="5:9" s="67" customFormat="1" ht="14.25">
      <c r="E314" s="67" t="s">
        <v>7</v>
      </c>
      <c r="F314" s="68"/>
      <c r="G314" s="63">
        <f>TRUNC(SUM(G310:G313),2)</f>
        <v>35.82</v>
      </c>
      <c r="H314" s="63"/>
      <c r="I314" s="64"/>
    </row>
    <row r="315" spans="1:9" s="157" customFormat="1" ht="42.75">
      <c r="A315" s="157" t="s">
        <v>598</v>
      </c>
      <c r="B315" s="157" t="s">
        <v>659</v>
      </c>
      <c r="C315" s="157" t="s">
        <v>572</v>
      </c>
      <c r="D315" s="157" t="s">
        <v>3</v>
      </c>
      <c r="E315" s="157">
        <v>3</v>
      </c>
      <c r="F315" s="158">
        <f>TRUNC(G321,2)</f>
        <v>259.4</v>
      </c>
      <c r="G315" s="137">
        <f>TRUNC(F315*1.2247,2)</f>
        <v>317.68</v>
      </c>
      <c r="H315" s="137">
        <f>TRUNC(F315*E315,2)</f>
        <v>778.2</v>
      </c>
      <c r="I315" s="138">
        <f>TRUNC(E315*G315,2)</f>
        <v>953.04</v>
      </c>
    </row>
    <row r="316" spans="2:9" s="67" customFormat="1" ht="14.25">
      <c r="B316" s="67" t="s">
        <v>573</v>
      </c>
      <c r="C316" s="67" t="s">
        <v>574</v>
      </c>
      <c r="D316" s="67" t="s">
        <v>3</v>
      </c>
      <c r="E316" s="67">
        <v>1</v>
      </c>
      <c r="F316" s="68">
        <f>TRUNC(174.85,2)</f>
        <v>174.85</v>
      </c>
      <c r="G316" s="63">
        <f>TRUNC(E316*F316,2)</f>
        <v>174.85</v>
      </c>
      <c r="H316" s="63"/>
      <c r="I316" s="64"/>
    </row>
    <row r="317" spans="2:9" s="67" customFormat="1" ht="14.25">
      <c r="B317" s="67" t="s">
        <v>89</v>
      </c>
      <c r="C317" s="67" t="s">
        <v>90</v>
      </c>
      <c r="D317" s="67" t="s">
        <v>6</v>
      </c>
      <c r="E317" s="67">
        <v>0.4326</v>
      </c>
      <c r="F317" s="68">
        <f>TRUNC(15.69,2)</f>
        <v>15.69</v>
      </c>
      <c r="G317" s="63">
        <f>TRUNC(E317*F317,2)</f>
        <v>6.78</v>
      </c>
      <c r="H317" s="63"/>
      <c r="I317" s="64"/>
    </row>
    <row r="318" spans="2:9" s="67" customFormat="1" ht="14.25">
      <c r="B318" s="67" t="s">
        <v>93</v>
      </c>
      <c r="C318" s="67" t="s">
        <v>94</v>
      </c>
      <c r="D318" s="67" t="s">
        <v>6</v>
      </c>
      <c r="E318" s="67">
        <v>0.4326</v>
      </c>
      <c r="F318" s="68">
        <f>TRUNC(21.67,2)</f>
        <v>21.67</v>
      </c>
      <c r="G318" s="63">
        <f>TRUNC(E318*F318,2)</f>
        <v>9.37</v>
      </c>
      <c r="H318" s="63"/>
      <c r="I318" s="64"/>
    </row>
    <row r="319" spans="2:9" s="67" customFormat="1" ht="14.25">
      <c r="B319" s="67" t="s">
        <v>567</v>
      </c>
      <c r="C319" s="67" t="s">
        <v>568</v>
      </c>
      <c r="D319" s="67" t="s">
        <v>1</v>
      </c>
      <c r="E319" s="67">
        <v>0.02</v>
      </c>
      <c r="F319" s="68">
        <f>TRUNC(1597.0275,2)</f>
        <v>1597.02</v>
      </c>
      <c r="G319" s="63">
        <f>TRUNC(E319*F319,2)</f>
        <v>31.94</v>
      </c>
      <c r="H319" s="63"/>
      <c r="I319" s="64"/>
    </row>
    <row r="320" spans="2:9" s="67" customFormat="1" ht="14.25">
      <c r="B320" s="67" t="s">
        <v>569</v>
      </c>
      <c r="C320" s="67" t="s">
        <v>570</v>
      </c>
      <c r="D320" s="67" t="s">
        <v>0</v>
      </c>
      <c r="E320" s="67">
        <v>0.72</v>
      </c>
      <c r="F320" s="68">
        <f>TRUNC(50.6419,2)</f>
        <v>50.64</v>
      </c>
      <c r="G320" s="63">
        <f>TRUNC(E320*F320,2)</f>
        <v>36.46</v>
      </c>
      <c r="H320" s="63"/>
      <c r="I320" s="64"/>
    </row>
    <row r="321" spans="5:9" s="67" customFormat="1" ht="14.25">
      <c r="E321" s="67" t="s">
        <v>7</v>
      </c>
      <c r="F321" s="68"/>
      <c r="G321" s="63">
        <f>TRUNC(SUM(G316:G320),2)</f>
        <v>259.4</v>
      </c>
      <c r="H321" s="63"/>
      <c r="I321" s="64"/>
    </row>
    <row r="322" spans="1:9" s="44" customFormat="1" ht="15.75">
      <c r="A322" s="53" t="s">
        <v>44</v>
      </c>
      <c r="B322" s="55"/>
      <c r="C322" s="54"/>
      <c r="D322" s="55"/>
      <c r="E322" s="55"/>
      <c r="F322" s="55" t="s">
        <v>139</v>
      </c>
      <c r="G322" s="55"/>
      <c r="H322" s="56">
        <f>H309+H303+H295+H287+H279+H273+H265+H257+H254+H249+H244+H238+H232+H218+H201+H195+H189+H224+H315</f>
        <v>7206.279999999998</v>
      </c>
      <c r="I322" s="56">
        <f>I309+I303+I295+I287+I279+I273+I265+I257+I254+I249+I244+I238+I232+I218+I201+I195+I189+I224+I315</f>
        <v>8824.369999999999</v>
      </c>
    </row>
    <row r="323" spans="1:9" s="43" customFormat="1" ht="15.75">
      <c r="A323" s="43" t="s">
        <v>20</v>
      </c>
      <c r="B323" s="51"/>
      <c r="C323" s="52" t="s">
        <v>222</v>
      </c>
      <c r="D323" s="52"/>
      <c r="E323" s="52"/>
      <c r="F323" s="52"/>
      <c r="G323" s="52"/>
      <c r="H323" s="52"/>
      <c r="I323" s="50"/>
    </row>
    <row r="324" spans="1:9" s="157" customFormat="1" ht="42.75">
      <c r="A324" s="157" t="s">
        <v>599</v>
      </c>
      <c r="B324" s="157" t="s">
        <v>661</v>
      </c>
      <c r="C324" s="157" t="s">
        <v>360</v>
      </c>
      <c r="D324" s="157" t="s">
        <v>12</v>
      </c>
      <c r="E324" s="157">
        <v>2</v>
      </c>
      <c r="F324" s="158">
        <f>TRUNC(G328,2)</f>
        <v>400.74</v>
      </c>
      <c r="G324" s="137">
        <f>TRUNC(F324*1.2247,2)</f>
        <v>490.78</v>
      </c>
      <c r="H324" s="137">
        <f>TRUNC(F324*E324,2)</f>
        <v>801.48</v>
      </c>
      <c r="I324" s="138">
        <f>TRUNC(E324*G324,2)</f>
        <v>981.56</v>
      </c>
    </row>
    <row r="325" spans="1:9" s="82" customFormat="1" ht="28.5">
      <c r="A325" s="67"/>
      <c r="B325" s="67" t="s">
        <v>662</v>
      </c>
      <c r="C325" s="67" t="s">
        <v>362</v>
      </c>
      <c r="D325" s="67" t="s">
        <v>12</v>
      </c>
      <c r="E325" s="67">
        <v>1</v>
      </c>
      <c r="F325" s="68">
        <f>TRUNC(274.32,2)</f>
        <v>274.32</v>
      </c>
      <c r="G325" s="63">
        <f>TRUNC(E325*F325,2)</f>
        <v>274.32</v>
      </c>
      <c r="H325" s="63"/>
      <c r="I325" s="64"/>
    </row>
    <row r="326" spans="1:9" s="82" customFormat="1" ht="14.25">
      <c r="A326" s="67"/>
      <c r="B326" s="67" t="s">
        <v>663</v>
      </c>
      <c r="C326" s="67" t="s">
        <v>103</v>
      </c>
      <c r="D326" s="67" t="s">
        <v>6</v>
      </c>
      <c r="E326" s="67">
        <v>2.5</v>
      </c>
      <c r="F326" s="68">
        <f>TRUNC(28.5,2)</f>
        <v>28.5</v>
      </c>
      <c r="G326" s="63">
        <f>TRUNC(E326*F326,2)</f>
        <v>71.25</v>
      </c>
      <c r="H326" s="63"/>
      <c r="I326" s="64"/>
    </row>
    <row r="327" spans="1:9" s="82" customFormat="1" ht="14.25">
      <c r="A327" s="67"/>
      <c r="B327" s="67" t="s">
        <v>664</v>
      </c>
      <c r="C327" s="67" t="s">
        <v>104</v>
      </c>
      <c r="D327" s="67" t="s">
        <v>6</v>
      </c>
      <c r="E327" s="67">
        <v>2.5</v>
      </c>
      <c r="F327" s="68">
        <f>TRUNC(22.07,2)</f>
        <v>22.07</v>
      </c>
      <c r="G327" s="63">
        <f>TRUNC(E327*F327,2)</f>
        <v>55.17</v>
      </c>
      <c r="H327" s="63"/>
      <c r="I327" s="64"/>
    </row>
    <row r="328" spans="1:9" s="82" customFormat="1" ht="14.25">
      <c r="A328" s="67"/>
      <c r="B328" s="67"/>
      <c r="C328" s="67"/>
      <c r="D328" s="67"/>
      <c r="E328" s="67" t="s">
        <v>7</v>
      </c>
      <c r="F328" s="68"/>
      <c r="G328" s="63">
        <f>TRUNC(SUM(G325:G327),2)</f>
        <v>400.74</v>
      </c>
      <c r="H328" s="63"/>
      <c r="I328" s="64"/>
    </row>
    <row r="329" spans="1:9" s="157" customFormat="1" ht="28.5">
      <c r="A329" s="157" t="s">
        <v>600</v>
      </c>
      <c r="B329" s="157" t="s">
        <v>665</v>
      </c>
      <c r="C329" s="157" t="s">
        <v>356</v>
      </c>
      <c r="D329" s="157" t="s">
        <v>12</v>
      </c>
      <c r="E329" s="157">
        <v>4</v>
      </c>
      <c r="F329" s="158">
        <f>TRUNC(G334,2)</f>
        <v>10.21</v>
      </c>
      <c r="G329" s="137">
        <f>TRUNC(F329*1.2247,2)</f>
        <v>12.5</v>
      </c>
      <c r="H329" s="137">
        <f>TRUNC(F329*E329,2)</f>
        <v>40.84</v>
      </c>
      <c r="I329" s="138">
        <f>TRUNC(E329*G329,2)</f>
        <v>50</v>
      </c>
    </row>
    <row r="330" spans="1:9" s="82" customFormat="1" ht="14.25">
      <c r="A330" s="67"/>
      <c r="B330" s="67" t="s">
        <v>666</v>
      </c>
      <c r="C330" s="67" t="s">
        <v>342</v>
      </c>
      <c r="D330" s="67" t="s">
        <v>12</v>
      </c>
      <c r="E330" s="67">
        <v>1</v>
      </c>
      <c r="F330" s="68">
        <f>TRUNC(7.8,2)</f>
        <v>7.8</v>
      </c>
      <c r="G330" s="63">
        <f>TRUNC(E330*F330,2)</f>
        <v>7.8</v>
      </c>
      <c r="H330" s="63"/>
      <c r="I330" s="64"/>
    </row>
    <row r="331" spans="1:9" s="82" customFormat="1" ht="28.5">
      <c r="A331" s="67"/>
      <c r="B331" s="67" t="s">
        <v>667</v>
      </c>
      <c r="C331" s="67" t="s">
        <v>344</v>
      </c>
      <c r="D331" s="67" t="s">
        <v>12</v>
      </c>
      <c r="E331" s="67">
        <v>1</v>
      </c>
      <c r="F331" s="68">
        <f>TRUNC(0.65,2)</f>
        <v>0.65</v>
      </c>
      <c r="G331" s="63">
        <f>TRUNC(E331*F331,2)</f>
        <v>0.65</v>
      </c>
      <c r="H331" s="63"/>
      <c r="I331" s="64"/>
    </row>
    <row r="332" spans="1:9" s="82" customFormat="1" ht="14.25">
      <c r="A332" s="67"/>
      <c r="B332" s="67" t="s">
        <v>663</v>
      </c>
      <c r="C332" s="67" t="s">
        <v>103</v>
      </c>
      <c r="D332" s="67" t="s">
        <v>6</v>
      </c>
      <c r="E332" s="67">
        <v>0.035</v>
      </c>
      <c r="F332" s="68">
        <f>TRUNC(28.5,2)</f>
        <v>28.5</v>
      </c>
      <c r="G332" s="63">
        <f>TRUNC(E332*F332,2)</f>
        <v>0.99</v>
      </c>
      <c r="H332" s="63"/>
      <c r="I332" s="64"/>
    </row>
    <row r="333" spans="1:9" s="82" customFormat="1" ht="14.25">
      <c r="A333" s="67"/>
      <c r="B333" s="67" t="s">
        <v>664</v>
      </c>
      <c r="C333" s="67" t="s">
        <v>104</v>
      </c>
      <c r="D333" s="67" t="s">
        <v>6</v>
      </c>
      <c r="E333" s="67">
        <v>0.035</v>
      </c>
      <c r="F333" s="68">
        <f>TRUNC(22.07,2)</f>
        <v>22.07</v>
      </c>
      <c r="G333" s="63">
        <f>TRUNC(E333*F333,2)</f>
        <v>0.77</v>
      </c>
      <c r="H333" s="63"/>
      <c r="I333" s="64"/>
    </row>
    <row r="334" spans="1:9" s="82" customFormat="1" ht="14.25">
      <c r="A334" s="67"/>
      <c r="B334" s="67"/>
      <c r="C334" s="67"/>
      <c r="D334" s="67"/>
      <c r="E334" s="67" t="s">
        <v>7</v>
      </c>
      <c r="F334" s="68"/>
      <c r="G334" s="63">
        <f>TRUNC(SUM(G330:G333),2)</f>
        <v>10.21</v>
      </c>
      <c r="H334" s="63"/>
      <c r="I334" s="64"/>
    </row>
    <row r="335" spans="1:9" s="157" customFormat="1" ht="28.5">
      <c r="A335" s="157" t="s">
        <v>601</v>
      </c>
      <c r="B335" s="157" t="s">
        <v>668</v>
      </c>
      <c r="C335" s="157" t="s">
        <v>358</v>
      </c>
      <c r="D335" s="157" t="s">
        <v>12</v>
      </c>
      <c r="E335" s="157">
        <v>1</v>
      </c>
      <c r="F335" s="158">
        <f>TRUNC(G340,2)</f>
        <v>49.53</v>
      </c>
      <c r="G335" s="137">
        <f>TRUNC(F335*1.2247,2)</f>
        <v>60.65</v>
      </c>
      <c r="H335" s="137">
        <f>TRUNC(F335*E335,2)</f>
        <v>49.53</v>
      </c>
      <c r="I335" s="138">
        <f>TRUNC(E335*G335,2)</f>
        <v>60.65</v>
      </c>
    </row>
    <row r="336" spans="1:9" s="82" customFormat="1" ht="14.25">
      <c r="A336" s="67"/>
      <c r="B336" s="67" t="s">
        <v>669</v>
      </c>
      <c r="C336" s="67" t="s">
        <v>348</v>
      </c>
      <c r="D336" s="67" t="s">
        <v>12</v>
      </c>
      <c r="E336" s="67">
        <v>1</v>
      </c>
      <c r="F336" s="68">
        <f>TRUNC(44.7,2)</f>
        <v>44.7</v>
      </c>
      <c r="G336" s="63">
        <f>TRUNC(E336*F336,2)</f>
        <v>44.7</v>
      </c>
      <c r="H336" s="63"/>
      <c r="I336" s="64"/>
    </row>
    <row r="337" spans="1:9" s="82" customFormat="1" ht="28.5">
      <c r="A337" s="67"/>
      <c r="B337" s="67" t="s">
        <v>667</v>
      </c>
      <c r="C337" s="67" t="s">
        <v>344</v>
      </c>
      <c r="D337" s="67" t="s">
        <v>12</v>
      </c>
      <c r="E337" s="67">
        <v>2</v>
      </c>
      <c r="F337" s="68">
        <f>TRUNC(0.65,2)</f>
        <v>0.65</v>
      </c>
      <c r="G337" s="63">
        <f>TRUNC(E337*F337,2)</f>
        <v>1.3</v>
      </c>
      <c r="H337" s="63"/>
      <c r="I337" s="64"/>
    </row>
    <row r="338" spans="1:9" s="82" customFormat="1" ht="14.25">
      <c r="A338" s="67"/>
      <c r="B338" s="67" t="s">
        <v>663</v>
      </c>
      <c r="C338" s="67" t="s">
        <v>103</v>
      </c>
      <c r="D338" s="67" t="s">
        <v>6</v>
      </c>
      <c r="E338" s="67">
        <v>0.07</v>
      </c>
      <c r="F338" s="68">
        <f>TRUNC(28.5,2)</f>
        <v>28.5</v>
      </c>
      <c r="G338" s="63">
        <f>TRUNC(E338*F338,2)</f>
        <v>1.99</v>
      </c>
      <c r="H338" s="63"/>
      <c r="I338" s="64"/>
    </row>
    <row r="339" spans="1:9" s="82" customFormat="1" ht="14.25">
      <c r="A339" s="67"/>
      <c r="B339" s="67" t="s">
        <v>664</v>
      </c>
      <c r="C339" s="67" t="s">
        <v>104</v>
      </c>
      <c r="D339" s="67" t="s">
        <v>6</v>
      </c>
      <c r="E339" s="67">
        <v>0.07</v>
      </c>
      <c r="F339" s="68">
        <f>TRUNC(22.07,2)</f>
        <v>22.07</v>
      </c>
      <c r="G339" s="63">
        <f>TRUNC(E339*F339,2)</f>
        <v>1.54</v>
      </c>
      <c r="H339" s="63"/>
      <c r="I339" s="64"/>
    </row>
    <row r="340" spans="1:9" s="82" customFormat="1" ht="14.25">
      <c r="A340" s="67"/>
      <c r="B340" s="67"/>
      <c r="C340" s="67"/>
      <c r="D340" s="67"/>
      <c r="E340" s="67" t="s">
        <v>7</v>
      </c>
      <c r="F340" s="68"/>
      <c r="G340" s="63">
        <f>TRUNC(SUM(G336:G339),2)</f>
        <v>49.53</v>
      </c>
      <c r="H340" s="63"/>
      <c r="I340" s="64"/>
    </row>
    <row r="341" spans="1:9" s="157" customFormat="1" ht="28.5">
      <c r="A341" s="157" t="s">
        <v>602</v>
      </c>
      <c r="B341" s="157" t="s">
        <v>670</v>
      </c>
      <c r="C341" s="157" t="s">
        <v>340</v>
      </c>
      <c r="D341" s="157" t="s">
        <v>12</v>
      </c>
      <c r="E341" s="157">
        <v>3</v>
      </c>
      <c r="F341" s="158">
        <f>TRUNC(G346,2)</f>
        <v>10.86</v>
      </c>
      <c r="G341" s="137">
        <f>TRUNC(F341*1.2247,2)</f>
        <v>13.3</v>
      </c>
      <c r="H341" s="137">
        <f>TRUNC(F341*E341,2)</f>
        <v>32.58</v>
      </c>
      <c r="I341" s="138">
        <f>TRUNC(E341*G341,2)</f>
        <v>39.9</v>
      </c>
    </row>
    <row r="342" spans="1:9" s="82" customFormat="1" ht="14.25">
      <c r="A342" s="67"/>
      <c r="B342" s="67" t="s">
        <v>666</v>
      </c>
      <c r="C342" s="67" t="s">
        <v>342</v>
      </c>
      <c r="D342" s="67" t="s">
        <v>12</v>
      </c>
      <c r="E342" s="67">
        <v>1</v>
      </c>
      <c r="F342" s="68">
        <f>TRUNC(7.8,2)</f>
        <v>7.8</v>
      </c>
      <c r="G342" s="63">
        <f>TRUNC(E342*F342,2)</f>
        <v>7.8</v>
      </c>
      <c r="H342" s="63"/>
      <c r="I342" s="64"/>
    </row>
    <row r="343" spans="1:9" s="82" customFormat="1" ht="28.5">
      <c r="A343" s="67"/>
      <c r="B343" s="67" t="s">
        <v>667</v>
      </c>
      <c r="C343" s="67" t="s">
        <v>344</v>
      </c>
      <c r="D343" s="67" t="s">
        <v>12</v>
      </c>
      <c r="E343" s="67">
        <v>1</v>
      </c>
      <c r="F343" s="68">
        <f>TRUNC(0.65,2)</f>
        <v>0.65</v>
      </c>
      <c r="G343" s="63">
        <f>TRUNC(E343*F343,2)</f>
        <v>0.65</v>
      </c>
      <c r="H343" s="63"/>
      <c r="I343" s="64"/>
    </row>
    <row r="344" spans="1:9" s="82" customFormat="1" ht="14.25">
      <c r="A344" s="67"/>
      <c r="B344" s="67" t="s">
        <v>663</v>
      </c>
      <c r="C344" s="67" t="s">
        <v>103</v>
      </c>
      <c r="D344" s="67" t="s">
        <v>6</v>
      </c>
      <c r="E344" s="67">
        <v>0.048</v>
      </c>
      <c r="F344" s="68">
        <f>TRUNC(28.5,2)</f>
        <v>28.5</v>
      </c>
      <c r="G344" s="63">
        <f>TRUNC(E344*F344,2)</f>
        <v>1.36</v>
      </c>
      <c r="H344" s="63"/>
      <c r="I344" s="64"/>
    </row>
    <row r="345" spans="1:9" s="82" customFormat="1" ht="14.25">
      <c r="A345" s="67"/>
      <c r="B345" s="67" t="s">
        <v>664</v>
      </c>
      <c r="C345" s="67" t="s">
        <v>104</v>
      </c>
      <c r="D345" s="67" t="s">
        <v>6</v>
      </c>
      <c r="E345" s="67">
        <v>0.048</v>
      </c>
      <c r="F345" s="68">
        <f>TRUNC(22.07,2)</f>
        <v>22.07</v>
      </c>
      <c r="G345" s="63">
        <f>TRUNC(E345*F345,2)</f>
        <v>1.05</v>
      </c>
      <c r="H345" s="63"/>
      <c r="I345" s="64"/>
    </row>
    <row r="346" spans="1:9" s="82" customFormat="1" ht="14.25">
      <c r="A346" s="67"/>
      <c r="B346" s="67"/>
      <c r="C346" s="67"/>
      <c r="D346" s="67"/>
      <c r="E346" s="67" t="s">
        <v>7</v>
      </c>
      <c r="F346" s="68"/>
      <c r="G346" s="63">
        <f>TRUNC(SUM(G342:G345),2)</f>
        <v>10.86</v>
      </c>
      <c r="H346" s="63"/>
      <c r="I346" s="64"/>
    </row>
    <row r="347" spans="1:9" s="157" customFormat="1" ht="28.5">
      <c r="A347" s="157" t="s">
        <v>603</v>
      </c>
      <c r="B347" s="157" t="s">
        <v>671</v>
      </c>
      <c r="C347" s="157" t="s">
        <v>346</v>
      </c>
      <c r="D347" s="157" t="s">
        <v>12</v>
      </c>
      <c r="E347" s="157">
        <v>1</v>
      </c>
      <c r="F347" s="158">
        <f>TRUNC(G352,2)</f>
        <v>53.1</v>
      </c>
      <c r="G347" s="137">
        <f>TRUNC(F347*1.2247,2)</f>
        <v>65.03</v>
      </c>
      <c r="H347" s="137">
        <f>TRUNC(F347*E347,2)</f>
        <v>53.1</v>
      </c>
      <c r="I347" s="138">
        <f>TRUNC(E347*G347,2)</f>
        <v>65.03</v>
      </c>
    </row>
    <row r="348" spans="1:9" s="82" customFormat="1" ht="14.25">
      <c r="A348" s="67"/>
      <c r="B348" s="67" t="s">
        <v>669</v>
      </c>
      <c r="C348" s="67" t="s">
        <v>348</v>
      </c>
      <c r="D348" s="67" t="s">
        <v>12</v>
      </c>
      <c r="E348" s="67">
        <v>1</v>
      </c>
      <c r="F348" s="68">
        <f>TRUNC(44.7,2)</f>
        <v>44.7</v>
      </c>
      <c r="G348" s="63">
        <f>TRUNC(E348*F348,2)</f>
        <v>44.7</v>
      </c>
      <c r="H348" s="63"/>
      <c r="I348" s="64"/>
    </row>
    <row r="349" spans="1:9" s="82" customFormat="1" ht="28.5">
      <c r="A349" s="67"/>
      <c r="B349" s="67" t="s">
        <v>672</v>
      </c>
      <c r="C349" s="67" t="s">
        <v>350</v>
      </c>
      <c r="D349" s="67" t="s">
        <v>12</v>
      </c>
      <c r="E349" s="67">
        <v>2</v>
      </c>
      <c r="F349" s="68">
        <f>TRUNC(0.84,2)</f>
        <v>0.84</v>
      </c>
      <c r="G349" s="63">
        <f>TRUNC(E349*F349,2)</f>
        <v>1.68</v>
      </c>
      <c r="H349" s="63"/>
      <c r="I349" s="64"/>
    </row>
    <row r="350" spans="1:9" s="82" customFormat="1" ht="14.25">
      <c r="A350" s="67"/>
      <c r="B350" s="67" t="s">
        <v>663</v>
      </c>
      <c r="C350" s="67" t="s">
        <v>103</v>
      </c>
      <c r="D350" s="67" t="s">
        <v>6</v>
      </c>
      <c r="E350" s="67">
        <v>0.133</v>
      </c>
      <c r="F350" s="68">
        <f>TRUNC(28.5,2)</f>
        <v>28.5</v>
      </c>
      <c r="G350" s="63">
        <f>TRUNC(E350*F350,2)</f>
        <v>3.79</v>
      </c>
      <c r="H350" s="63"/>
      <c r="I350" s="64"/>
    </row>
    <row r="351" spans="1:9" s="82" customFormat="1" ht="14.25">
      <c r="A351" s="67"/>
      <c r="B351" s="67" t="s">
        <v>664</v>
      </c>
      <c r="C351" s="67" t="s">
        <v>104</v>
      </c>
      <c r="D351" s="67" t="s">
        <v>6</v>
      </c>
      <c r="E351" s="67">
        <v>0.133</v>
      </c>
      <c r="F351" s="68">
        <f>TRUNC(22.07,2)</f>
        <v>22.07</v>
      </c>
      <c r="G351" s="63">
        <f>TRUNC(E351*F351,2)</f>
        <v>2.93</v>
      </c>
      <c r="H351" s="63"/>
      <c r="I351" s="64"/>
    </row>
    <row r="352" spans="1:9" s="82" customFormat="1" ht="14.25">
      <c r="A352" s="67"/>
      <c r="B352" s="67"/>
      <c r="C352" s="67"/>
      <c r="D352" s="67"/>
      <c r="E352" s="67" t="s">
        <v>7</v>
      </c>
      <c r="F352" s="68"/>
      <c r="G352" s="63">
        <f>TRUNC(SUM(G348:G351),2)</f>
        <v>53.1</v>
      </c>
      <c r="H352" s="63"/>
      <c r="I352" s="64"/>
    </row>
    <row r="353" spans="1:9" s="157" customFormat="1" ht="28.5">
      <c r="A353" s="157" t="s">
        <v>604</v>
      </c>
      <c r="B353" s="157" t="s">
        <v>673</v>
      </c>
      <c r="C353" s="157" t="s">
        <v>352</v>
      </c>
      <c r="D353" s="157" t="s">
        <v>12</v>
      </c>
      <c r="E353" s="157">
        <v>5</v>
      </c>
      <c r="F353" s="158">
        <f>TRUNC(G358,2)</f>
        <v>55.91</v>
      </c>
      <c r="G353" s="137">
        <f>TRUNC(F353*1.2247,2)</f>
        <v>68.47</v>
      </c>
      <c r="H353" s="137">
        <f>TRUNC(F353*E353,2)</f>
        <v>279.55</v>
      </c>
      <c r="I353" s="138">
        <f>TRUNC(E353*G353,2)</f>
        <v>342.35</v>
      </c>
    </row>
    <row r="354" spans="1:9" s="82" customFormat="1" ht="14.25">
      <c r="A354" s="67"/>
      <c r="B354" s="67" t="s">
        <v>669</v>
      </c>
      <c r="C354" s="67" t="s">
        <v>348</v>
      </c>
      <c r="D354" s="67" t="s">
        <v>12</v>
      </c>
      <c r="E354" s="67">
        <v>1</v>
      </c>
      <c r="F354" s="68">
        <f>TRUNC(44.7,2)</f>
        <v>44.7</v>
      </c>
      <c r="G354" s="63">
        <f>TRUNC(E354*F354,2)</f>
        <v>44.7</v>
      </c>
      <c r="H354" s="63"/>
      <c r="I354" s="64"/>
    </row>
    <row r="355" spans="1:9" s="82" customFormat="1" ht="28.5">
      <c r="A355" s="67"/>
      <c r="B355" s="67" t="s">
        <v>674</v>
      </c>
      <c r="C355" s="67" t="s">
        <v>354</v>
      </c>
      <c r="D355" s="67" t="s">
        <v>12</v>
      </c>
      <c r="E355" s="67">
        <v>2</v>
      </c>
      <c r="F355" s="68">
        <f>TRUNC(1.01,2)</f>
        <v>1.01</v>
      </c>
      <c r="G355" s="63">
        <f>TRUNC(E355*F355,2)</f>
        <v>2.02</v>
      </c>
      <c r="H355" s="63"/>
      <c r="I355" s="64"/>
    </row>
    <row r="356" spans="1:9" s="82" customFormat="1" ht="14.25">
      <c r="A356" s="67"/>
      <c r="B356" s="67" t="s">
        <v>663</v>
      </c>
      <c r="C356" s="67" t="s">
        <v>103</v>
      </c>
      <c r="D356" s="67" t="s">
        <v>6</v>
      </c>
      <c r="E356" s="67">
        <v>0.182</v>
      </c>
      <c r="F356" s="68">
        <f>TRUNC(28.5,2)</f>
        <v>28.5</v>
      </c>
      <c r="G356" s="63">
        <f>TRUNC(E356*F356,2)</f>
        <v>5.18</v>
      </c>
      <c r="H356" s="63"/>
      <c r="I356" s="64"/>
    </row>
    <row r="357" spans="1:9" s="82" customFormat="1" ht="14.25">
      <c r="A357" s="67"/>
      <c r="B357" s="67" t="s">
        <v>664</v>
      </c>
      <c r="C357" s="67" t="s">
        <v>104</v>
      </c>
      <c r="D357" s="67" t="s">
        <v>6</v>
      </c>
      <c r="E357" s="67">
        <v>0.182</v>
      </c>
      <c r="F357" s="68">
        <f>TRUNC(22.07,2)</f>
        <v>22.07</v>
      </c>
      <c r="G357" s="63">
        <f>TRUNC(E357*F357,2)</f>
        <v>4.01</v>
      </c>
      <c r="H357" s="63"/>
      <c r="I357" s="64"/>
    </row>
    <row r="358" spans="1:9" s="82" customFormat="1" ht="14.25">
      <c r="A358" s="67"/>
      <c r="B358" s="67"/>
      <c r="C358" s="67"/>
      <c r="D358" s="67"/>
      <c r="E358" s="67" t="s">
        <v>7</v>
      </c>
      <c r="F358" s="68"/>
      <c r="G358" s="63">
        <f>TRUNC(SUM(G354:G357),2)</f>
        <v>55.91</v>
      </c>
      <c r="H358" s="63"/>
      <c r="I358" s="64"/>
    </row>
    <row r="359" spans="1:9" s="157" customFormat="1" ht="57">
      <c r="A359" s="157" t="s">
        <v>605</v>
      </c>
      <c r="B359" s="157" t="s">
        <v>675</v>
      </c>
      <c r="C359" s="157" t="s">
        <v>287</v>
      </c>
      <c r="D359" s="157" t="s">
        <v>3</v>
      </c>
      <c r="E359" s="157">
        <v>340</v>
      </c>
      <c r="F359" s="158">
        <f>TRUNC(G364,2)</f>
        <v>2.89</v>
      </c>
      <c r="G359" s="137">
        <f>TRUNC(F359*1.2247,2)</f>
        <v>3.53</v>
      </c>
      <c r="H359" s="137">
        <f>TRUNC(F359*E359,2)</f>
        <v>982.6</v>
      </c>
      <c r="I359" s="138">
        <f>TRUNC(E359*G359,2)</f>
        <v>1200.2</v>
      </c>
    </row>
    <row r="360" spans="1:9" s="82" customFormat="1" ht="14.25">
      <c r="A360" s="67"/>
      <c r="B360" s="67" t="s">
        <v>80</v>
      </c>
      <c r="C360" s="67" t="s">
        <v>81</v>
      </c>
      <c r="D360" s="67" t="s">
        <v>12</v>
      </c>
      <c r="E360" s="67">
        <v>0.0014</v>
      </c>
      <c r="F360" s="68">
        <f>TRUNC(3.21,2)</f>
        <v>3.21</v>
      </c>
      <c r="G360" s="63">
        <f>TRUNC(E360*F360,2)</f>
        <v>0</v>
      </c>
      <c r="H360" s="63"/>
      <c r="I360" s="64"/>
    </row>
    <row r="361" spans="1:9" s="82" customFormat="1" ht="14.25">
      <c r="A361" s="67"/>
      <c r="B361" s="67" t="s">
        <v>288</v>
      </c>
      <c r="C361" s="67" t="s">
        <v>289</v>
      </c>
      <c r="D361" s="67" t="s">
        <v>3</v>
      </c>
      <c r="E361" s="67">
        <v>1</v>
      </c>
      <c r="F361" s="68">
        <f>TRUNC(0.9828,2)</f>
        <v>0.98</v>
      </c>
      <c r="G361" s="63">
        <f>TRUNC(E361*F361,2)</f>
        <v>0.98</v>
      </c>
      <c r="H361" s="63"/>
      <c r="I361" s="64"/>
    </row>
    <row r="362" spans="1:9" s="82" customFormat="1" ht="14.25">
      <c r="A362" s="67"/>
      <c r="B362" s="67" t="s">
        <v>89</v>
      </c>
      <c r="C362" s="67" t="s">
        <v>90</v>
      </c>
      <c r="D362" s="67" t="s">
        <v>6</v>
      </c>
      <c r="E362" s="67">
        <v>0.051500000000000004</v>
      </c>
      <c r="F362" s="68">
        <f>TRUNC(15.69,2)</f>
        <v>15.69</v>
      </c>
      <c r="G362" s="63">
        <f>TRUNC(E362*F362,2)</f>
        <v>0.8</v>
      </c>
      <c r="H362" s="63"/>
      <c r="I362" s="64"/>
    </row>
    <row r="363" spans="1:9" s="82" customFormat="1" ht="14.25">
      <c r="A363" s="67"/>
      <c r="B363" s="67" t="s">
        <v>676</v>
      </c>
      <c r="C363" s="67" t="s">
        <v>677</v>
      </c>
      <c r="D363" s="67" t="s">
        <v>6</v>
      </c>
      <c r="E363" s="67">
        <v>0.051500000000000004</v>
      </c>
      <c r="F363" s="68">
        <f>TRUNC(21.67,2)</f>
        <v>21.67</v>
      </c>
      <c r="G363" s="63">
        <f>TRUNC(E363*F363,2)</f>
        <v>1.11</v>
      </c>
      <c r="H363" s="63"/>
      <c r="I363" s="64"/>
    </row>
    <row r="364" spans="1:9" s="82" customFormat="1" ht="14.25">
      <c r="A364" s="67"/>
      <c r="B364" s="67"/>
      <c r="C364" s="67"/>
      <c r="D364" s="67"/>
      <c r="E364" s="67" t="s">
        <v>7</v>
      </c>
      <c r="F364" s="68"/>
      <c r="G364" s="63">
        <f>TRUNC(SUM(G360:G363),2)</f>
        <v>2.89</v>
      </c>
      <c r="H364" s="63"/>
      <c r="I364" s="64"/>
    </row>
    <row r="365" spans="1:9" s="157" customFormat="1" ht="57">
      <c r="A365" s="157" t="s">
        <v>606</v>
      </c>
      <c r="B365" s="157" t="s">
        <v>678</v>
      </c>
      <c r="C365" s="157" t="s">
        <v>97</v>
      </c>
      <c r="D365" s="157" t="s">
        <v>3</v>
      </c>
      <c r="E365" s="157">
        <v>164</v>
      </c>
      <c r="F365" s="158">
        <f>TRUNC(G370,2)</f>
        <v>3.9</v>
      </c>
      <c r="G365" s="137">
        <f>TRUNC(F365*1.2247,2)</f>
        <v>4.77</v>
      </c>
      <c r="H365" s="137">
        <f>TRUNC(F365*E365,2)</f>
        <v>639.6</v>
      </c>
      <c r="I365" s="138">
        <f>TRUNC(E365*G365,2)</f>
        <v>782.28</v>
      </c>
    </row>
    <row r="366" spans="1:9" s="82" customFormat="1" ht="14.25">
      <c r="A366" s="67"/>
      <c r="B366" s="67" t="s">
        <v>80</v>
      </c>
      <c r="C366" s="67" t="s">
        <v>81</v>
      </c>
      <c r="D366" s="67" t="s">
        <v>12</v>
      </c>
      <c r="E366" s="67">
        <v>0.0014</v>
      </c>
      <c r="F366" s="68">
        <f>TRUNC(3.21,2)</f>
        <v>3.21</v>
      </c>
      <c r="G366" s="63">
        <f>TRUNC(E366*F366,2)</f>
        <v>0</v>
      </c>
      <c r="H366" s="63"/>
      <c r="I366" s="64"/>
    </row>
    <row r="367" spans="1:9" s="82" customFormat="1" ht="14.25">
      <c r="A367" s="67"/>
      <c r="B367" s="67" t="s">
        <v>99</v>
      </c>
      <c r="C367" s="67" t="s">
        <v>100</v>
      </c>
      <c r="D367" s="67" t="s">
        <v>3</v>
      </c>
      <c r="E367" s="67">
        <v>1</v>
      </c>
      <c r="F367" s="68">
        <f>TRUNC(1.5689,2)</f>
        <v>1.56</v>
      </c>
      <c r="G367" s="63">
        <f>TRUNC(E367*F367,2)</f>
        <v>1.56</v>
      </c>
      <c r="H367" s="63"/>
      <c r="I367" s="64"/>
    </row>
    <row r="368" spans="1:9" s="82" customFormat="1" ht="14.25">
      <c r="A368" s="67"/>
      <c r="B368" s="67" t="s">
        <v>89</v>
      </c>
      <c r="C368" s="67" t="s">
        <v>90</v>
      </c>
      <c r="D368" s="67" t="s">
        <v>6</v>
      </c>
      <c r="E368" s="67">
        <v>0.06283</v>
      </c>
      <c r="F368" s="68">
        <f>TRUNC(15.69,2)</f>
        <v>15.69</v>
      </c>
      <c r="G368" s="63">
        <f>TRUNC(E368*F368,2)</f>
        <v>0.98</v>
      </c>
      <c r="H368" s="63"/>
      <c r="I368" s="64"/>
    </row>
    <row r="369" spans="1:9" s="82" customFormat="1" ht="14.25">
      <c r="A369" s="67"/>
      <c r="B369" s="67" t="s">
        <v>676</v>
      </c>
      <c r="C369" s="67" t="s">
        <v>677</v>
      </c>
      <c r="D369" s="67" t="s">
        <v>6</v>
      </c>
      <c r="E369" s="67">
        <v>0.06283</v>
      </c>
      <c r="F369" s="68">
        <f>TRUNC(21.67,2)</f>
        <v>21.67</v>
      </c>
      <c r="G369" s="63">
        <f>TRUNC(E369*F369,2)</f>
        <v>1.36</v>
      </c>
      <c r="H369" s="63"/>
      <c r="I369" s="64"/>
    </row>
    <row r="370" spans="1:9" s="82" customFormat="1" ht="14.25">
      <c r="A370" s="67"/>
      <c r="B370" s="67"/>
      <c r="C370" s="67"/>
      <c r="D370" s="67"/>
      <c r="E370" s="67" t="s">
        <v>7</v>
      </c>
      <c r="F370" s="68"/>
      <c r="G370" s="63">
        <f>TRUNC(SUM(G366:G369),2)</f>
        <v>3.9</v>
      </c>
      <c r="H370" s="63"/>
      <c r="I370" s="64"/>
    </row>
    <row r="371" spans="1:9" s="157" customFormat="1" ht="57">
      <c r="A371" s="157" t="s">
        <v>607</v>
      </c>
      <c r="B371" s="157" t="s">
        <v>679</v>
      </c>
      <c r="C371" s="157" t="s">
        <v>364</v>
      </c>
      <c r="D371" s="157" t="s">
        <v>3</v>
      </c>
      <c r="E371" s="157">
        <v>46</v>
      </c>
      <c r="F371" s="158">
        <f>TRUNC(G376,2)</f>
        <v>5.11</v>
      </c>
      <c r="G371" s="137">
        <f>TRUNC(F371*1.2247,2)</f>
        <v>6.25</v>
      </c>
      <c r="H371" s="137">
        <f>TRUNC(F371*E371,2)</f>
        <v>235.06</v>
      </c>
      <c r="I371" s="138">
        <f>TRUNC(E371*G371,2)</f>
        <v>287.5</v>
      </c>
    </row>
    <row r="372" spans="1:9" s="82" customFormat="1" ht="14.25">
      <c r="A372" s="67"/>
      <c r="B372" s="67" t="s">
        <v>80</v>
      </c>
      <c r="C372" s="67" t="s">
        <v>81</v>
      </c>
      <c r="D372" s="67" t="s">
        <v>12</v>
      </c>
      <c r="E372" s="67">
        <v>0.0014</v>
      </c>
      <c r="F372" s="68">
        <f>TRUNC(3.21,2)</f>
        <v>3.21</v>
      </c>
      <c r="G372" s="63">
        <f>TRUNC(E372*F372,2)</f>
        <v>0</v>
      </c>
      <c r="H372" s="63"/>
      <c r="I372" s="64"/>
    </row>
    <row r="373" spans="1:9" s="82" customFormat="1" ht="14.25">
      <c r="A373" s="67"/>
      <c r="B373" s="67" t="s">
        <v>365</v>
      </c>
      <c r="C373" s="67" t="s">
        <v>366</v>
      </c>
      <c r="D373" s="67" t="s">
        <v>3</v>
      </c>
      <c r="E373" s="67">
        <v>1</v>
      </c>
      <c r="F373" s="68">
        <f>TRUNC(2.4277,2)</f>
        <v>2.42</v>
      </c>
      <c r="G373" s="63">
        <f>TRUNC(E373*F373,2)</f>
        <v>2.42</v>
      </c>
      <c r="H373" s="63"/>
      <c r="I373" s="64"/>
    </row>
    <row r="374" spans="1:9" s="82" customFormat="1" ht="14.25">
      <c r="A374" s="67"/>
      <c r="B374" s="67" t="s">
        <v>89</v>
      </c>
      <c r="C374" s="67" t="s">
        <v>90</v>
      </c>
      <c r="D374" s="67" t="s">
        <v>6</v>
      </c>
      <c r="E374" s="67">
        <v>0.07210000000000001</v>
      </c>
      <c r="F374" s="68">
        <f>TRUNC(15.69,2)</f>
        <v>15.69</v>
      </c>
      <c r="G374" s="63">
        <f>TRUNC(E374*F374,2)</f>
        <v>1.13</v>
      </c>
      <c r="H374" s="63"/>
      <c r="I374" s="64"/>
    </row>
    <row r="375" spans="1:9" s="82" customFormat="1" ht="14.25">
      <c r="A375" s="67"/>
      <c r="B375" s="67" t="s">
        <v>676</v>
      </c>
      <c r="C375" s="67" t="s">
        <v>677</v>
      </c>
      <c r="D375" s="67" t="s">
        <v>6</v>
      </c>
      <c r="E375" s="67">
        <v>0.07210000000000001</v>
      </c>
      <c r="F375" s="68">
        <f>TRUNC(21.67,2)</f>
        <v>21.67</v>
      </c>
      <c r="G375" s="63">
        <f>TRUNC(E375*F375,2)</f>
        <v>1.56</v>
      </c>
      <c r="H375" s="63"/>
      <c r="I375" s="64"/>
    </row>
    <row r="376" spans="1:9" s="82" customFormat="1" ht="14.25">
      <c r="A376" s="67"/>
      <c r="B376" s="67"/>
      <c r="C376" s="67"/>
      <c r="D376" s="67"/>
      <c r="E376" s="67" t="s">
        <v>7</v>
      </c>
      <c r="F376" s="68"/>
      <c r="G376" s="63">
        <f>TRUNC(SUM(G372:G375),2)</f>
        <v>5.11</v>
      </c>
      <c r="H376" s="63"/>
      <c r="I376" s="64"/>
    </row>
    <row r="377" spans="1:9" s="157" customFormat="1" ht="57">
      <c r="A377" s="157" t="s">
        <v>608</v>
      </c>
      <c r="B377" s="157" t="s">
        <v>680</v>
      </c>
      <c r="C377" s="157" t="s">
        <v>368</v>
      </c>
      <c r="D377" s="157" t="s">
        <v>3</v>
      </c>
      <c r="E377" s="157">
        <v>340</v>
      </c>
      <c r="F377" s="158">
        <f>TRUNC(G382,2)</f>
        <v>7.08</v>
      </c>
      <c r="G377" s="137">
        <f>TRUNC(F377*1.2247,2)</f>
        <v>8.67</v>
      </c>
      <c r="H377" s="137">
        <f>TRUNC(F377*E377,2)</f>
        <v>2407.2</v>
      </c>
      <c r="I377" s="138">
        <f>TRUNC(E377*G377,2)</f>
        <v>2947.8</v>
      </c>
    </row>
    <row r="378" spans="1:9" s="82" customFormat="1" ht="14.25">
      <c r="A378" s="67"/>
      <c r="B378" s="67" t="s">
        <v>369</v>
      </c>
      <c r="C378" s="67" t="s">
        <v>370</v>
      </c>
      <c r="D378" s="67" t="s">
        <v>3</v>
      </c>
      <c r="E378" s="67">
        <v>1</v>
      </c>
      <c r="F378" s="68">
        <f>TRUNC(4.0154,2)</f>
        <v>4.01</v>
      </c>
      <c r="G378" s="63">
        <f>TRUNC(E378*F378,2)</f>
        <v>4.01</v>
      </c>
      <c r="H378" s="63"/>
      <c r="I378" s="64"/>
    </row>
    <row r="379" spans="1:9" s="82" customFormat="1" ht="14.25">
      <c r="A379" s="67"/>
      <c r="B379" s="67" t="s">
        <v>80</v>
      </c>
      <c r="C379" s="67" t="s">
        <v>81</v>
      </c>
      <c r="D379" s="67" t="s">
        <v>12</v>
      </c>
      <c r="E379" s="67">
        <v>0.0014</v>
      </c>
      <c r="F379" s="68">
        <f>TRUNC(3.21,2)</f>
        <v>3.21</v>
      </c>
      <c r="G379" s="63">
        <f>TRUNC(E379*F379,2)</f>
        <v>0</v>
      </c>
      <c r="H379" s="63"/>
      <c r="I379" s="64"/>
    </row>
    <row r="380" spans="1:9" s="82" customFormat="1" ht="14.25">
      <c r="A380" s="67"/>
      <c r="B380" s="67" t="s">
        <v>89</v>
      </c>
      <c r="C380" s="67" t="s">
        <v>90</v>
      </c>
      <c r="D380" s="67" t="s">
        <v>6</v>
      </c>
      <c r="E380" s="67">
        <v>0.0824</v>
      </c>
      <c r="F380" s="68">
        <f>TRUNC(15.69,2)</f>
        <v>15.69</v>
      </c>
      <c r="G380" s="63">
        <f>TRUNC(E380*F380,2)</f>
        <v>1.29</v>
      </c>
      <c r="H380" s="63"/>
      <c r="I380" s="64"/>
    </row>
    <row r="381" spans="1:9" s="82" customFormat="1" ht="14.25">
      <c r="A381" s="67"/>
      <c r="B381" s="67" t="s">
        <v>676</v>
      </c>
      <c r="C381" s="67" t="s">
        <v>677</v>
      </c>
      <c r="D381" s="67" t="s">
        <v>6</v>
      </c>
      <c r="E381" s="67">
        <v>0.0824</v>
      </c>
      <c r="F381" s="68">
        <f>TRUNC(21.67,2)</f>
        <v>21.67</v>
      </c>
      <c r="G381" s="63">
        <f>TRUNC(E381*F381,2)</f>
        <v>1.78</v>
      </c>
      <c r="H381" s="63"/>
      <c r="I381" s="64"/>
    </row>
    <row r="382" spans="1:9" s="82" customFormat="1" ht="14.25">
      <c r="A382" s="67"/>
      <c r="B382" s="67"/>
      <c r="C382" s="67"/>
      <c r="D382" s="67"/>
      <c r="E382" s="67" t="s">
        <v>7</v>
      </c>
      <c r="F382" s="68"/>
      <c r="G382" s="63">
        <f>TRUNC(SUM(G378:G381),2)</f>
        <v>7.08</v>
      </c>
      <c r="H382" s="63"/>
      <c r="I382" s="64"/>
    </row>
    <row r="383" spans="1:9" s="157" customFormat="1" ht="28.5">
      <c r="A383" s="157" t="s">
        <v>609</v>
      </c>
      <c r="B383" s="157" t="s">
        <v>681</v>
      </c>
      <c r="C383" s="157" t="s">
        <v>372</v>
      </c>
      <c r="D383" s="157" t="s">
        <v>3</v>
      </c>
      <c r="E383" s="157">
        <v>102</v>
      </c>
      <c r="F383" s="158">
        <f>TRUNC(G388,2)</f>
        <v>17.2</v>
      </c>
      <c r="G383" s="137">
        <f>TRUNC(F383*1.2247,2)</f>
        <v>21.06</v>
      </c>
      <c r="H383" s="137">
        <f>TRUNC(F383*E383,2)</f>
        <v>1754.4</v>
      </c>
      <c r="I383" s="138">
        <f>TRUNC(E383*G383,2)</f>
        <v>2148.12</v>
      </c>
    </row>
    <row r="384" spans="1:9" s="82" customFormat="1" ht="14.25">
      <c r="A384" s="67"/>
      <c r="B384" s="67" t="s">
        <v>682</v>
      </c>
      <c r="C384" s="67" t="s">
        <v>374</v>
      </c>
      <c r="D384" s="67" t="s">
        <v>12</v>
      </c>
      <c r="E384" s="67">
        <v>0.009</v>
      </c>
      <c r="F384" s="68">
        <f>TRUNC(4.72,2)</f>
        <v>4.72</v>
      </c>
      <c r="G384" s="63">
        <f>TRUNC(E384*F384,2)</f>
        <v>0.04</v>
      </c>
      <c r="H384" s="63"/>
      <c r="I384" s="64"/>
    </row>
    <row r="385" spans="1:9" s="82" customFormat="1" ht="28.5">
      <c r="A385" s="67"/>
      <c r="B385" s="67" t="s">
        <v>683</v>
      </c>
      <c r="C385" s="67" t="s">
        <v>376</v>
      </c>
      <c r="D385" s="67" t="s">
        <v>3</v>
      </c>
      <c r="E385" s="67">
        <v>1.19</v>
      </c>
      <c r="F385" s="68">
        <f>TRUNC(9.55,2)</f>
        <v>9.55</v>
      </c>
      <c r="G385" s="63">
        <f>TRUNC(E385*F385,2)</f>
        <v>11.36</v>
      </c>
      <c r="H385" s="63"/>
      <c r="I385" s="64"/>
    </row>
    <row r="386" spans="1:9" s="82" customFormat="1" ht="14.25">
      <c r="A386" s="67"/>
      <c r="B386" s="67" t="s">
        <v>663</v>
      </c>
      <c r="C386" s="67" t="s">
        <v>103</v>
      </c>
      <c r="D386" s="67" t="s">
        <v>6</v>
      </c>
      <c r="E386" s="67">
        <v>0.115</v>
      </c>
      <c r="F386" s="68">
        <f>TRUNC(28.5,2)</f>
        <v>28.5</v>
      </c>
      <c r="G386" s="63">
        <f>TRUNC(E386*F386,2)</f>
        <v>3.27</v>
      </c>
      <c r="H386" s="63"/>
      <c r="I386" s="64"/>
    </row>
    <row r="387" spans="1:9" s="82" customFormat="1" ht="14.25">
      <c r="A387" s="67"/>
      <c r="B387" s="67" t="s">
        <v>664</v>
      </c>
      <c r="C387" s="67" t="s">
        <v>104</v>
      </c>
      <c r="D387" s="67" t="s">
        <v>6</v>
      </c>
      <c r="E387" s="67">
        <v>0.115</v>
      </c>
      <c r="F387" s="68">
        <f>TRUNC(22.07,2)</f>
        <v>22.07</v>
      </c>
      <c r="G387" s="63">
        <f>TRUNC(E387*F387,2)</f>
        <v>2.53</v>
      </c>
      <c r="H387" s="63"/>
      <c r="I387" s="64"/>
    </row>
    <row r="388" spans="1:9" s="82" customFormat="1" ht="14.25">
      <c r="A388" s="67"/>
      <c r="B388" s="67"/>
      <c r="C388" s="67"/>
      <c r="D388" s="67"/>
      <c r="E388" s="67" t="s">
        <v>7</v>
      </c>
      <c r="F388" s="68"/>
      <c r="G388" s="63">
        <f>TRUNC(SUM(G384:G387),2)</f>
        <v>17.2</v>
      </c>
      <c r="H388" s="63"/>
      <c r="I388" s="64"/>
    </row>
    <row r="389" spans="1:9" s="157" customFormat="1" ht="28.5">
      <c r="A389" s="157" t="s">
        <v>610</v>
      </c>
      <c r="B389" s="157" t="s">
        <v>684</v>
      </c>
      <c r="C389" s="157" t="s">
        <v>378</v>
      </c>
      <c r="D389" s="157" t="s">
        <v>12</v>
      </c>
      <c r="E389" s="157">
        <v>2</v>
      </c>
      <c r="F389" s="158">
        <f>TRUNC(G393,2)</f>
        <v>50.03</v>
      </c>
      <c r="G389" s="137">
        <f>TRUNC(F389*1.2247,2)</f>
        <v>61.27</v>
      </c>
      <c r="H389" s="137">
        <f>TRUNC(F389*E389,2)</f>
        <v>100.06</v>
      </c>
      <c r="I389" s="138">
        <f>TRUNC(E389*G389,2)</f>
        <v>122.54</v>
      </c>
    </row>
    <row r="390" spans="1:9" s="82" customFormat="1" ht="28.5">
      <c r="A390" s="67"/>
      <c r="B390" s="67" t="s">
        <v>379</v>
      </c>
      <c r="C390" s="67" t="s">
        <v>380</v>
      </c>
      <c r="D390" s="67" t="s">
        <v>12</v>
      </c>
      <c r="E390" s="67">
        <v>1</v>
      </c>
      <c r="F390" s="68">
        <f>TRUNC(39.27,2)</f>
        <v>39.27</v>
      </c>
      <c r="G390" s="63">
        <f>TRUNC(E390*F390,2)</f>
        <v>39.27</v>
      </c>
      <c r="H390" s="63"/>
      <c r="I390" s="64"/>
    </row>
    <row r="391" spans="1:9" s="82" customFormat="1" ht="14.25">
      <c r="A391" s="67"/>
      <c r="B391" s="67" t="s">
        <v>89</v>
      </c>
      <c r="C391" s="67" t="s">
        <v>90</v>
      </c>
      <c r="D391" s="67" t="s">
        <v>6</v>
      </c>
      <c r="E391" s="67">
        <v>0.28840000000000005</v>
      </c>
      <c r="F391" s="68">
        <f>TRUNC(15.69,2)</f>
        <v>15.69</v>
      </c>
      <c r="G391" s="63">
        <f>TRUNC(E391*F391,2)</f>
        <v>4.52</v>
      </c>
      <c r="H391" s="63"/>
      <c r="I391" s="64"/>
    </row>
    <row r="392" spans="1:9" s="82" customFormat="1" ht="14.25">
      <c r="A392" s="67"/>
      <c r="B392" s="67" t="s">
        <v>676</v>
      </c>
      <c r="C392" s="67" t="s">
        <v>677</v>
      </c>
      <c r="D392" s="67" t="s">
        <v>6</v>
      </c>
      <c r="E392" s="67">
        <v>0.28840000000000005</v>
      </c>
      <c r="F392" s="68">
        <f>TRUNC(21.67,2)</f>
        <v>21.67</v>
      </c>
      <c r="G392" s="63">
        <f>TRUNC(E392*F392,2)</f>
        <v>6.24</v>
      </c>
      <c r="H392" s="63"/>
      <c r="I392" s="64"/>
    </row>
    <row r="393" spans="1:9" s="82" customFormat="1" ht="14.25">
      <c r="A393" s="67"/>
      <c r="B393" s="67"/>
      <c r="C393" s="67"/>
      <c r="D393" s="67"/>
      <c r="E393" s="67" t="s">
        <v>7</v>
      </c>
      <c r="F393" s="68"/>
      <c r="G393" s="63">
        <f>TRUNC(SUM(G390:G392),2)</f>
        <v>50.03</v>
      </c>
      <c r="H393" s="63"/>
      <c r="I393" s="64"/>
    </row>
    <row r="394" spans="1:9" s="157" customFormat="1" ht="57">
      <c r="A394" s="157" t="s">
        <v>611</v>
      </c>
      <c r="B394" s="157" t="s">
        <v>685</v>
      </c>
      <c r="C394" s="157" t="s">
        <v>388</v>
      </c>
      <c r="D394" s="157" t="s">
        <v>12</v>
      </c>
      <c r="E394" s="157">
        <v>28</v>
      </c>
      <c r="F394" s="158">
        <f>TRUNC(G402,2)</f>
        <v>74.76</v>
      </c>
      <c r="G394" s="137">
        <f>TRUNC(F394*1.2247,2)</f>
        <v>91.55</v>
      </c>
      <c r="H394" s="137">
        <f>TRUNC(F394*E394,2)</f>
        <v>2093.28</v>
      </c>
      <c r="I394" s="138">
        <f>TRUNC(E394*G394,2)</f>
        <v>2563.4</v>
      </c>
    </row>
    <row r="395" spans="1:9" s="82" customFormat="1" ht="28.5">
      <c r="A395" s="67"/>
      <c r="B395" s="67" t="s">
        <v>381</v>
      </c>
      <c r="C395" s="67" t="s">
        <v>382</v>
      </c>
      <c r="D395" s="67" t="s">
        <v>12</v>
      </c>
      <c r="E395" s="67">
        <v>1</v>
      </c>
      <c r="F395" s="68">
        <f>TRUNC(7.93,2)</f>
        <v>7.93</v>
      </c>
      <c r="G395" s="63">
        <f aca="true" t="shared" si="13" ref="G395:G401">TRUNC(E395*F395,2)</f>
        <v>7.93</v>
      </c>
      <c r="H395" s="63"/>
      <c r="I395" s="64"/>
    </row>
    <row r="396" spans="1:9" s="82" customFormat="1" ht="14.25">
      <c r="A396" s="67"/>
      <c r="B396" s="67" t="s">
        <v>383</v>
      </c>
      <c r="C396" s="67" t="s">
        <v>384</v>
      </c>
      <c r="D396" s="67" t="s">
        <v>12</v>
      </c>
      <c r="E396" s="67">
        <v>1</v>
      </c>
      <c r="F396" s="68">
        <f>TRUNC(1.8,2)</f>
        <v>1.8</v>
      </c>
      <c r="G396" s="63">
        <f t="shared" si="13"/>
        <v>1.8</v>
      </c>
      <c r="H396" s="63"/>
      <c r="I396" s="64"/>
    </row>
    <row r="397" spans="1:9" s="82" customFormat="1" ht="28.5">
      <c r="A397" s="67"/>
      <c r="B397" s="67" t="s">
        <v>389</v>
      </c>
      <c r="C397" s="67" t="s">
        <v>390</v>
      </c>
      <c r="D397" s="67" t="s">
        <v>12</v>
      </c>
      <c r="E397" s="67">
        <v>1</v>
      </c>
      <c r="F397" s="68">
        <f>TRUNC(12.26,2)</f>
        <v>12.26</v>
      </c>
      <c r="G397" s="63">
        <f t="shared" si="13"/>
        <v>12.26</v>
      </c>
      <c r="H397" s="63"/>
      <c r="I397" s="64"/>
    </row>
    <row r="398" spans="1:9" s="82" customFormat="1" ht="14.25">
      <c r="A398" s="67"/>
      <c r="B398" s="67" t="s">
        <v>385</v>
      </c>
      <c r="C398" s="67" t="s">
        <v>386</v>
      </c>
      <c r="D398" s="67" t="s">
        <v>12</v>
      </c>
      <c r="E398" s="67">
        <v>2</v>
      </c>
      <c r="F398" s="68">
        <f>TRUNC(1.3,2)</f>
        <v>1.3</v>
      </c>
      <c r="G398" s="63">
        <f t="shared" si="13"/>
        <v>2.6</v>
      </c>
      <c r="H398" s="63"/>
      <c r="I398" s="64"/>
    </row>
    <row r="399" spans="1:9" s="82" customFormat="1" ht="14.25">
      <c r="A399" s="67"/>
      <c r="B399" s="67" t="s">
        <v>391</v>
      </c>
      <c r="C399" s="67" t="s">
        <v>392</v>
      </c>
      <c r="D399" s="67" t="s">
        <v>12</v>
      </c>
      <c r="E399" s="67">
        <v>1</v>
      </c>
      <c r="F399" s="68">
        <f>TRUNC(5.93,2)</f>
        <v>5.93</v>
      </c>
      <c r="G399" s="63">
        <f t="shared" si="13"/>
        <v>5.93</v>
      </c>
      <c r="H399" s="63"/>
      <c r="I399" s="64"/>
    </row>
    <row r="400" spans="1:9" s="82" customFormat="1" ht="14.25">
      <c r="A400" s="67"/>
      <c r="B400" s="67" t="s">
        <v>89</v>
      </c>
      <c r="C400" s="67" t="s">
        <v>90</v>
      </c>
      <c r="D400" s="67" t="s">
        <v>6</v>
      </c>
      <c r="E400" s="67">
        <v>1.1844999999999999</v>
      </c>
      <c r="F400" s="68">
        <f>TRUNC(15.69,2)</f>
        <v>15.69</v>
      </c>
      <c r="G400" s="63">
        <f t="shared" si="13"/>
        <v>18.58</v>
      </c>
      <c r="H400" s="63"/>
      <c r="I400" s="64"/>
    </row>
    <row r="401" spans="1:9" s="82" customFormat="1" ht="14.25">
      <c r="A401" s="67"/>
      <c r="B401" s="67" t="s">
        <v>676</v>
      </c>
      <c r="C401" s="67" t="s">
        <v>677</v>
      </c>
      <c r="D401" s="67" t="s">
        <v>6</v>
      </c>
      <c r="E401" s="67">
        <v>1.1844999999999999</v>
      </c>
      <c r="F401" s="68">
        <f>TRUNC(21.67,2)</f>
        <v>21.67</v>
      </c>
      <c r="G401" s="63">
        <f t="shared" si="13"/>
        <v>25.66</v>
      </c>
      <c r="H401" s="63"/>
      <c r="I401" s="64"/>
    </row>
    <row r="402" spans="1:9" s="82" customFormat="1" ht="14.25">
      <c r="A402" s="67"/>
      <c r="B402" s="67"/>
      <c r="C402" s="67"/>
      <c r="D402" s="67"/>
      <c r="E402" s="67" t="s">
        <v>7</v>
      </c>
      <c r="F402" s="68"/>
      <c r="G402" s="63">
        <f>TRUNC(SUM(G395:G401),2)</f>
        <v>74.76</v>
      </c>
      <c r="H402" s="63"/>
      <c r="I402" s="64"/>
    </row>
    <row r="403" spans="1:9" s="157" customFormat="1" ht="28.5">
      <c r="A403" s="157" t="s">
        <v>612</v>
      </c>
      <c r="B403" s="157" t="s">
        <v>686</v>
      </c>
      <c r="C403" s="157" t="s">
        <v>394</v>
      </c>
      <c r="D403" s="157" t="s">
        <v>12</v>
      </c>
      <c r="E403" s="157">
        <v>28</v>
      </c>
      <c r="F403" s="158">
        <f>TRUNC(G406,2)</f>
        <v>25.6</v>
      </c>
      <c r="G403" s="137">
        <f>TRUNC(F403*1.2247,2)</f>
        <v>31.35</v>
      </c>
      <c r="H403" s="137">
        <f>TRUNC(F403*E403,2)</f>
        <v>716.8</v>
      </c>
      <c r="I403" s="138">
        <f>TRUNC(E403*G403,2)</f>
        <v>877.8</v>
      </c>
    </row>
    <row r="404" spans="1:9" s="82" customFormat="1" ht="14.25">
      <c r="A404" s="67"/>
      <c r="B404" s="67" t="s">
        <v>395</v>
      </c>
      <c r="C404" s="67" t="s">
        <v>396</v>
      </c>
      <c r="D404" s="67" t="s">
        <v>12</v>
      </c>
      <c r="E404" s="67">
        <v>1</v>
      </c>
      <c r="F404" s="68">
        <f>TRUNC(24.49,2)</f>
        <v>24.49</v>
      </c>
      <c r="G404" s="63">
        <f>TRUNC(E404*F404,2)</f>
        <v>24.49</v>
      </c>
      <c r="H404" s="63"/>
      <c r="I404" s="64"/>
    </row>
    <row r="405" spans="1:9" s="82" customFormat="1" ht="14.25">
      <c r="A405" s="67"/>
      <c r="B405" s="67" t="s">
        <v>676</v>
      </c>
      <c r="C405" s="67" t="s">
        <v>677</v>
      </c>
      <c r="D405" s="67" t="s">
        <v>6</v>
      </c>
      <c r="E405" s="67">
        <v>0.051500000000000004</v>
      </c>
      <c r="F405" s="68">
        <f>TRUNC(21.67,2)</f>
        <v>21.67</v>
      </c>
      <c r="G405" s="63">
        <f>TRUNC(E405*F405,2)</f>
        <v>1.11</v>
      </c>
      <c r="H405" s="63"/>
      <c r="I405" s="64"/>
    </row>
    <row r="406" spans="1:9" s="82" customFormat="1" ht="14.25">
      <c r="A406" s="67"/>
      <c r="B406" s="67"/>
      <c r="C406" s="67"/>
      <c r="D406" s="67"/>
      <c r="E406" s="67" t="s">
        <v>7</v>
      </c>
      <c r="F406" s="68"/>
      <c r="G406" s="63">
        <f>TRUNC(SUM(G404:G405),2)</f>
        <v>25.6</v>
      </c>
      <c r="H406" s="63"/>
      <c r="I406" s="64"/>
    </row>
    <row r="407" spans="1:9" s="157" customFormat="1" ht="29.25">
      <c r="A407" s="157" t="s">
        <v>613</v>
      </c>
      <c r="B407" s="157" t="s">
        <v>693</v>
      </c>
      <c r="C407" s="157" t="s">
        <v>478</v>
      </c>
      <c r="D407" s="157" t="s">
        <v>3</v>
      </c>
      <c r="E407" s="157">
        <v>185</v>
      </c>
      <c r="F407" s="158">
        <f>TRUNC(G413,2)</f>
        <v>6.77</v>
      </c>
      <c r="G407" s="137">
        <f>TRUNC(F407*1.2247,2)</f>
        <v>8.29</v>
      </c>
      <c r="H407" s="137">
        <f>TRUNC(F407*E407,2)</f>
        <v>1252.45</v>
      </c>
      <c r="I407" s="138">
        <f>TRUNC(E407*G407,2)</f>
        <v>1533.65</v>
      </c>
    </row>
    <row r="408" spans="1:9" s="82" customFormat="1" ht="14.25">
      <c r="A408" s="67"/>
      <c r="B408" s="67" t="s">
        <v>688</v>
      </c>
      <c r="C408" s="67" t="s">
        <v>326</v>
      </c>
      <c r="D408" s="67" t="s">
        <v>3</v>
      </c>
      <c r="E408" s="67">
        <v>1.0481</v>
      </c>
      <c r="F408" s="68">
        <f>TRUNC(1.8,2)</f>
        <v>1.8</v>
      </c>
      <c r="G408" s="63">
        <f>TRUNC(E408*F408,2)</f>
        <v>1.88</v>
      </c>
      <c r="H408" s="63"/>
      <c r="I408" s="64"/>
    </row>
    <row r="409" spans="1:9" s="82" customFormat="1" ht="14.25">
      <c r="A409" s="67"/>
      <c r="B409" s="67" t="s">
        <v>663</v>
      </c>
      <c r="C409" s="67" t="s">
        <v>103</v>
      </c>
      <c r="D409" s="67" t="s">
        <v>6</v>
      </c>
      <c r="E409" s="67">
        <v>0.0391</v>
      </c>
      <c r="F409" s="68">
        <f>TRUNC(28.5,2)</f>
        <v>28.5</v>
      </c>
      <c r="G409" s="63">
        <f>TRUNC(E409*F409,2)</f>
        <v>1.11</v>
      </c>
      <c r="H409" s="63"/>
      <c r="I409" s="64"/>
    </row>
    <row r="410" spans="1:9" s="97" customFormat="1" ht="15">
      <c r="A410" s="76"/>
      <c r="B410" s="76" t="s">
        <v>407</v>
      </c>
      <c r="C410" s="76" t="s">
        <v>408</v>
      </c>
      <c r="D410" s="76" t="s">
        <v>5</v>
      </c>
      <c r="E410" s="76">
        <v>0.03</v>
      </c>
      <c r="F410" s="79">
        <v>12.9</v>
      </c>
      <c r="G410" s="63">
        <f>TRUNC(E410*F410,2)</f>
        <v>0.38</v>
      </c>
      <c r="H410" s="77"/>
      <c r="I410" s="78"/>
    </row>
    <row r="411" spans="1:9" s="82" customFormat="1" ht="14.25">
      <c r="A411" s="67"/>
      <c r="B411" s="67" t="s">
        <v>664</v>
      </c>
      <c r="C411" s="67" t="s">
        <v>104</v>
      </c>
      <c r="D411" s="67" t="s">
        <v>6</v>
      </c>
      <c r="E411" s="67">
        <v>0.0391</v>
      </c>
      <c r="F411" s="68">
        <f>TRUNC(22.07,2)</f>
        <v>22.07</v>
      </c>
      <c r="G411" s="63">
        <f>TRUNC(E411*F411,2)</f>
        <v>0.86</v>
      </c>
      <c r="H411" s="63"/>
      <c r="I411" s="64"/>
    </row>
    <row r="412" spans="1:9" s="82" customFormat="1" ht="42.75">
      <c r="A412" s="67"/>
      <c r="B412" s="67" t="s">
        <v>694</v>
      </c>
      <c r="C412" s="67" t="s">
        <v>695</v>
      </c>
      <c r="D412" s="67" t="s">
        <v>3</v>
      </c>
      <c r="E412" s="67">
        <v>1</v>
      </c>
      <c r="F412" s="68">
        <f>TRUNC(2.54,2)</f>
        <v>2.54</v>
      </c>
      <c r="G412" s="63">
        <f>TRUNC(E412*F412,2)</f>
        <v>2.54</v>
      </c>
      <c r="H412" s="63"/>
      <c r="I412" s="64"/>
    </row>
    <row r="413" spans="1:9" s="82" customFormat="1" ht="14.25">
      <c r="A413" s="67"/>
      <c r="B413" s="67"/>
      <c r="C413" s="67"/>
      <c r="D413" s="67"/>
      <c r="E413" s="67" t="s">
        <v>7</v>
      </c>
      <c r="F413" s="68"/>
      <c r="G413" s="63">
        <f>TRUNC(SUM(G408:G412),2)</f>
        <v>6.77</v>
      </c>
      <c r="H413" s="63"/>
      <c r="I413" s="64"/>
    </row>
    <row r="414" spans="1:9" s="157" customFormat="1" ht="27.75" customHeight="1">
      <c r="A414" s="157" t="s">
        <v>614</v>
      </c>
      <c r="B414" s="157" t="s">
        <v>687</v>
      </c>
      <c r="C414" s="157" t="s">
        <v>336</v>
      </c>
      <c r="D414" s="157" t="s">
        <v>3</v>
      </c>
      <c r="E414" s="157">
        <v>22</v>
      </c>
      <c r="F414" s="158">
        <f>TRUNC(G419,2)</f>
        <v>8.53</v>
      </c>
      <c r="G414" s="137">
        <f>TRUNC(F414*1.2247,2)</f>
        <v>10.44</v>
      </c>
      <c r="H414" s="137">
        <f>TRUNC(F414*E414,2)</f>
        <v>187.66</v>
      </c>
      <c r="I414" s="138">
        <f>TRUNC(E414*G414,2)</f>
        <v>229.68</v>
      </c>
    </row>
    <row r="415" spans="1:9" s="82" customFormat="1" ht="14.25">
      <c r="A415" s="67"/>
      <c r="B415" s="67" t="s">
        <v>688</v>
      </c>
      <c r="C415" s="67" t="s">
        <v>326</v>
      </c>
      <c r="D415" s="67" t="s">
        <v>3</v>
      </c>
      <c r="E415" s="67">
        <v>1.0481</v>
      </c>
      <c r="F415" s="68">
        <f>TRUNC(1.8,2)</f>
        <v>1.8</v>
      </c>
      <c r="G415" s="63">
        <f>TRUNC(E415*F415,2)</f>
        <v>1.88</v>
      </c>
      <c r="H415" s="63"/>
      <c r="I415" s="64"/>
    </row>
    <row r="416" spans="1:9" s="82" customFormat="1" ht="14.25">
      <c r="A416" s="67"/>
      <c r="B416" s="67" t="s">
        <v>663</v>
      </c>
      <c r="C416" s="67" t="s">
        <v>103</v>
      </c>
      <c r="D416" s="67" t="s">
        <v>6</v>
      </c>
      <c r="E416" s="67">
        <v>0.0811</v>
      </c>
      <c r="F416" s="68">
        <f>TRUNC(28.5,2)</f>
        <v>28.5</v>
      </c>
      <c r="G416" s="63">
        <f>TRUNC(E416*F416,2)</f>
        <v>2.31</v>
      </c>
      <c r="H416" s="63"/>
      <c r="I416" s="64"/>
    </row>
    <row r="417" spans="1:9" s="82" customFormat="1" ht="14.25">
      <c r="A417" s="67"/>
      <c r="B417" s="67" t="s">
        <v>664</v>
      </c>
      <c r="C417" s="67" t="s">
        <v>104</v>
      </c>
      <c r="D417" s="67" t="s">
        <v>6</v>
      </c>
      <c r="E417" s="67">
        <v>0.0811</v>
      </c>
      <c r="F417" s="68">
        <f>TRUNC(22.07,2)</f>
        <v>22.07</v>
      </c>
      <c r="G417" s="63">
        <f>TRUNC(E417*F417,2)</f>
        <v>1.78</v>
      </c>
      <c r="H417" s="63"/>
      <c r="I417" s="64"/>
    </row>
    <row r="418" spans="1:9" s="82" customFormat="1" ht="42.75">
      <c r="A418" s="67"/>
      <c r="B418" s="67" t="s">
        <v>689</v>
      </c>
      <c r="C418" s="67" t="s">
        <v>690</v>
      </c>
      <c r="D418" s="67" t="s">
        <v>3</v>
      </c>
      <c r="E418" s="67">
        <v>2</v>
      </c>
      <c r="F418" s="68">
        <f>TRUNC(1.28,2)</f>
        <v>1.28</v>
      </c>
      <c r="G418" s="63">
        <f>TRUNC(E418*F418,2)</f>
        <v>2.56</v>
      </c>
      <c r="H418" s="63"/>
      <c r="I418" s="64"/>
    </row>
    <row r="419" spans="1:9" s="82" customFormat="1" ht="14.25">
      <c r="A419" s="67"/>
      <c r="B419" s="67"/>
      <c r="C419" s="67"/>
      <c r="D419" s="67"/>
      <c r="E419" s="67" t="s">
        <v>7</v>
      </c>
      <c r="F419" s="68"/>
      <c r="G419" s="63">
        <f>TRUNC(SUM(G415:G418),2)</f>
        <v>8.53</v>
      </c>
      <c r="H419" s="63"/>
      <c r="I419" s="64"/>
    </row>
    <row r="420" spans="1:9" s="157" customFormat="1" ht="28.5">
      <c r="A420" s="157" t="s">
        <v>615</v>
      </c>
      <c r="B420" s="157" t="s">
        <v>691</v>
      </c>
      <c r="C420" s="157" t="s">
        <v>332</v>
      </c>
      <c r="D420" s="157" t="s">
        <v>3</v>
      </c>
      <c r="E420" s="157">
        <v>30</v>
      </c>
      <c r="F420" s="158">
        <f>TRUNC(G424,2)</f>
        <v>19.14</v>
      </c>
      <c r="G420" s="137">
        <f>TRUNC(F420*1.2247,2)</f>
        <v>23.44</v>
      </c>
      <c r="H420" s="137">
        <f>TRUNC(F420*E420,2)</f>
        <v>574.2</v>
      </c>
      <c r="I420" s="138">
        <f>TRUNC(E420*G420,2)</f>
        <v>703.2</v>
      </c>
    </row>
    <row r="421" spans="1:9" s="82" customFormat="1" ht="14.25">
      <c r="A421" s="67"/>
      <c r="B421" s="67" t="s">
        <v>692</v>
      </c>
      <c r="C421" s="67" t="s">
        <v>334</v>
      </c>
      <c r="D421" s="67" t="s">
        <v>3</v>
      </c>
      <c r="E421" s="67">
        <v>1.1</v>
      </c>
      <c r="F421" s="68">
        <f>TRUNC(11.49,2)</f>
        <v>11.49</v>
      </c>
      <c r="G421" s="63">
        <f>TRUNC(E421*F421,2)</f>
        <v>12.63</v>
      </c>
      <c r="H421" s="63"/>
      <c r="I421" s="64"/>
    </row>
    <row r="422" spans="1:9" s="82" customFormat="1" ht="14.25">
      <c r="A422" s="67"/>
      <c r="B422" s="67" t="s">
        <v>663</v>
      </c>
      <c r="C422" s="67" t="s">
        <v>103</v>
      </c>
      <c r="D422" s="67" t="s">
        <v>6</v>
      </c>
      <c r="E422" s="67">
        <v>0.129</v>
      </c>
      <c r="F422" s="68">
        <f>TRUNC(28.5,2)</f>
        <v>28.5</v>
      </c>
      <c r="G422" s="63">
        <f>TRUNC(E422*F422,2)</f>
        <v>3.67</v>
      </c>
      <c r="H422" s="63"/>
      <c r="I422" s="64"/>
    </row>
    <row r="423" spans="1:9" s="82" customFormat="1" ht="14.25">
      <c r="A423" s="67"/>
      <c r="B423" s="67" t="s">
        <v>664</v>
      </c>
      <c r="C423" s="67" t="s">
        <v>104</v>
      </c>
      <c r="D423" s="67" t="s">
        <v>6</v>
      </c>
      <c r="E423" s="67">
        <v>0.129</v>
      </c>
      <c r="F423" s="68">
        <f>TRUNC(22.07,2)</f>
        <v>22.07</v>
      </c>
      <c r="G423" s="63">
        <f>TRUNC(E423*F423,2)</f>
        <v>2.84</v>
      </c>
      <c r="H423" s="63"/>
      <c r="I423" s="64"/>
    </row>
    <row r="424" spans="1:9" s="82" customFormat="1" ht="14.25">
      <c r="A424" s="67"/>
      <c r="B424" s="67"/>
      <c r="C424" s="67"/>
      <c r="D424" s="67"/>
      <c r="E424" s="67" t="s">
        <v>7</v>
      </c>
      <c r="F424" s="68"/>
      <c r="G424" s="63">
        <f>TRUNC(SUM(G421:G423),2)</f>
        <v>19.14</v>
      </c>
      <c r="H424" s="63"/>
      <c r="I424" s="64"/>
    </row>
    <row r="425" spans="1:9" s="157" customFormat="1" ht="43.5">
      <c r="A425" s="157" t="s">
        <v>616</v>
      </c>
      <c r="B425" s="157" t="s">
        <v>697</v>
      </c>
      <c r="C425" s="157" t="s">
        <v>696</v>
      </c>
      <c r="D425" s="157" t="s">
        <v>12</v>
      </c>
      <c r="E425" s="157">
        <v>22</v>
      </c>
      <c r="F425" s="158">
        <f>TRUNC(G429,2)</f>
        <v>12.41</v>
      </c>
      <c r="G425" s="137">
        <f>TRUNC(F425*1.2247,2)</f>
        <v>15.19</v>
      </c>
      <c r="H425" s="137">
        <f>TRUNC(F425*E425,2)</f>
        <v>273.02</v>
      </c>
      <c r="I425" s="138">
        <f>TRUNC(E425*G425,2)</f>
        <v>334.18</v>
      </c>
    </row>
    <row r="426" spans="1:9" s="82" customFormat="1" ht="28.5">
      <c r="A426" s="67"/>
      <c r="B426" s="67" t="s">
        <v>397</v>
      </c>
      <c r="C426" s="67" t="s">
        <v>398</v>
      </c>
      <c r="D426" s="67" t="s">
        <v>12</v>
      </c>
      <c r="E426" s="67">
        <v>1</v>
      </c>
      <c r="F426" s="68">
        <f>TRUNC(4.31,2)</f>
        <v>4.31</v>
      </c>
      <c r="G426" s="63">
        <f>TRUNC(E426*F426,2)</f>
        <v>4.31</v>
      </c>
      <c r="H426" s="63"/>
      <c r="I426" s="64"/>
    </row>
    <row r="427" spans="1:9" s="97" customFormat="1" ht="15">
      <c r="A427" s="76"/>
      <c r="B427" s="76" t="s">
        <v>399</v>
      </c>
      <c r="C427" s="76" t="s">
        <v>400</v>
      </c>
      <c r="D427" s="76" t="s">
        <v>12</v>
      </c>
      <c r="E427" s="76">
        <v>1</v>
      </c>
      <c r="F427" s="79">
        <v>2.52</v>
      </c>
      <c r="G427" s="63">
        <f>TRUNC(E427*F427,2)</f>
        <v>2.52</v>
      </c>
      <c r="H427" s="77"/>
      <c r="I427" s="78"/>
    </row>
    <row r="428" spans="1:9" s="82" customFormat="1" ht="14.25">
      <c r="A428" s="67"/>
      <c r="B428" s="67" t="s">
        <v>676</v>
      </c>
      <c r="C428" s="67" t="s">
        <v>677</v>
      </c>
      <c r="D428" s="67" t="s">
        <v>6</v>
      </c>
      <c r="E428" s="67">
        <v>0.2575</v>
      </c>
      <c r="F428" s="68">
        <f>TRUNC(21.67,2)</f>
        <v>21.67</v>
      </c>
      <c r="G428" s="63">
        <f>TRUNC(E428*F428,2)</f>
        <v>5.58</v>
      </c>
      <c r="H428" s="63"/>
      <c r="I428" s="64"/>
    </row>
    <row r="429" spans="1:9" s="82" customFormat="1" ht="14.25">
      <c r="A429" s="67"/>
      <c r="B429" s="67"/>
      <c r="C429" s="67"/>
      <c r="D429" s="67"/>
      <c r="E429" s="67" t="s">
        <v>7</v>
      </c>
      <c r="F429" s="68"/>
      <c r="G429" s="63">
        <f>TRUNC(SUM(G426:G428),2)</f>
        <v>12.41</v>
      </c>
      <c r="H429" s="63"/>
      <c r="I429" s="64"/>
    </row>
    <row r="430" spans="1:9" s="157" customFormat="1" ht="43.5">
      <c r="A430" s="157" t="s">
        <v>617</v>
      </c>
      <c r="B430" s="157" t="s">
        <v>697</v>
      </c>
      <c r="C430" s="157" t="s">
        <v>698</v>
      </c>
      <c r="D430" s="157" t="s">
        <v>12</v>
      </c>
      <c r="E430" s="157">
        <v>6</v>
      </c>
      <c r="F430" s="158">
        <f>TRUNC(G434,2)</f>
        <v>12.23</v>
      </c>
      <c r="G430" s="137">
        <f>TRUNC(F430*1.2247,2)</f>
        <v>14.97</v>
      </c>
      <c r="H430" s="137">
        <f>TRUNC(F430*E430,2)</f>
        <v>73.38</v>
      </c>
      <c r="I430" s="138">
        <f>TRUNC(E430*G430,2)</f>
        <v>89.82</v>
      </c>
    </row>
    <row r="431" spans="1:9" s="82" customFormat="1" ht="28.5">
      <c r="A431" s="67"/>
      <c r="B431" s="67" t="s">
        <v>397</v>
      </c>
      <c r="C431" s="67" t="s">
        <v>398</v>
      </c>
      <c r="D431" s="67" t="s">
        <v>12</v>
      </c>
      <c r="E431" s="67">
        <v>1</v>
      </c>
      <c r="F431" s="68">
        <f>TRUNC(4.31,2)</f>
        <v>4.31</v>
      </c>
      <c r="G431" s="63">
        <f>TRUNC(E431*F431,2)</f>
        <v>4.31</v>
      </c>
      <c r="H431" s="63"/>
      <c r="I431" s="64"/>
    </row>
    <row r="432" spans="1:9" s="97" customFormat="1" ht="15">
      <c r="A432" s="76"/>
      <c r="B432" s="76" t="s">
        <v>402</v>
      </c>
      <c r="C432" s="76" t="s">
        <v>401</v>
      </c>
      <c r="D432" s="76" t="s">
        <v>12</v>
      </c>
      <c r="E432" s="76">
        <v>1</v>
      </c>
      <c r="F432" s="79">
        <v>2.34</v>
      </c>
      <c r="G432" s="77">
        <f>TRUNC(E432*F432,2)</f>
        <v>2.34</v>
      </c>
      <c r="H432" s="77"/>
      <c r="I432" s="78"/>
    </row>
    <row r="433" spans="1:9" s="82" customFormat="1" ht="14.25">
      <c r="A433" s="67"/>
      <c r="B433" s="67" t="s">
        <v>676</v>
      </c>
      <c r="C433" s="67" t="s">
        <v>677</v>
      </c>
      <c r="D433" s="67" t="s">
        <v>6</v>
      </c>
      <c r="E433" s="67">
        <v>0.2575</v>
      </c>
      <c r="F433" s="68">
        <f>TRUNC(21.67,2)</f>
        <v>21.67</v>
      </c>
      <c r="G433" s="63">
        <f>TRUNC(E433*F433,2)</f>
        <v>5.58</v>
      </c>
      <c r="H433" s="63"/>
      <c r="I433" s="64"/>
    </row>
    <row r="434" spans="1:9" s="82" customFormat="1" ht="14.25">
      <c r="A434" s="67"/>
      <c r="B434" s="67"/>
      <c r="C434" s="67"/>
      <c r="D434" s="67"/>
      <c r="E434" s="67" t="s">
        <v>7</v>
      </c>
      <c r="F434" s="68"/>
      <c r="G434" s="63">
        <f>TRUNC(SUM(G431:G433),2)</f>
        <v>12.23</v>
      </c>
      <c r="H434" s="63"/>
      <c r="I434" s="64"/>
    </row>
    <row r="435" spans="1:9" s="157" customFormat="1" ht="39.75" customHeight="1">
      <c r="A435" s="157" t="s">
        <v>618</v>
      </c>
      <c r="B435" s="157" t="s">
        <v>697</v>
      </c>
      <c r="C435" s="157" t="s">
        <v>699</v>
      </c>
      <c r="D435" s="157" t="s">
        <v>12</v>
      </c>
      <c r="E435" s="157">
        <v>2</v>
      </c>
      <c r="F435" s="158">
        <f>TRUNC(G439,2)</f>
        <v>12.81</v>
      </c>
      <c r="G435" s="137">
        <f>TRUNC(F435*1.2247,2)</f>
        <v>15.68</v>
      </c>
      <c r="H435" s="137">
        <f>TRUNC(F435*E435,2)</f>
        <v>25.62</v>
      </c>
      <c r="I435" s="138">
        <f>TRUNC(E435*G435,2)</f>
        <v>31.36</v>
      </c>
    </row>
    <row r="436" spans="1:9" s="82" customFormat="1" ht="28.5">
      <c r="A436" s="67"/>
      <c r="B436" s="67" t="s">
        <v>397</v>
      </c>
      <c r="C436" s="67" t="s">
        <v>398</v>
      </c>
      <c r="D436" s="67" t="s">
        <v>12</v>
      </c>
      <c r="E436" s="67">
        <v>1</v>
      </c>
      <c r="F436" s="68">
        <f>TRUNC(4.31,2)</f>
        <v>4.31</v>
      </c>
      <c r="G436" s="63">
        <f>TRUNC(E436*F436,2)</f>
        <v>4.31</v>
      </c>
      <c r="H436" s="63"/>
      <c r="I436" s="64"/>
    </row>
    <row r="437" spans="1:9" s="82" customFormat="1" ht="15">
      <c r="A437" s="67"/>
      <c r="B437" s="76" t="s">
        <v>403</v>
      </c>
      <c r="C437" s="76" t="s">
        <v>404</v>
      </c>
      <c r="D437" s="76" t="s">
        <v>12</v>
      </c>
      <c r="E437" s="76">
        <v>1</v>
      </c>
      <c r="F437" s="79">
        <v>2.92</v>
      </c>
      <c r="G437" s="77">
        <f>TRUNC(E437*F437,2)</f>
        <v>2.92</v>
      </c>
      <c r="H437" s="63"/>
      <c r="I437" s="64"/>
    </row>
    <row r="438" spans="1:9" s="82" customFormat="1" ht="14.25">
      <c r="A438" s="67"/>
      <c r="B438" s="67" t="s">
        <v>676</v>
      </c>
      <c r="C438" s="67" t="s">
        <v>677</v>
      </c>
      <c r="D438" s="67" t="s">
        <v>6</v>
      </c>
      <c r="E438" s="67">
        <v>0.2575</v>
      </c>
      <c r="F438" s="68">
        <f>TRUNC(21.67,2)</f>
        <v>21.67</v>
      </c>
      <c r="G438" s="63">
        <f>TRUNC(E438*F438,2)</f>
        <v>5.58</v>
      </c>
      <c r="H438" s="63"/>
      <c r="I438" s="64"/>
    </row>
    <row r="439" spans="1:9" s="82" customFormat="1" ht="14.25">
      <c r="A439" s="67"/>
      <c r="B439" s="67"/>
      <c r="C439" s="67"/>
      <c r="D439" s="67"/>
      <c r="E439" s="67" t="s">
        <v>7</v>
      </c>
      <c r="F439" s="68"/>
      <c r="G439" s="63">
        <f>TRUNC(SUM(G436:G438),2)</f>
        <v>12.81</v>
      </c>
      <c r="H439" s="63"/>
      <c r="I439" s="64"/>
    </row>
    <row r="440" spans="1:9" s="157" customFormat="1" ht="39.75" customHeight="1">
      <c r="A440" s="157" t="s">
        <v>619</v>
      </c>
      <c r="B440" s="157" t="s">
        <v>697</v>
      </c>
      <c r="C440" s="157" t="s">
        <v>699</v>
      </c>
      <c r="D440" s="157" t="s">
        <v>12</v>
      </c>
      <c r="E440" s="157">
        <v>6</v>
      </c>
      <c r="F440" s="158">
        <f>TRUNC(G444,2)</f>
        <v>13.69</v>
      </c>
      <c r="G440" s="137">
        <f>TRUNC(F440*1.2247,2)</f>
        <v>16.76</v>
      </c>
      <c r="H440" s="137">
        <f>TRUNC(F440*E440,2)</f>
        <v>82.14</v>
      </c>
      <c r="I440" s="138">
        <f>TRUNC(E440*G440,2)</f>
        <v>100.56</v>
      </c>
    </row>
    <row r="441" spans="1:9" s="82" customFormat="1" ht="28.5">
      <c r="A441" s="67"/>
      <c r="B441" s="67" t="s">
        <v>397</v>
      </c>
      <c r="C441" s="67" t="s">
        <v>398</v>
      </c>
      <c r="D441" s="67" t="s">
        <v>12</v>
      </c>
      <c r="E441" s="67">
        <v>1</v>
      </c>
      <c r="F441" s="68">
        <f>TRUNC(4.31,2)</f>
        <v>4.31</v>
      </c>
      <c r="G441" s="63">
        <f>TRUNC(E441*F441,2)</f>
        <v>4.31</v>
      </c>
      <c r="H441" s="63"/>
      <c r="I441" s="64"/>
    </row>
    <row r="442" spans="1:9" s="97" customFormat="1" ht="15.75">
      <c r="A442" s="98"/>
      <c r="B442" s="76" t="s">
        <v>405</v>
      </c>
      <c r="C442" s="76" t="s">
        <v>406</v>
      </c>
      <c r="D442" s="76" t="s">
        <v>12</v>
      </c>
      <c r="E442" s="76">
        <v>1</v>
      </c>
      <c r="F442" s="79">
        <v>3.8</v>
      </c>
      <c r="G442" s="77">
        <f>TRUNC(E442*F442,2)</f>
        <v>3.8</v>
      </c>
      <c r="H442" s="77"/>
      <c r="I442" s="78"/>
    </row>
    <row r="443" spans="1:9" s="82" customFormat="1" ht="14.25">
      <c r="A443" s="67"/>
      <c r="B443" s="67" t="s">
        <v>676</v>
      </c>
      <c r="C443" s="67" t="s">
        <v>677</v>
      </c>
      <c r="D443" s="67" t="s">
        <v>6</v>
      </c>
      <c r="E443" s="67">
        <v>0.2575</v>
      </c>
      <c r="F443" s="68">
        <f>TRUNC(21.67,2)</f>
        <v>21.67</v>
      </c>
      <c r="G443" s="63">
        <f>TRUNC(E443*F443,2)</f>
        <v>5.58</v>
      </c>
      <c r="H443" s="63"/>
      <c r="I443" s="64"/>
    </row>
    <row r="444" spans="1:9" s="82" customFormat="1" ht="14.25">
      <c r="A444" s="67"/>
      <c r="B444" s="67"/>
      <c r="C444" s="67"/>
      <c r="D444" s="67"/>
      <c r="E444" s="67" t="s">
        <v>7</v>
      </c>
      <c r="F444" s="68"/>
      <c r="G444" s="63">
        <f>TRUNC(SUM(G441:G443),2)</f>
        <v>13.69</v>
      </c>
      <c r="H444" s="63"/>
      <c r="I444" s="64"/>
    </row>
    <row r="445" spans="1:9" s="44" customFormat="1" ht="15.75">
      <c r="A445" s="53" t="s">
        <v>44</v>
      </c>
      <c r="B445" s="55"/>
      <c r="C445" s="54"/>
      <c r="D445" s="55"/>
      <c r="E445" s="55"/>
      <c r="F445" s="55" t="s">
        <v>111</v>
      </c>
      <c r="G445" s="55"/>
      <c r="H445" s="57">
        <f>H440+H435+H430+H425+H420+H414+H407+H403+H394+H389+H383+H377+H371+H365+H359+H353+H347+H341+H335+H329+H324</f>
        <v>12654.550000000003</v>
      </c>
      <c r="I445" s="57">
        <f>I440+I435+I430+I425+I420+I414+I407+I403+I394+I389+I383+I377+I371+I365+I359+I353+I347+I341+I335+I329+I324</f>
        <v>15491.580000000002</v>
      </c>
    </row>
    <row r="446" spans="1:9" s="43" customFormat="1" ht="15.75">
      <c r="A446" s="43" t="s">
        <v>106</v>
      </c>
      <c r="B446" s="51"/>
      <c r="C446" s="52" t="s">
        <v>54</v>
      </c>
      <c r="D446" s="52"/>
      <c r="E446" s="52"/>
      <c r="F446" s="52"/>
      <c r="G446" s="52"/>
      <c r="H446" s="52"/>
      <c r="I446" s="50"/>
    </row>
    <row r="447" spans="1:9" s="157" customFormat="1" ht="39.75" customHeight="1">
      <c r="A447" s="157" t="s">
        <v>620</v>
      </c>
      <c r="B447" s="157" t="s">
        <v>542</v>
      </c>
      <c r="C447" s="157" t="s">
        <v>128</v>
      </c>
      <c r="D447" s="157" t="s">
        <v>12</v>
      </c>
      <c r="E447" s="157">
        <v>4</v>
      </c>
      <c r="F447" s="158">
        <f>TRUNC(G450,2)</f>
        <v>239.69</v>
      </c>
      <c r="G447" s="137">
        <f>TRUNC(F447*1.2247,2)</f>
        <v>293.54</v>
      </c>
      <c r="H447" s="137">
        <f>TRUNC(F447*E447,2)</f>
        <v>958.76</v>
      </c>
      <c r="I447" s="138">
        <f>TRUNC(E447*G447,2)</f>
        <v>1174.16</v>
      </c>
    </row>
    <row r="448" spans="2:9" s="67" customFormat="1" ht="14.25">
      <c r="B448" s="67" t="s">
        <v>89</v>
      </c>
      <c r="C448" s="67" t="s">
        <v>90</v>
      </c>
      <c r="D448" s="67" t="s">
        <v>6</v>
      </c>
      <c r="E448" s="67">
        <v>0.618</v>
      </c>
      <c r="F448" s="68">
        <f>TRUNC(15.69,2)</f>
        <v>15.69</v>
      </c>
      <c r="G448" s="63">
        <f>TRUNC(E448*F448,2)</f>
        <v>9.69</v>
      </c>
      <c r="H448" s="63"/>
      <c r="I448" s="64"/>
    </row>
    <row r="449" spans="2:9" s="67" customFormat="1" ht="28.5">
      <c r="B449" s="67" t="s">
        <v>129</v>
      </c>
      <c r="C449" s="67" t="s">
        <v>130</v>
      </c>
      <c r="D449" s="67" t="s">
        <v>12</v>
      </c>
      <c r="E449" s="67">
        <v>1</v>
      </c>
      <c r="F449" s="68">
        <f>TRUNC(230,2)</f>
        <v>230</v>
      </c>
      <c r="G449" s="63">
        <f>TRUNC(E449*F449,2)</f>
        <v>230</v>
      </c>
      <c r="H449" s="63"/>
      <c r="I449" s="64"/>
    </row>
    <row r="450" spans="5:9" s="67" customFormat="1" ht="14.25">
      <c r="E450" s="67" t="s">
        <v>7</v>
      </c>
      <c r="F450" s="68"/>
      <c r="G450" s="63">
        <f>TRUNC(SUM(G448:G449),2)</f>
        <v>239.69</v>
      </c>
      <c r="H450" s="63"/>
      <c r="I450" s="64"/>
    </row>
    <row r="451" spans="1:9" s="157" customFormat="1" ht="39.75" customHeight="1">
      <c r="A451" s="157" t="s">
        <v>643</v>
      </c>
      <c r="B451" s="157" t="s">
        <v>660</v>
      </c>
      <c r="C451" s="157" t="s">
        <v>622</v>
      </c>
      <c r="D451" s="157" t="s">
        <v>1</v>
      </c>
      <c r="E451" s="157">
        <v>13.34</v>
      </c>
      <c r="F451" s="158">
        <f>TRUNC(G453,2)</f>
        <v>18.58</v>
      </c>
      <c r="G451" s="137">
        <f>TRUNC(F451*1.2247,2)</f>
        <v>22.75</v>
      </c>
      <c r="H451" s="137">
        <f>TRUNC(F451*E451,2)</f>
        <v>247.85</v>
      </c>
      <c r="I451" s="138">
        <f>TRUNC(E451*G451,2)</f>
        <v>303.48</v>
      </c>
    </row>
    <row r="452" spans="2:9" s="67" customFormat="1" ht="14.25">
      <c r="B452" s="67" t="s">
        <v>89</v>
      </c>
      <c r="C452" s="67" t="s">
        <v>90</v>
      </c>
      <c r="D452" s="67" t="s">
        <v>6</v>
      </c>
      <c r="E452" s="67">
        <v>1.1844999999999999</v>
      </c>
      <c r="F452" s="68">
        <f>TRUNC(15.69,2)</f>
        <v>15.69</v>
      </c>
      <c r="G452" s="63">
        <f>TRUNC(E452*F452,2)</f>
        <v>18.58</v>
      </c>
      <c r="H452" s="63"/>
      <c r="I452" s="64"/>
    </row>
    <row r="453" spans="5:9" s="67" customFormat="1" ht="14.25">
      <c r="E453" s="67" t="s">
        <v>7</v>
      </c>
      <c r="F453" s="68"/>
      <c r="G453" s="63">
        <f>TRUNC(SUM(G452:G452),2)</f>
        <v>18.58</v>
      </c>
      <c r="H453" s="63"/>
      <c r="I453" s="64"/>
    </row>
    <row r="454" spans="1:9" s="44" customFormat="1" ht="15" customHeight="1">
      <c r="A454" s="53" t="s">
        <v>44</v>
      </c>
      <c r="B454" s="55"/>
      <c r="C454" s="54"/>
      <c r="D454" s="55"/>
      <c r="E454" s="55"/>
      <c r="F454" s="55" t="s">
        <v>49</v>
      </c>
      <c r="G454" s="55"/>
      <c r="H454" s="56">
        <f>H447+H451</f>
        <v>1206.61</v>
      </c>
      <c r="I454" s="56">
        <f>I447+I451</f>
        <v>1477.64</v>
      </c>
    </row>
    <row r="455" spans="1:11" s="44" customFormat="1" ht="15.75">
      <c r="A455" s="53" t="s">
        <v>44</v>
      </c>
      <c r="B455" s="55"/>
      <c r="C455" s="54"/>
      <c r="D455" s="55"/>
      <c r="E455" s="55"/>
      <c r="F455" s="55" t="s">
        <v>50</v>
      </c>
      <c r="G455" s="55"/>
      <c r="H455" s="57">
        <f>H114+H74+H171+H187+H322+H445+H454</f>
        <v>58273.48</v>
      </c>
      <c r="I455" s="57">
        <f>I114+I74+I171+I187+I322+I445+I454</f>
        <v>71354.56999999999</v>
      </c>
      <c r="K455" s="83"/>
    </row>
    <row r="457" ht="15">
      <c r="B457" s="96"/>
    </row>
    <row r="458" ht="15">
      <c r="B458" s="96"/>
    </row>
    <row r="459" ht="15">
      <c r="B459" s="96"/>
    </row>
    <row r="460" ht="15">
      <c r="B460" s="96"/>
    </row>
    <row r="461" ht="15">
      <c r="B461" s="96"/>
    </row>
    <row r="462" ht="15">
      <c r="B462" s="96"/>
    </row>
    <row r="467" spans="5:12" ht="15">
      <c r="E467" s="120"/>
      <c r="F467" s="120"/>
      <c r="G467" s="120"/>
      <c r="H467" s="120"/>
      <c r="I467" s="120"/>
      <c r="J467" s="120"/>
      <c r="K467" s="120"/>
      <c r="L467" s="120"/>
    </row>
    <row r="468" spans="5:12" ht="15">
      <c r="E468" s="120"/>
      <c r="F468" s="120"/>
      <c r="G468" s="120"/>
      <c r="H468" s="120"/>
      <c r="I468" s="120"/>
      <c r="J468" s="120"/>
      <c r="K468" s="120"/>
      <c r="L468" s="120"/>
    </row>
    <row r="469" spans="5:12" ht="15">
      <c r="E469" s="120"/>
      <c r="F469" s="120"/>
      <c r="G469" s="117"/>
      <c r="H469" s="117"/>
      <c r="I469" s="118"/>
      <c r="J469" s="120"/>
      <c r="K469" s="120"/>
      <c r="L469" s="120"/>
    </row>
    <row r="470" spans="5:12" ht="15">
      <c r="E470" s="120"/>
      <c r="F470" s="120"/>
      <c r="G470" s="120"/>
      <c r="H470" s="120"/>
      <c r="I470" s="120"/>
      <c r="J470" s="120"/>
      <c r="K470" s="120"/>
      <c r="L470" s="120"/>
    </row>
    <row r="471" spans="5:12" ht="15">
      <c r="E471" s="120"/>
      <c r="F471" s="120"/>
      <c r="G471" s="120"/>
      <c r="H471" s="120"/>
      <c r="I471" s="120"/>
      <c r="J471" s="120"/>
      <c r="K471" s="120"/>
      <c r="L471" s="120"/>
    </row>
    <row r="472" spans="3:12" ht="15">
      <c r="C472" s="119"/>
      <c r="E472" s="120"/>
      <c r="F472" s="120"/>
      <c r="G472" s="120"/>
      <c r="H472" s="120"/>
      <c r="I472" s="120"/>
      <c r="J472" s="120"/>
      <c r="K472" s="120"/>
      <c r="L472" s="120"/>
    </row>
    <row r="473" spans="5:12" ht="15">
      <c r="E473" s="120"/>
      <c r="F473" s="120"/>
      <c r="G473" s="120"/>
      <c r="H473" s="120"/>
      <c r="I473" s="120"/>
      <c r="J473" s="120"/>
      <c r="K473" s="120"/>
      <c r="L473" s="120"/>
    </row>
    <row r="474" spans="5:12" ht="15">
      <c r="E474" s="120"/>
      <c r="F474" s="120"/>
      <c r="G474" s="120"/>
      <c r="H474" s="120"/>
      <c r="I474" s="120"/>
      <c r="J474" s="120"/>
      <c r="K474" s="120"/>
      <c r="L474" s="120"/>
    </row>
    <row r="475" spans="5:12" ht="15">
      <c r="E475" s="120"/>
      <c r="F475" s="120"/>
      <c r="G475" s="120"/>
      <c r="H475" s="120"/>
      <c r="I475" s="120"/>
      <c r="J475" s="120"/>
      <c r="K475" s="120"/>
      <c r="L475" s="120"/>
    </row>
    <row r="476" spans="5:12" ht="15">
      <c r="E476" s="120"/>
      <c r="F476" s="120"/>
      <c r="G476" s="120"/>
      <c r="H476" s="120"/>
      <c r="I476" s="120"/>
      <c r="J476" s="120"/>
      <c r="K476" s="120"/>
      <c r="L476" s="120"/>
    </row>
    <row r="477" spans="5:12" ht="15">
      <c r="E477" s="120"/>
      <c r="F477" s="120"/>
      <c r="G477" s="120"/>
      <c r="H477" s="120"/>
      <c r="I477" s="120"/>
      <c r="J477" s="120"/>
      <c r="K477" s="120"/>
      <c r="L477" s="120"/>
    </row>
    <row r="478" spans="5:12" ht="15">
      <c r="E478" s="120"/>
      <c r="F478" s="120"/>
      <c r="G478" s="120"/>
      <c r="H478" s="120"/>
      <c r="I478" s="120"/>
      <c r="J478" s="120"/>
      <c r="K478" s="120"/>
      <c r="L478" s="120"/>
    </row>
    <row r="479" spans="5:12" ht="15">
      <c r="E479" s="120"/>
      <c r="F479" s="120"/>
      <c r="G479" s="120"/>
      <c r="H479" s="120"/>
      <c r="I479" s="120"/>
      <c r="J479" s="120"/>
      <c r="K479" s="120"/>
      <c r="L479" s="120"/>
    </row>
    <row r="480" spans="5:12" ht="15">
      <c r="E480" s="120"/>
      <c r="F480" s="120"/>
      <c r="G480" s="117"/>
      <c r="H480" s="117"/>
      <c r="I480" s="118"/>
      <c r="J480" s="120"/>
      <c r="K480" s="120"/>
      <c r="L480" s="120"/>
    </row>
    <row r="481" spans="5:12" ht="15">
      <c r="E481" s="120"/>
      <c r="F481" s="120"/>
      <c r="G481" s="120"/>
      <c r="H481" s="120"/>
      <c r="I481" s="120"/>
      <c r="J481" s="120"/>
      <c r="K481" s="120"/>
      <c r="L481" s="120"/>
    </row>
  </sheetData>
  <sheetProtection/>
  <mergeCells count="13">
    <mergeCell ref="D3:G3"/>
    <mergeCell ref="D4:G4"/>
    <mergeCell ref="D5:G5"/>
    <mergeCell ref="D6:G6"/>
    <mergeCell ref="D7:G7"/>
    <mergeCell ref="D8:G8"/>
    <mergeCell ref="A9:G9"/>
    <mergeCell ref="A10:A11"/>
    <mergeCell ref="B10:B11"/>
    <mergeCell ref="C10:C11"/>
    <mergeCell ref="D10:D11"/>
    <mergeCell ref="E10:E11"/>
    <mergeCell ref="F10:I10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39" r:id="rId2"/>
  <headerFooter>
    <oddFooter>&amp;C&amp;A&amp;RPágina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Patrick Araujo Suckow de Barros</cp:lastModifiedBy>
  <cp:lastPrinted>2020-08-31T17:42:55Z</cp:lastPrinted>
  <dcterms:created xsi:type="dcterms:W3CDTF">2017-11-22T13:14:51Z</dcterms:created>
  <dcterms:modified xsi:type="dcterms:W3CDTF">2020-08-31T17:43:06Z</dcterms:modified>
  <cp:category/>
  <cp:version/>
  <cp:contentType/>
  <cp:contentStatus/>
</cp:coreProperties>
</file>