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tabRatio="757" activeTab="1"/>
  </bookViews>
  <sheets>
    <sheet name="NÃO DESONERADA " sheetId="1" r:id="rId1"/>
    <sheet name="NÃO DESONERADA RESUMIDA" sheetId="2" r:id="rId2"/>
  </sheets>
  <externalReferences>
    <externalReference r:id="rId5"/>
  </externalReferences>
  <definedNames>
    <definedName name="_xlnm.Print_Area" localSheetId="0">'NÃO DESONERADA '!$A$1:$I$755</definedName>
    <definedName name="_xlnm.Print_Area" localSheetId="1">'NÃO DESONERADA RESUMIDA'!$A$1:$I$123</definedName>
    <definedName name="BDI" localSheetId="0">#REF!</definedName>
    <definedName name="BDI" localSheetId="1">#REF!</definedName>
    <definedName name="BDI">#REF!</definedName>
    <definedName name="_xlnm.Print_Titles" localSheetId="0">'NÃO DESONERADA '!$9:$11</definedName>
    <definedName name="_xlnm.Print_Titles" localSheetId="1">'NÃO DESONERADA RESUMIDA'!$9:$11</definedName>
  </definedNames>
  <calcPr fullCalcOnLoad="1"/>
</workbook>
</file>

<file path=xl/sharedStrings.xml><?xml version="1.0" encoding="utf-8"?>
<sst xmlns="http://schemas.openxmlformats.org/spreadsheetml/2006/main" count="2604" uniqueCount="838">
  <si>
    <t>M2</t>
  </si>
  <si>
    <t>M3</t>
  </si>
  <si>
    <t>M</t>
  </si>
  <si>
    <t>KG</t>
  </si>
  <si>
    <t>H</t>
  </si>
  <si>
    <t>TOTAL</t>
  </si>
  <si>
    <t>1.1</t>
  </si>
  <si>
    <t>1.2</t>
  </si>
  <si>
    <t>1.3</t>
  </si>
  <si>
    <t>1.4</t>
  </si>
  <si>
    <t>UN</t>
  </si>
  <si>
    <t>1.0</t>
  </si>
  <si>
    <t>SERVIÇOS PRELIMINARES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</si>
  <si>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</si>
  <si>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</si>
  <si>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</si>
  <si>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</si>
  <si>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</si>
  <si>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</si>
  <si>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</si>
  <si>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</si>
  <si>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>T</t>
  </si>
  <si>
    <t>CHP</t>
  </si>
  <si>
    <t>x</t>
  </si>
  <si>
    <t>TOTAL 1.0</t>
  </si>
  <si>
    <t>APROVAÇÃO: Eng. Eros dos Santos</t>
  </si>
  <si>
    <t>CÓDIGO</t>
  </si>
  <si>
    <t>UNIT s/ BDI</t>
  </si>
  <si>
    <t>UNITc/ BDI</t>
  </si>
  <si>
    <t>TOTAL s/ BDI</t>
  </si>
  <si>
    <t>TOTAL c/ BDI</t>
  </si>
  <si>
    <t>SERVENTE COM ENCARGOS COMPLEMENTARES</t>
  </si>
  <si>
    <t>01999</t>
  </si>
  <si>
    <t>MAO-DE-OBRA DE SERVENTE DA CONSTRUCAO CIVIL, INCLUSIVE ENCARGOS SOCIAIS</t>
  </si>
  <si>
    <t>01968</t>
  </si>
  <si>
    <t>MAO-DE-OBRA DE PEDREIRO, INCLUSIVE ENCARGOS SOCIAIS</t>
  </si>
  <si>
    <t>1.5</t>
  </si>
  <si>
    <t>CHI</t>
  </si>
  <si>
    <t>CALCETEIRO COM ENCARGOS COMPLEMENTARES</t>
  </si>
  <si>
    <t>ORÇAMENTO Nº</t>
  </si>
  <si>
    <t>AREIA MEDIA - POSTO JAZIDA/FORNECEDOR (RETIRADO NA JAZIDA, SEM TRANSPORTE)</t>
  </si>
  <si>
    <t>So00000088316</t>
  </si>
  <si>
    <t>So00000067827</t>
  </si>
  <si>
    <t>So00000067827 CAMINHÃO BASCULANTE 6 M3 TOCO, PESO BRUTO TOTAL 16.000 KG, CARGA ÚTIL MÁXIMA 11.130 KG, DISTÂNCIA ENTRE EIXOS 5,36 M, POTÊNCIA 185 CV, INCLUSIVE CAÇAMBA METÁLICA - CHI DIURNO. AF_06/2014</t>
  </si>
  <si>
    <t>So00000067826</t>
  </si>
  <si>
    <t>So00000067826 CAMINHÃO BASCULANTE 6 M3 TOCO, PESO BRUTO TOTAL 16.000 KG, CARGA ÚTIL MÁXIMA 11.130 KG, DISTÂNCIA ENTRE EIXOS 5,36 M, POTÊNCIA 185 CV, INCLUSIVE CAÇAMBA METÁLICA - CHP DIURNO. AF_06/2014</t>
  </si>
  <si>
    <t>01006</t>
  </si>
  <si>
    <t>19.004.0004-4 CAMINHAO CARROC. FIXA 7,5T (CI)</t>
  </si>
  <si>
    <t>01004</t>
  </si>
  <si>
    <t>19.004.0004-2 CAMINHAO CARROC. FIXA, 7,5T (CP)</t>
  </si>
  <si>
    <t>TOTAL GERAL</t>
  </si>
  <si>
    <t>PO DE PEDRA (POSTO PEDREIRA/FORNECEDOR, SEM FRETE)</t>
  </si>
  <si>
    <t>00453</t>
  </si>
  <si>
    <t>PREGO COM OU SEM CABECA, EM CAIXAS DE 50KG, OU QUANTIDADES EQUIVALENTES, N§12X12A 18X30</t>
  </si>
  <si>
    <t>00368</t>
  </si>
  <si>
    <t>PINUS, EM PECAS DE 7,50X7,50CM (3"X3")</t>
  </si>
  <si>
    <t>02472</t>
  </si>
  <si>
    <t>GLOBO ESFERICO, EM VIDRO, TIPO LEITOSO,DE 4"X6"</t>
  </si>
  <si>
    <t>02562</t>
  </si>
  <si>
    <t>TUBO DE PVC RIGIDO ROSQUEAVEL, EM BARRASDE 6,00M, ROSCA EM AMBAS AS EXTREMIDADES, DE 1/2"</t>
  </si>
  <si>
    <t>02617</t>
  </si>
  <si>
    <t>TUBO DE PVC RIGIDO, PONTA/BOLSA COM VIROLA, EM BARRAS DE 6,00M, DE 100MM</t>
  </si>
  <si>
    <t>02316</t>
  </si>
  <si>
    <t>CORDAO PARALELO COM ISOLAMENTO TERMOPLASTICO, ATE 750V, DE 2X2,5MM2</t>
  </si>
  <si>
    <t>02623</t>
  </si>
  <si>
    <t>JOELHO 90§ DE PVC RIGIDO ROSQUEAVEL, DE1/2"</t>
  </si>
  <si>
    <t>02634</t>
  </si>
  <si>
    <t>TE 90§ DE PVC RIGIDO ROSQUEAVEL, DE 1/2"</t>
  </si>
  <si>
    <t>02648</t>
  </si>
  <si>
    <t>CHUVEIRO DE PLASTICO BRANCO COMPLETO</t>
  </si>
  <si>
    <t>02655</t>
  </si>
  <si>
    <t>CURVA 90§ DE PVC CURTA PARA ESGOTO, DE 100MM</t>
  </si>
  <si>
    <t>02616</t>
  </si>
  <si>
    <t>TUBO DE PVC RIGIDO, PONTA/BOLSA COM VIROLA, EM BARRAS DE 6,00M, DE 75MM</t>
  </si>
  <si>
    <t>00702</t>
  </si>
  <si>
    <t>REGISTRO DE GAVETA DE BRONZE, DE 1¦ QUALIDADE COM ROSCA DE AMBOS OS LADOS, DE 3/4"</t>
  </si>
  <si>
    <t>00252</t>
  </si>
  <si>
    <t>PARAFUSO C/ROSCA, DE (8x100)MM</t>
  </si>
  <si>
    <t>00510</t>
  </si>
  <si>
    <t>RECEPTACULO DE PORCELANA P/LAMPADA, BASEE-27</t>
  </si>
  <si>
    <t>00600</t>
  </si>
  <si>
    <t>VIDRO PLANO TRANSPARENTE, COMUM, COM ESPESSURA DE 3MM</t>
  </si>
  <si>
    <t>00665</t>
  </si>
  <si>
    <t>PARAFUSO DE LATAO, ROSCA SOBERBA, CABECACHATA, DE 5,5MMX2.1/2"</t>
  </si>
  <si>
    <t>02339</t>
  </si>
  <si>
    <t>ADESIVO PLASTICO PARA PVC RIGIDO, EM BISNAGA DE 75G</t>
  </si>
  <si>
    <t>00701</t>
  </si>
  <si>
    <t>REGISTRO DE GAVETA DE BRONZE, DE 1¦ QUALIDADE COM ROSCA DE AMBOS OS LADOS, DE 1/2"</t>
  </si>
  <si>
    <t>02317</t>
  </si>
  <si>
    <t>FITA ISOLANTE, ROLO DE 19MMX20M</t>
  </si>
  <si>
    <t>00986</t>
  </si>
  <si>
    <t>TARJETA DE FIO REDONDO, EM FERRO CROMADO, DE 2"</t>
  </si>
  <si>
    <t>02315</t>
  </si>
  <si>
    <t>DISJUNTOR, MONOPOLAR, DE 10 A 32A, 3KA,MODELO DIN, TIPO C</t>
  </si>
  <si>
    <t>02884</t>
  </si>
  <si>
    <t>FECHADURA DE SOBREPOR, TIPO CAIXAO, RETANGULAR, ACABAMENTO FERRO RESINADO PRETO,DE (100X86X38)MM</t>
  </si>
  <si>
    <t>00666</t>
  </si>
  <si>
    <t>BUCHA DE NYLON, TIPO S-12</t>
  </si>
  <si>
    <t>14789</t>
  </si>
  <si>
    <t>KIT DE ACESSORIOS PARA FIXACAO, COMPREENDENDO PARAFUSOS, BUCHAS E ARRUELAS</t>
  </si>
  <si>
    <t>08000</t>
  </si>
  <si>
    <t>TELHA ONDULADA DE CIMENTO, SEM AMIANTO,REFORCADA C/FIOS SINTETICOS (CRFS), DE (2,44X1,10)M E C/ESPES. DE 6MM</t>
  </si>
  <si>
    <t>07020</t>
  </si>
  <si>
    <t>VASO SANITARIO SIFONADO, DE LOUCA BRANCA, TIPO POPULAR</t>
  </si>
  <si>
    <t>05914</t>
  </si>
  <si>
    <t>INTERRUPTOR DE SOBREPOR SIMPLES, DE 10A-250V</t>
  </si>
  <si>
    <t>02672</t>
  </si>
  <si>
    <t>RALO SIFONADO DE PVC RIGIDO, COM SAIDA DE 75MM, COM GRELHA REDONDA E PORTA GRELHA, DE (150X185X75)MM</t>
  </si>
  <si>
    <t>03963</t>
  </si>
  <si>
    <t>FUNDO PARA CAIXA DE INSPECAO COM DIAMETRO DE 600MM</t>
  </si>
  <si>
    <t>03961</t>
  </si>
  <si>
    <t>ANEL DE CONCRETO PRE-FABRICADO, P/CAIXADE INSPECAO, COM 600MM DE DIAMETRO INT.,40MM DE ESPESSURA, COM ALTURA DE 150MM</t>
  </si>
  <si>
    <t>03960</t>
  </si>
  <si>
    <t>ANEL DE CONCRETO PRE-FABRICADO, P/CAIXADE INSPECAO, COM 600MM DE DIAMETRO INT.,40MM DE ESPESSURA, COM ALTURA DE 300MM</t>
  </si>
  <si>
    <t>03944</t>
  </si>
  <si>
    <t>ASSENTO PLASTICO, PARA VASO SANITARIO, TIPO POPULAR</t>
  </si>
  <si>
    <t>03926</t>
  </si>
  <si>
    <t>CAIXA DE DESCARGA EXTERNA, PLASTICA</t>
  </si>
  <si>
    <t>02984</t>
  </si>
  <si>
    <t>RABICHO PLASTICO COM SAIDA DE 1/2" E COMCOMPRIMENTO DE 30CM</t>
  </si>
  <si>
    <t>04915</t>
  </si>
  <si>
    <t>DOBRADICA EM FERRO LAMINADO, COM PINO DEFERRO REVERSIVEL, DE 3"X3"X5/64"</t>
  </si>
  <si>
    <t>05953</t>
  </si>
  <si>
    <t>BOLSA DE LIGACAO PARA VASO SANITARIO</t>
  </si>
  <si>
    <t>INSTALACAO E LIGACAO PROVISORIA PARA ABASTECIMENTO DE AGUA E ESGOTAMENTO SANITARIO EM CANTEIRO DE OBRAS,INCLUSIVE ESCAVA CAO,EXCLUSIVE REPOSICAO DA PAVIMENTACAO DO LOGRADOURO PUBLICO (OBS.:3% - DESGASTE DE FERRAMENTAS E EPI).</t>
  </si>
  <si>
    <t>00872</t>
  </si>
  <si>
    <t>CURVA 45§ OU 90§ DE CERAMICA PARA ESGOTOCOM JUNTA ARGAMASSA, DE 0100MM</t>
  </si>
  <si>
    <t>00559</t>
  </si>
  <si>
    <t>TIJOLO CERAMICO, FURADO, DE (10X20X20)CM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</si>
  <si>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</si>
  <si>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</si>
  <si>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</si>
  <si>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</si>
  <si>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</si>
  <si>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</si>
  <si>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00688</t>
  </si>
  <si>
    <t>LIGACAO DE AGUA CEDAE, PARA INSTALACAO NO PASSEIO, DE 3/4", VAZAO DE 3,0M3/H (VALOR TOTAL)</t>
  </si>
  <si>
    <t>L</t>
  </si>
  <si>
    <t>CARPINTEIRO DE FORMAS COM ENCARGOS COMPLEMENTARES</t>
  </si>
  <si>
    <t>AJUDANTE DE CARPINTEIRO COM ENCARGOS COMPLEMENTARES</t>
  </si>
  <si>
    <t>MOVIMENTAÇÃO DE TERRA</t>
  </si>
  <si>
    <t>ESCAVACAO MANUAL DE VALA/CAVA EM MATERIAL DE 1¦ CATEGORIA (A(AREIA,ARGILA OU PICARRA),ATE 1,50M DE PROFUNDIDADE,EXCLUSIV E ESCORAMENTO E ESGOTAMENTO (OBS.:3% - DESGASTE DE FERRAMENTAS E EPI).</t>
  </si>
  <si>
    <t>PEDREIRO COM ENCARGOS COMPLEMENTARES</t>
  </si>
  <si>
    <t>00149</t>
  </si>
  <si>
    <t>CIMENTO PORTLAND CP II 32, EM SACO DE 50KG</t>
  </si>
  <si>
    <t>00001</t>
  </si>
  <si>
    <t>AREIA LAVADA, GROSSA, PARA REGIAO METROPOLITANA DO RIO DE JANEIRO</t>
  </si>
  <si>
    <t>GL</t>
  </si>
  <si>
    <t>INSTALAÇÃO ELÉTRICA</t>
  </si>
  <si>
    <t>ELETRICISTA COM ENCARGOS COMPLEMENTARES</t>
  </si>
  <si>
    <t>AUXILIAR DE ELETRICISTA COM ENCARGOS COMPLEMENTARES</t>
  </si>
  <si>
    <t>FITA ISOLANTE ADESIVA ANTICHAMA, USO ATE 750 V, EM ROLO DE 19 MM X 5 M</t>
  </si>
  <si>
    <t>CABO DE COBRE, FLEXIVEL, CLASSE 4 OU 5, ISOLACAO EM PVC/A, ANTICHAMA BWF-B, 1 CONDUTOR, 450/750 V, SECAO NOMINAL 4 MM2</t>
  </si>
  <si>
    <t>00349</t>
  </si>
  <si>
    <t>PINUS, EM PECAS DE 2,50X30,00CM (1"X12")</t>
  </si>
  <si>
    <t>00017</t>
  </si>
  <si>
    <t>ACO CA-50, ESTIRADO, PRECO DE REVENDEDOR, NO DIAMETRO DE 10,0MM</t>
  </si>
  <si>
    <t>MERCADO</t>
  </si>
  <si>
    <t>PLACA DE IDENTIFICACAO DE OBRA PUBLICA,INCLUSIVE PINTURA E SUPORTES DE MADEIRA.FORNECIMENTO E COLOCACAO (OBS.:3% - DESGASTE DE FERRAMENTAS E EPI).</t>
  </si>
  <si>
    <t>00294</t>
  </si>
  <si>
    <t>TINTA A OLEO BRILHANTE, P/USO GERAL, EMINTERIORES E EXTERIORES</t>
  </si>
  <si>
    <t>00160</t>
  </si>
  <si>
    <t>CHAPA DE ACO CARBONO, GALVANIZADA, PARAUSOS GERAIS, TAMANHO PADRAO, PRECO DE REVENDEDOR, COM ESPESSURA DE 0,5MM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</si>
  <si>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</si>
  <si>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</si>
  <si>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</si>
  <si>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</si>
  <si>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SANITARIO COM VASO E CHUVEIRO PARA PESSOAL DE OBRA,COM 2,00M2 EXECUTADO COM TABUAS DE MADEIRA DE 3¦,E TELHAS ONDULADAS D E 6MM DE FIBROCIMENTO,INCLUSIVE INSTALACOES,APARELHOS,ESQUADRIAS E FERRAGENS CONSIDERANDO REAPROVEITAMENTO DAS INSTALACO ES E APARELHOS 2 VEZES (OBS.:3% - DESGASTE DE FERRAMENTAS E EPI 10% - GRAMPO E ROSETA DE MADEIRA).</t>
  </si>
  <si>
    <t>02568</t>
  </si>
  <si>
    <t>SIFAO EM METAL CROMADO, DE 1"x1.1/2"</t>
  </si>
  <si>
    <t>MARCACAO DE OBRA SEM INSTRUMENTO TOPOGRAFICO,CONSIDERADA A PROJECAO HORIZONTAL DA AREA ENVOLVENTE (OBS.:3% - DESGASTE DE FERRAMENTAS E EPI).</t>
  </si>
  <si>
    <t>00004</t>
  </si>
  <si>
    <t>ARAME RECOZIDO N§ 18</t>
  </si>
  <si>
    <t>ESCAVADEIRA HIDRÁULICA SOBRE ESTEIRAS, CAÇAMBA 0,80 M3, PESO OPERACIONAL 17,8 T, POTÊNCIA LÍQUIDA 110 HP - CHP DIURNO. AF_10/2014</t>
  </si>
  <si>
    <t>ESCAVADEIRA HIDRÁULICA SOBRE ESTEIRAS, CAÇAMBA 0,80 M3, PESO OPERACIONAL 17,8 T, POTÊNCIA LÍQUIDA 110 HP - CHI DIURNO. AF_10/2014</t>
  </si>
  <si>
    <t xml:space="preserve">ESCAVACAO MECANICA, A CEU ABERTO, EM MATERIAL DE 1A CATEGORIA, COM ESCAVADEIRA HIDRAULICA, CAPACIDADE DE 0,78 M3 </t>
  </si>
  <si>
    <t>REATERRO DE VALA/CAVA COM MATERIAL DE BOA QUALIDADE,UTILIZANDO VIBRO COMPACTADOR PORTATIL,EXCLUSIVE MATERIAL (OBS.:3%-DESGASTE DE FERRAMENTAS E EPI).</t>
  </si>
  <si>
    <t>CARGA E DESCARGA MECANICA DE SOLO UTILIZANDO CAMINHAO BASCULANTE 6,0M3/16T E PA CARREGADEIRA SOBRE PNEUS 128 HP, CAPACIDADE DA CAÇAMBA 1,7 A 2,8 M3, PESO OPERACIONAL 11632 KG</t>
  </si>
  <si>
    <t>CAMINHÃO BASCULANTE 6 M3, PESO BRUTO TOTAL 16.000 KG, CARGA ÚTIL MÁXIMA 13.071 KG, DISTÂNCIA ENTRE EIXOS 4,80 M, POTÊNCIA 230 CV INCLUSIVE CAÇAMBA METÁLICA - CHP DIURNO. AF_06/2014</t>
  </si>
  <si>
    <t>PÁ CARREGADEIRA SOBRE RODAS, POTÊNCIA LÍQUIDA 128 HP, CAPACIDADE DA CAÇAMBA 1,7 A 2,8 M3, PESO OPERACIONAL 11632 KG - CHP DIURNO. AF_06/2014</t>
  </si>
  <si>
    <t>TRANSPORTE COM CAMINHÃO BASCULANTE DE 6 M³, EM VIA URBANA PAVIMENTADA, DMT ATÉ 30 KM (UNIDADE: M3XKM). AF_07/2020</t>
  </si>
  <si>
    <t>M3XKM</t>
  </si>
  <si>
    <t>ESPALHAMENTO DE MATERIAL COM TRATOR DE ESTEIRAS. AF_11/2019</t>
  </si>
  <si>
    <t>DEMOLICAO MANUAL DE CONCRETO SIMPLES COM EMPILHAMENTO LATERAL DENTRO DO CANTEIRO DE SERVICO (OBS.:3%-DESGASTE DE FERRAMENTAS E EPI).</t>
  </si>
  <si>
    <t>ARRANCAMENTO E REPLANTIO DE ARVORE ADULTA,ENTRE 3,00 E 5,00MDE ALTURA E ATE 20CM DE DIAMETRO,INCLUSIVE ESCAVACAO E REGA DURANTE 15 DIAS,EXCLUSIVE TRANSPORTE (OBS.:3%-DESGASTE DE FERRAMENTAS E EPI).</t>
  </si>
  <si>
    <t>ARRANCAMENTO E REPLANTIO DE ARVORE ADULTA,ACIMA DE 5,00M DE ALTURA E MAIS DE 20CM DE DIAMETRO,INCLUSIVE ESCAVACAO E REGA DURANTE 15 DIAS,EXCLUSIVE TRANSPORTE (OBS.:3%-DESGASTE DE FERRAMENTAS E EPI).</t>
  </si>
  <si>
    <t>ARRANCAMENTO E REPLANTIO DE ARVORE ADULTA, COM ATE 3,00M DE ALTURA E ATE 15CM DE DIAMETRO, INCLUSIVE ESCAVACAO E REGA DU RANTE 15 DIAS,EXCLUSIVE TRANSPORTE (OBS.:3%-DESGASTE DE FERRAMENTAS E EPI).</t>
  </si>
  <si>
    <t>ARRANCAMENTO DE OUTDOOR</t>
  </si>
  <si>
    <t xml:space="preserve">ARRANCAMENTO E REASSENTAMENTO DE COBERTURA PARA PONTO DE ÔNIBUS  </t>
  </si>
  <si>
    <t>CONCRETO FCK = 25MPA, TRAÇO 1:2,3:2,7 (EM MASSA SECA DE CIMENTO/ AREIA MÉDIA/ BRITA 1) - PREPARO MECÂNICO COM BETONEIRA 400 L. AF_05/2021</t>
  </si>
  <si>
    <t>LANÇAMENTO COM USO DE BALDES, ADENSAMENTO E ACABAMENTO DE CONCRETO EM ESTRUTURAS. AF_12/2015</t>
  </si>
  <si>
    <t>CANTEIRO (BANCOS, MESAS, JARDINEIRA, RAMPA, PONTO DE ONIBUS, ESCADA)</t>
  </si>
  <si>
    <t>PERFURACAO MANUAL DE SOLO,A TRADO ACIMA DE 10" (OBS.:3% - DESGASTE DE FERRAMENTAS E EPI).</t>
  </si>
  <si>
    <t>CONCRETO DOSADO RACIONALMENTE PARA UMA RESISTENCIA CARACTERISTICA A COMPRESSAO DE 15MPA,INCLUSIVE MATERIAIS,TRANSPORTE,P REPARO COM BETONEIRA,LANCAMENTO E ADENSAMENTO</t>
  </si>
  <si>
    <t>CONCRETO DOSADO RACIONALMENTE PARA UMA RESISTENCIA CARACTERISTICA A COMPRESSAO DE 25MPA,INCLUSIVE MATERIAIS,TRANSPORTE,P REPARO COM BETONEIRA,LANCAMENTO E ADENSAMENTO (OBS.:5%-PERDAS).</t>
  </si>
  <si>
    <t>14543</t>
  </si>
  <si>
    <t>PEDRA BRITADA 1 E 2 (MEDIA), PARA REGIAOMETROPOLITANA DO RIO DE JANEIRO</t>
  </si>
  <si>
    <t>CONCRETO DOSADO RACIONALMENTE PARA UMA RESISTENCIA CARACTERISTICA A COMPRESSAO DE 25MPA, COM FIBRA DE POLIPROPILENO,INCLUSIVE MATERIAIS,TRANSPORTE,P REPARO COM BETONEIRA,LANCAMENTO E ADENSAMENTO (OBS.:5%-PERDAS).</t>
  </si>
  <si>
    <t>FIBRA DE POLIPROPILENO</t>
  </si>
  <si>
    <t>FORMAS DE CHAPAS DE MADEIRA COMPENSADA,EMPREGANDO-SE AS DE 14MM,RESINADAS,E TAMBEM AS DE 20MM DE ESPESSURA,PLASTIFICADAS ,SERVINDO 4 VEZES,E A MADEIRA AUXILIAR SERVINDO 3 VEZES,INCLUSIVE FORNECIMENTO E DESMOLDAGEM,EXCLUSIVE ESCORAMENTO (OBS.:3%-DESGASTE DE FERRAMENTAS E EPI).</t>
  </si>
  <si>
    <t>00288</t>
  </si>
  <si>
    <t>CHAPA DE MADEIRA COMPENSADA, PLASTIFICADA, COM ESPESSURA DE 20MM</t>
  </si>
  <si>
    <t>00278</t>
  </si>
  <si>
    <t>CHAPA DE MADEIRA COMPENSADA, RESINADA, COM ESPESSURA DE 14MM</t>
  </si>
  <si>
    <t>FABRICAÇÃO, MONTAGEM E DESMONTAGEM DE FÔRMA PARA VIGA BALDRAME, EM MADEIRA SERRADA, E=25 MM, 4 UTILIZAÇÕES. AF_06/2017</t>
  </si>
  <si>
    <t>PREGO DE ACO POLIDO COM CABECA DUPLA 17 X 27 (2 1/2 X 11)</t>
  </si>
  <si>
    <t>TABUA NAO APARELHADA *2,5 X 30* CM, EM MACARANDUBA, ANGELIM OU EQUIVALENTE DA REGIAO - BRUTA</t>
  </si>
  <si>
    <t>PREGO DE ACO POLIDO COM CABECA 17 X 24 (2 1/4 X 11)</t>
  </si>
  <si>
    <t>SARRAFO *2,5 X 7,5* CM EM PINUS, MISTA OU EQUIVALENTE DA REGIAO - BRUTA</t>
  </si>
  <si>
    <t>PONTALETE *7,5 X 7,5* CM EM PINUS, MISTA OU EQUIVALENTE DA REGIAO - BRUTA</t>
  </si>
  <si>
    <t>DESMOLDANTE PROTETOR PARA FORMAS DE MADEIRA, DE BASE OLEOSA EMULSIONADA EM AGUA</t>
  </si>
  <si>
    <t>FIO DE ACO CA-60,REDONDO,COM SALIENCIA OU MOSSA,COEFICIENTE DE CONFORMACAO SUPERFICIAL MINIMO(ADERENCIA)IGUAL A 1,5,DIAM ETRO ENTRE 4,2 A 5MM,DESTINADO A ARMADURA DE PECAS DE CONCRETO ARMADO,COMPREENDENDO 10% DE PERDAS DE PONTAS E ARAME 18. FORNECIMENTO E COLOCAÇÃO.</t>
  </si>
  <si>
    <t>FIO DE ACO CA-60,REDONDO,COM SALIENCIA OU MOSSA,COEFICIENTE DE CONFORMACAO SUPERFICIAL MINIMO(ADERENCIA)IGUAL A 1,5,DIAM ETRO ENTRE 4,2 A 5MM,DESTINADO A ARMADURA DE PECAS DE CONCRETO ARMADO,COMPREENDENDO 10% DE PERDAS DE PONTAS E ARAME 18.F ORNECIMENTO</t>
  </si>
  <si>
    <t>06129</t>
  </si>
  <si>
    <t>ACO CA-60, ESTIRADO, PRECO DE FABRICA, NO DIAMETRO DE 05,0MM</t>
  </si>
  <si>
    <t>06128</t>
  </si>
  <si>
    <t>ACO CA-60, ESTIRADO, PRECO DE FABRICA, NO DIAMETRO DE 04,2MM</t>
  </si>
  <si>
    <t>CORTE,DOBRAGEM,MONTAGEM E COLOCACAO DE FERRAGENS NAS FORMAS,ACO CA-60,EM FIO REDONDO,COM DIAMETRO DE 4,2 A 5MM (OBS.:3%-DESGASTE DE FERRAMENTAS E EPI).</t>
  </si>
  <si>
    <t xml:space="preserve">BARRA DE ACO CA-50,COM SALIENCIA OU MOSSA,COEFICIENTE DE CONFORMACAO SUPERFICIAL MINIMO (ADERENCIA) IGUAL A 1,5,DIAMETRO DE 6,3MM,DESTINADA A ARMADURA DE CONCRETO ARMADO,10% DE PERDAS DE PONTAS E ARAME 18. FORNECIMENTO E COLOCAÇÃO. </t>
  </si>
  <si>
    <t>BARRA DE ACO CA-50,COM SALIENCIA OU MOSSA,COEFICIENTE DE CONFORMACAO SUPERFICIAL MINIMO (ADERENCIA) IGUAL A 1,5,DIAMETRO DE 6,3MM,DESTINADA A ARMADURA DE CONCRETO ARMADO,10% DE PERDAS DE PONTAS E ARAME 18.FORNECIMENTO</t>
  </si>
  <si>
    <t>06211</t>
  </si>
  <si>
    <t>ACO CA-50, ESTIRADO, PRECO DE FABRICA, NO DIAMETRO DE 06,3MM</t>
  </si>
  <si>
    <t>CORTE,DOBRAGEM,MONTAGEM E COLOCACAO DE FERRAGENS NAS FORMAS,ACO CA-50,EM BARRAS REDONDAS,COM DIAMETRO IGUAL A 6,3MM (OBS.:3%-DESGASTE DE FERRAMENTAS E EPI).</t>
  </si>
  <si>
    <t>BARRA DE ACO CA-50,COM SALIENCIA OU MOSSA,COEFICIENTE DE CONFORMACAO SUPERFICIAL MINIMO (ADERENCIA) IGUAL A 1,5,DIAMETRO DE 8 A 12,5MM,DESTINADA A ARMADURA DE CONCRETO ARMADO,10%DE PERDAS DE PONTAS E ARAME 18 .FORNECIMENTO E COLOCAÇÃO.</t>
  </si>
  <si>
    <t>BARRA DE ACO CA-50,COM SALIENCIA OU MOSSA,COEFICIENTE DE CONFORMACAO SUPERFICIAL MINIMO (ADERENCIA) IGUAL A 1,5,DIAMETRO DE 8 A 12,5MM,DESTINADA A ARMADURA DE CONCRETO ARMADO,10%DE PERDAS DE PONTAS E ARAME 18.FORNECIMENTO</t>
  </si>
  <si>
    <t>06214</t>
  </si>
  <si>
    <t>ACO CA-50, ESTIRADO, PRECO DE FABRICA, NO DIAMETRO DE 12,5MM</t>
  </si>
  <si>
    <t>06213</t>
  </si>
  <si>
    <t>ACO CA-50, ESTIRADO, PRECO DE FABRICA, NO DIAMETRO DE 10,0MM</t>
  </si>
  <si>
    <t>06212</t>
  </si>
  <si>
    <t>ACO CA-50, ESTIRADO, PRECO DE FABRICA, NO DIAMETRO DE 08,0MM</t>
  </si>
  <si>
    <t>CORTE,DOBRAGEM,MONTAGEM E COLOCACAO DE FERRAGENS NAS FORMAS,ACO CA-50,EM BARRAS REDONDAS,COM DIAMETRO DE 8 A 12,5MM (OBS.:3%-DESGASTE DE FERRAMENTAS E EPI).</t>
  </si>
  <si>
    <t>IMPERMEABILIZACAO DE ESTRUTURAS ENTERRADAS, COM TINTA ASFALTICA, DUAS DEMAOS.</t>
  </si>
  <si>
    <t>TINTA ASFALTICA IMPERMEABILIZANTE DISPERSA EM AGUA, PARA MATERIAIS CIMENTICIOS</t>
  </si>
  <si>
    <t>ARMACAO EM TELA DE ACO SOLDADA NERVURADA Q-283, ACO CA-60, 4,2MM, MALHA 10X10CM</t>
  </si>
  <si>
    <t>ARAME RECOZIDO 18 BWG, 1,25 MM (0,01 KG/M)</t>
  </si>
  <si>
    <t>ARMADOR COM ENCARGOS COMPLEMENTARES</t>
  </si>
  <si>
    <t>TELA DE ACO SOLDADA NERVURADA, CA-60, Q-283 (4,48 KG/M2), DIAMETRO DO FIO = 6,0 MM, LARGURA = 2,45 X 6,00 M DE COMPRIMENTO, ESPACAMENTO DA MALHA = 10 X 10 CM</t>
  </si>
  <si>
    <r>
      <t xml:space="preserve">0043127 </t>
    </r>
    <r>
      <rPr>
        <b/>
        <sz val="11"/>
        <rFont val="Times New Roman"/>
        <family val="1"/>
      </rPr>
      <t>(MODIFICADO)</t>
    </r>
  </si>
  <si>
    <t>CAMADA VERTICAL DRENANTE FEITA COM PEDRA BRITADA, INCLUSIVE FORNECIMENTO DO MATERIAL</t>
  </si>
  <si>
    <t>DRENO OU BARBACA EM TUBO DE PVC,DIAMETRO DE 2",INCLUSIVE FORNECIMENTO DO TUBO E MATERIAL DRENANTE</t>
  </si>
  <si>
    <t>14559</t>
  </si>
  <si>
    <t>BRITA 3, PARA REGIAO METROPOLITANA DO RIO DE JANEIRO</t>
  </si>
  <si>
    <t>02615</t>
  </si>
  <si>
    <t>TUBO DE PVC RIGIDO, PONTA/BOLSA COM VIROLA, EM BARRAS DE 6,00M, DE 050MM</t>
  </si>
  <si>
    <t>ALVENARIA DE VEDAÇÃO DE BLOCOS VAZADOS DE CONCRETO DE 19X19X39CM (ESPESSURA 19CM) DE PAREDES COM ÁREA LÍQUIDA MAIOR OU IGUAL A 6M² SEM VÃOS E ARGAMASSA DE ASSENTAMENTO COM PREPARO EM BETONEIRA. AF_06/2014</t>
  </si>
  <si>
    <t>PINO DE ACO COM FURO, HASTE = 27 MM (ACAO DIRETA)</t>
  </si>
  <si>
    <t>CENTO</t>
  </si>
  <si>
    <t>TELA DE ACO SOLDADA GALVANIZADA/ZINCADA PARA ALVENARIA, FIO  D = *1,20 A 1,70* MM, MALHA 15 X 15 MM, (C X L) *50 X 17,5* CM</t>
  </si>
  <si>
    <t>BLOCO DE VEDACAO DE CONCRETO 19 X 19 X 39 CM (CLASSE C - NBR 6136)</t>
  </si>
  <si>
    <t>EQUIPAMENTOS</t>
  </si>
  <si>
    <t>0001873</t>
  </si>
  <si>
    <t>CAIXA DE PASSAGEM, EM PVC, DE 4" X 4", PARA ELETRODUTO FLEXIVEL CORRUGADO</t>
  </si>
  <si>
    <t>2.0</t>
  </si>
  <si>
    <t>2.1</t>
  </si>
  <si>
    <t>2.2</t>
  </si>
  <si>
    <t>2.3</t>
  </si>
  <si>
    <t>2.4</t>
  </si>
  <si>
    <t>2.5</t>
  </si>
  <si>
    <t>2.6</t>
  </si>
  <si>
    <t>3.0</t>
  </si>
  <si>
    <t>3.1</t>
  </si>
  <si>
    <t>3.2</t>
  </si>
  <si>
    <t>3.3</t>
  </si>
  <si>
    <t>3.4</t>
  </si>
  <si>
    <t>3.5</t>
  </si>
  <si>
    <t>3.6</t>
  </si>
  <si>
    <t>3.7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</si>
  <si>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</si>
  <si>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</si>
  <si>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</si>
  <si>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</si>
  <si>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</si>
  <si>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</si>
  <si>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</si>
  <si>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</si>
  <si>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</si>
  <si>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</si>
  <si>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</si>
  <si>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</si>
  <si>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</si>
  <si>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</si>
  <si>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</si>
  <si>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</si>
  <si>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</si>
  <si>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5.0</t>
  </si>
  <si>
    <t>7.0</t>
  </si>
  <si>
    <t>7.1</t>
  </si>
  <si>
    <t>7.2</t>
  </si>
  <si>
    <t>7.3</t>
  </si>
  <si>
    <t>7.4</t>
  </si>
  <si>
    <t>7.5</t>
  </si>
  <si>
    <t>7.6</t>
  </si>
  <si>
    <t>7.7</t>
  </si>
  <si>
    <t>7.10</t>
  </si>
  <si>
    <t>7.11</t>
  </si>
  <si>
    <t>7.12</t>
  </si>
  <si>
    <t>7.13</t>
  </si>
  <si>
    <t>7.14</t>
  </si>
  <si>
    <t>7.15</t>
  </si>
  <si>
    <t>7.16</t>
  </si>
  <si>
    <t>7.17</t>
  </si>
  <si>
    <t>CAIXA RETANGULAR 4" X 4"  INSTALADA EM PISO, DE ALUMÍNIO          ALTA (2,00 M DO PISO), PVC, INSTALADA EM PAREDE - FORNECIMENTO E INSTALAÇÃO. AF_12/2015</t>
  </si>
  <si>
    <t>CAIXA OCTOGONAL 4" X 4", PVC, INSTALADA EM LAJE - FORNECIMENTO E INSTALAÇÃO. AF_12/2015</t>
  </si>
  <si>
    <t>CAIXA OCTOGONAL DE FUNDO MOVEL, EM PVC, DE 4" X 4", PARA ELETRODUTO FLEXIVEL CORRUGADO</t>
  </si>
  <si>
    <t>13242</t>
  </si>
  <si>
    <t>LUMINARIA TIPO SPOT, DIRECIONAL, EXCLUSIVE LAMPADA</t>
  </si>
  <si>
    <t xml:space="preserve">LUMINARIA TIPO SPOT   BALIZADOR DE EMBUTIR NA PAREDE COM 12W EM LED, COM VIDRO BLINDADO.                                                     ,DIRECIONAL,EXCLUSIVE LAMPADA.             </t>
  </si>
  <si>
    <t>!EM PROCESSO DE DESATIVACAO! LUMINARIA FECHADA P/ ILUMINACAO PUBLICA, TIPO ABL 50/F OU EQUIV, P/ LAMPADA A VAPOR DE MERCURIO 400W</t>
  </si>
  <si>
    <t>REATOR P/ 1 LAMPADA VAPOR DE MERCURIO 250W USO EXT</t>
  </si>
  <si>
    <t>LAMPADA VAPOR MERCURIO 250 W (BASE E40)</t>
  </si>
  <si>
    <t>LUMINARIA FECHADA PARA ILUMINACAO PUBLICA :   GLOBO REDONDO GRANDE PARA POSTE LUMINÁRIA   Ø  50cm  E  LÂMPADA DE 100W LED. FORNECIMENTO E INSTALACAO                        - LAMPADAS DE 250/500W - FORNECIMENTO E INSTALACAO (EXCLUINDO LAMPADAS)</t>
  </si>
  <si>
    <t xml:space="preserve">GLOBO REDONDO GRANDE PARA POSTE LUMINÁRIA   Ø 50cm </t>
  </si>
  <si>
    <t xml:space="preserve">  LÂMPADA DE 100W LED</t>
  </si>
  <si>
    <t>REATOR INTERNO/INTEGRADO PARA LAMPADA VAPOR METALICO 400 W, ALTO FATOR DE POTENCIA</t>
  </si>
  <si>
    <t>REFLETOR REDONDO EM ALUMINIO ANODIZADO PARA LAMPADA VAPOR DE MERCURIO/SODIO, CORPO EM ALUMINIO COM PINTURA EPOXI, PARA LAMPADA E-27 DE 300 W, COM SUPORTE REDONDO E ALCA REGULAVEL PARA FIXACAO.</t>
  </si>
  <si>
    <t>Refletor de LED, para iluminação pública, de 200W.</t>
  </si>
  <si>
    <t>POSTE DE ACO,RETO,CONICO CONTINUO,ALTURA DE 3,50M,COM SAPATA E BASE(PADRAO RIO CIDADE CATETE).FORNECIMENTO</t>
  </si>
  <si>
    <t>11460</t>
  </si>
  <si>
    <t>POSTE DE ACO RETO, CONICO CONTINUO, COMALTURA DE 3,50M, COM SAPATA CIRCULAR</t>
  </si>
  <si>
    <t>ASSENTAMENTO DE POSTE RETO,DE ACO DE 3,50 ATE 6,00M,COM FLANGE DE ACO SOLDADO NA SUA BASE,FIXADO POR PARAFUSOS CHUMBADOR ES ENGASTADOS EM FUNDACAO DE CONCRETO,EXCLUSIVE FUNDACAO EFORNECIMENTO DO POSTE (OBS.:3%-DESGASTE DE FERRAMENTAS E EPI).</t>
  </si>
  <si>
    <t>CHUMBADOR PARA FIXACAO DE POSTE DE ACO CURVO DE 1 BRACO,DE 8M ATE 9M DE ALTURA,EXCLUSIVE ESTE,DE 7/8"X600MM,COM PORCA E ARRUELA GALVANIZADAS A FOGO,PADRAO RIOLUZ.FORNECIMENTO E INSTALACAO (OBS.:3%-DESGASTE DE FERRAMENTAS E EPI).</t>
  </si>
  <si>
    <t>11105</t>
  </si>
  <si>
    <t>CHUMBADOR DE ACO COMUM COM PORCAS E ARRUELAS DE 7/8"X600MM</t>
  </si>
  <si>
    <t>00043</t>
  </si>
  <si>
    <t>CHAPA DE ACO, ASTM-A-36, TAMANHO PADRAO,PRECO DE USINA, COM ESPESSURA DE 12,5MM</t>
  </si>
  <si>
    <t>POSTE DE ACO, RETO, CONICO CONTINUO, ALTURA DE 3,50M, COM SAPATA E BASE (PADRAO RIO CIDADE CATETE), INCLUSIVE : Chumbador e chapa metálica, Escavação e Concreto 25 Mpa. FORNECIMENTO E INSTALAÇÃO</t>
  </si>
  <si>
    <t xml:space="preserve">POSTE DE ACO, RETO, CONICO CONTINUO, ALTURA DE 3,50M, SEM SAPATA, INCLUSIVE :  Escavação e Concreto 25 Mpa. FORNECIMENTO E INSTALAÇÃO. </t>
  </si>
  <si>
    <t>POSTE DE ACO,RETO,CONICO CONTINUO,ALTURA DE 3,50M,SEM SAPATA.FORNECIMENTO</t>
  </si>
  <si>
    <t>11459</t>
  </si>
  <si>
    <t>POSTE DE ACO RETO, CONICO CONTINUO, SEMSAPATA, COMPRIMENTO DE 3,50M</t>
  </si>
  <si>
    <t>7.8 E 7.9</t>
  </si>
  <si>
    <t>ELETRODUTO FLEXÍVEL CORRUGADO, PVC, DN 32 MM (1"), PARA CIRCUITOS TERMINAIS, INSTALADO EM PAREDE - FORNECIMENTO E INSTALAÇÃO. AF_12/2015</t>
  </si>
  <si>
    <t>ELETRODUTO PVC FLEXIVEL CORRUGADO, COR AMARELA, DE 32 MM</t>
  </si>
  <si>
    <t>DISJUNTOR BIPOLAR TIPO DIN, CORRENTE NOMINAL DE 16A - FORNECIMENTO E INSTALAÇÃO. AF_10/2020</t>
  </si>
  <si>
    <t>DISJUNTOR TIPO DIN/IEC, BIPOLAR DE 6 ATE 32A</t>
  </si>
  <si>
    <t>TERMINAL A COMPRESSAO EM COBRE ESTANHADO PARA CABO 2,5 MM2, 1 FURO E 1 COMPRESSAO, PARA PARAFUSO DE FIXACAO M5</t>
  </si>
  <si>
    <t>DISJUNTOR TRIPOLAR TIPO DIN, CORRENTE NOMINAL DE 50A - FORNECIMENTO E INSTALAÇÃO. AF_10/2020</t>
  </si>
  <si>
    <t>DISJUNTOR TIPO DIN/IEC, TRIPOLAR DE 10 ATE 50A</t>
  </si>
  <si>
    <t>TERMINAL A COMPRESSAO EM COBRE ESTANHADO PARA CABO 16 MM2, 1 FURO E 1 COMPRESSAO, PARA PARAFUSO DE FIXACAO M6</t>
  </si>
  <si>
    <t>QUADRO DE DISTRIBUIÇÃO DE ENERGIA EM CHAPA DE AÇO GALVANIZADO, DE SOBREPOR, COM BARRAMENTO TRIFÁSICO, PARA 18 DISJUNTORES DIN 100A - FORNECIMENTO E INSTALAÇÃO. AF_10/2020</t>
  </si>
  <si>
    <t>QUADRO DE DISTRIBUICAO COM BARRAMENTO TRIFASICO, DE SOBREPOR, EM CHAPA DE ACO GALVANIZADO, PARA 18 DISJUNTORES DIN, 100 A</t>
  </si>
  <si>
    <t>ENTRADA DE ENERGIA INDIVIDUAL,PADRAO LIGHT,MEDICAO DIRETA,REDE AEREA,DEMANDA ATE 8KVA,INCLUSIVE CAIXA TRANSPARENTE PARA MEDICAO(CTM),E CAIXA DE DISJUNTOR MONOPOLAR(CDJ1)INTERNA E DEMAIS MATERIAIS NECESSARIOS,EXCLUSIVE POSTE,DISJUNTOR E FIOS DE ENTRADA E SAIDA (OBS.:3%-DESGASTE DE FERRAMENTAS E EPI).</t>
  </si>
  <si>
    <t>05265</t>
  </si>
  <si>
    <t>ARMACAO SECUNDARIA, COMPLETA, PARA 3 LINHAS</t>
  </si>
  <si>
    <t>00116</t>
  </si>
  <si>
    <t>BOX DE ALUMINIO CURVO, DE 3/4"</t>
  </si>
  <si>
    <t>00289</t>
  </si>
  <si>
    <t>CABO SOLIDO DE COBRE ELETROLITICO NU, TEMPERA MOLE, CLASSE 2, SECAO CIRCULAR DE10,0 A 500,0MM2</t>
  </si>
  <si>
    <t>02643</t>
  </si>
  <si>
    <t>LUVA DE PVC RIGIDO ROSQUEAVEL, PARA ELETRODUTO, DE 3/4"</t>
  </si>
  <si>
    <t>02961</t>
  </si>
  <si>
    <t>CURVA 90§ DE PVC RIGIDO, ROSQUEAVEL, PARA ELETRODUTO, DE 3/4"</t>
  </si>
  <si>
    <t>03968</t>
  </si>
  <si>
    <t>CINTA CIRCULAR DE ACO GALVANIZADO COM PARAFUSOS, DE APROXIMADAMENTE 120MM</t>
  </si>
  <si>
    <t>00115</t>
  </si>
  <si>
    <t>BUCHA E ARRUELA DE ALUMINIO PARA ELETRODUTO, DE 3/4"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</si>
  <si>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</si>
  <si>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</si>
  <si>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</si>
  <si>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</si>
  <si>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</si>
  <si>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POLIMERICA PARA MEDICAO DIRETA MONOFASICA (CM1) EM POLICARBONATO C/TAMPA TRANSP.P/ENTR.ENERGIA INDIV.,PADRAO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</si>
  <si>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</si>
  <si>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</si>
  <si>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</si>
  <si>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</si>
  <si>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02346</t>
  </si>
  <si>
    <t>ELETRODUTO DE PVC PRETO,RIGIDO ROSQUEAVEL EM AMBAS EXTREMIDADES,EM BARRAS DE 3 METROS,DE 2"</t>
  </si>
  <si>
    <t>POSTE DE CONCRETO,COM SECAO CIRCULAR,COM 7,00M DE COMPRIMENTO E CARGA NOMINAL HORIZONTAL NO TOPO DE 100KG,INCLUSIVE ESCA VACAO,EXCLUSIVE TRANSPORTE.FORNECIMENTO E COLOCACAO (OBS.:3%-DESGASTE DE FERRAMENTAS E EPI).</t>
  </si>
  <si>
    <t>00456</t>
  </si>
  <si>
    <t>POSTE DE CONCRETO, C/SECAO CIRCULAR, C/07,00M DE COMPR., PADRAO ABNT, EXCLUSIVETRANSP., C/CARGA NOM.HORIZ.TOPO 100KGF</t>
  </si>
  <si>
    <t>CONCRETO ARMADO,FCK=25MPA,INCLUINDO MATERIAIS PARA 1,00M3 DE CONCRETO(IMPORTADO DE USINA)ADENSADO E COLOCADO,14,00M2 DE AREA MOLDADA,FORMAS E ESCORAMENTO CONFORME ITENS 11.004.0022E 11.004.0035,60KG DE ACO CA-50,INCLUSIVE MAO-DE-OBRA PARA CORTE,DOBRAGEM,MONTAGEM E COLOCACAO NAS FORMAS (OBS.:3%-DESGASTE DE FERRAMENTAS E EPI).</t>
  </si>
  <si>
    <t>07328</t>
  </si>
  <si>
    <t>CONCRETO IMPORTADO DE USINA, UTILIZANDOBRITA 1, DE 25MPA</t>
  </si>
  <si>
    <t>05845</t>
  </si>
  <si>
    <t>ACO CA-50, ESTIRADO, PRECO DE REVENDEDOR, NO DIAMETRO DE 08,0MM</t>
  </si>
  <si>
    <t>05844</t>
  </si>
  <si>
    <t>ACO CA-50, ESTIRADO, PRECO DE REVENDEDOR, NO DIAMETRO DE 06,3MM</t>
  </si>
  <si>
    <t>00021</t>
  </si>
  <si>
    <t>ACO CA-50, ESTIRADO, PRECO DE REVENDEDOR, NO DIAMETRO, DE 25,0MM</t>
  </si>
  <si>
    <t>00019</t>
  </si>
  <si>
    <t>ACO CA-50, ESTIRADO, PRECO DE REVENDEDOR, NO DIAMETRO DE 16,0MM</t>
  </si>
  <si>
    <t>00018</t>
  </si>
  <si>
    <t>ACO CA-50, ESTIRADO, PRECO DE REVENDEDOR, NO DIAMETRO DE 12,5MM</t>
  </si>
  <si>
    <t>7.17.2</t>
  </si>
  <si>
    <t>ABRIGO PARA QUADRO GERAL DE LUZ - (Ver Projeto "Folha Única")</t>
  </si>
  <si>
    <t>7.17.3</t>
  </si>
  <si>
    <t>ALVENARIA DE VEDAÇÃO DE BLOCOS CERÂMICOS FURADOS NA HORIZONTAL DE 9X19X19CM (ESPESSURA 9CM) DE PAREDES COM ÁREA LÍQUIDA MENOR QUE 6M² COM VÃOS E ARGAMASSA DE ASSENTAMENTO COM PREPARO EM BETONEIRA. AF_06/2014</t>
  </si>
  <si>
    <t>TELA DE ACO SOLDADA GALVANIZADA/ZINCADA PARA ALVENARIA, FIO D = *1,20 A 1,70* MM, MALHA 15 X 15 MM, (C X L) *50 X 7,5* CM</t>
  </si>
  <si>
    <t>BLOCO CERAMICO VAZADO PARA ALVENARIA DE VEDACAO, DE 9 X 19 X 19 CM (L X A X C)</t>
  </si>
  <si>
    <t>MIL</t>
  </si>
  <si>
    <t>7.17.4</t>
  </si>
  <si>
    <t>CHAPISCO APLICADO EM ALVENARIAS E ESTRUTURAS DE CONCRETO INTERNAS, COM COLHER DE PEDREIRO.  ARGAMASSA TRAÇO 1:3 COM PREPARO EM BETONEIRA 400L. AF_06/2014</t>
  </si>
  <si>
    <t>7.17.5</t>
  </si>
  <si>
    <t>MASSA ÚNICA, PARA RECEBIMENTO DE PINTURA, EM ARGAMASSA TRAÇO 1:2:8, PREPARO MECÂNICO COM BETONEIRA 400L, APLICADA MANUALMENTE EM FACES INTERNAS DE PAREDES, ESPESSURA DE 20MM, COM EXECUÇÃO DE TALISCAS. AF_06/2014</t>
  </si>
  <si>
    <t>APLICAÇÃO DE FUNDO SELADOR ACRÍLICO EM PAREDES, UMA DEMÃO. AF_06/2014</t>
  </si>
  <si>
    <t>SELADOR ACRILICO PAREDES INTERNAS/EXTERNAS</t>
  </si>
  <si>
    <t>PINTOR COM ENCARGOS COMPLEMENTARES</t>
  </si>
  <si>
    <t>7.17.6</t>
  </si>
  <si>
    <t>7.17.7</t>
  </si>
  <si>
    <t>IMPERMEABILIZAÇÃO DE SUPERFÍCIE COM ARGAMASSA POLIMÉRICA / MEMBRANA ACRÍLICA, 3 DEMÃOS. AF_06/2018</t>
  </si>
  <si>
    <t>ARGAMASSA POLIMERICA IMPERMEABILIZANTE SEMIFLEXIVEL, BICOMPONENTE (MEMBRANA IMPERMEABILIZANTE ACRILICA)</t>
  </si>
  <si>
    <t>IMPERMEABILIZADOR COM ENCARGOS COMPLEMENTARES</t>
  </si>
  <si>
    <t>AJUDANTE ESPECIALIZADO COM ENCARGOS COMPLEMENTARES</t>
  </si>
  <si>
    <t xml:space="preserve">IMPERMEABILIZANTE FOSCO TRANSPARENTE    </t>
  </si>
  <si>
    <t>00519</t>
  </si>
  <si>
    <t>SAIBRO</t>
  </si>
  <si>
    <t>14536</t>
  </si>
  <si>
    <t>BRITA 0, PARA REGIAO DE BARRA MANSA, EXCLUSIVE TRANSPORTE</t>
  </si>
  <si>
    <t>EXECUÇÃO DE PASSEIO EM PISO INTERTRAVADO, COM BLOCO RETANGULAR COR NATURAL DE 20 X 10 CM, ESPESSURA 6 CM. AF_12/2015</t>
  </si>
  <si>
    <t>BLOQUETE/PISO INTERTRAVADO DE CONCRETO - MODELO ONDA/16 FACES/RETANGULAR/TIJOLINHO/PAVER/HOLANDES/PARALELEPIPEDO, 20 CM X 10 CM, E = 6 CM, RESISTENCIA DE 35 MPA (NBR 9781), COR NATURAL</t>
  </si>
  <si>
    <t>MEIO-FIO RETO DE CONCRETO SIMPLES FCK=15MPA,MOLDADO NO LOCAL,TIPO DER-RJ,MEDINDO 0,15M NA BASE E COM ALTURA DE 0,30M,REJ UNTAMENTO COM ARGAMASSA DE CIMENTO E AREIA,NO TRACO 1:3,5,COM FORNECIMENTO DE TODOS OS MATERIAIS,ESCAVACAO E REATERRO (OBS.:3%-DESGASTE DE FERRAMENTAS E EPI).</t>
  </si>
  <si>
    <t>REVESTIMENTO DE PISO COM CERAMICA TATIL ALERTA,(LADRILHO HIDRAULICO) PARA PESSOAS COM NECESSIDADES ESPECIFICAS,ASSENTES SOBRE SUPERFICIE EM OSSO,CONFORME ITEM 13.330.0010 (OBS.:3%-DESGASTE DE FERRAMENTAS E EPI).</t>
  </si>
  <si>
    <t>11228</t>
  </si>
  <si>
    <t>PISO CERAMICO TATIL ALERTA, AMARELO, PARA PORTADORES DE NECESSIDADES ESPECIFICAS</t>
  </si>
  <si>
    <t>05350</t>
  </si>
  <si>
    <t>00150</t>
  </si>
  <si>
    <t>CIMENTO BRANCO</t>
  </si>
  <si>
    <t>PISO DE CONCRETO ARMADO</t>
  </si>
  <si>
    <t>APLICAÇÃO DE LONA PLÁSTICA PARA EXECUÇÃO DE PAVIMENTOS DE CONCRETO. AF_11/2017</t>
  </si>
  <si>
    <t>LONA PLASTICA EXTRA FORTE PRETA, E = 200 MICRA</t>
  </si>
  <si>
    <t>ARMAÇÃO PARA EXECUÇÃO DE RADIER, COM USO DE TELA Q-92. AF_09/2017</t>
  </si>
  <si>
    <t>ARAME RECOZIDO 16 BWG, D = 1,65 MM (0,016 KG/M) OU 18 BWG, D = 1,25 MM (0,01 KG/M)</t>
  </si>
  <si>
    <t>TRELICA NERVURADA (ESPACADOR), ALTURA = 120,0 MM, DIAMETRO DOS BANZOS INFERIORES E SUPERIOR = 6,0 MM, DIAMETRO DA DIAGONAL = 4,2 MM</t>
  </si>
  <si>
    <t>TELA DE ACO SOLDADA NERVURADA, CA-60, Q-92, (1,48 KG/M2), DIAMETRO DO FIO = 4,2 MM, LARGURA = 2,45 X 60 M DE COMPRIMENTO, ESPACAMENTO DA MALHA = 15  X 15 CM</t>
  </si>
  <si>
    <t>AJUDANTE DE ARMADOR COM ENCARGOS COMPLEMENTARES</t>
  </si>
  <si>
    <t>9.1</t>
  </si>
  <si>
    <t>9.2</t>
  </si>
  <si>
    <t>9.3</t>
  </si>
  <si>
    <t>9.4</t>
  </si>
  <si>
    <t>9.5</t>
  </si>
  <si>
    <t>DIVERSOS</t>
  </si>
  <si>
    <t>CESTO DE TELA PARA RETIRADA DE LIXO,CONFECCIONADO EM ACO E SOMBRIT,MODELO COMLURB.FORNECIMENTO (OBS.:3%-DESGASTE DE FERRAMENTAS E EPI).</t>
  </si>
  <si>
    <t>10959</t>
  </si>
  <si>
    <t>TELA NYLON, C/PROTECAO 80%, SOMBRIT OUSIMILAR</t>
  </si>
  <si>
    <t>10957</t>
  </si>
  <si>
    <t>BRACADEIRA DE NYLON, JUNTA-CABO, MEDINDO200X4,5MM</t>
  </si>
  <si>
    <t>10956</t>
  </si>
  <si>
    <t>BARRA REDONDA DE ACO, DE 1.1/4"</t>
  </si>
  <si>
    <t>07882</t>
  </si>
  <si>
    <t>MANGUEIRA CRISTAL EM PVC, NO DIAMETRO DE1/2"</t>
  </si>
  <si>
    <t>10.1</t>
  </si>
  <si>
    <t>10.2</t>
  </si>
  <si>
    <t>GUARDA-CORPO DE FERRO GALVANIZADO,COM MODULO DE 2,20M DE COMPRIMENTO,COM DOIS TUBOS DE 2" NA HORIZONTAL,PILARETES DE CON CRETO COM SECAO 20X20CM E 1,00M DE ALTURA,INCLUSIVE TODOS OSMATERIAIS E PINTURA.FORNECIMENTO E COLOCACAO (OBS.:3%-DESGASTE DE FERRAMENTAS E EPI 10%-PERDAS E DEMAIS MATERIAIS NECESSARIOS).</t>
  </si>
  <si>
    <t>00013</t>
  </si>
  <si>
    <t>ACO CA-60, ESTIRADO, PRECO DE REVENDEDOR, NO DIAMETRO DE 04,2MM</t>
  </si>
  <si>
    <t>00014</t>
  </si>
  <si>
    <t>ACO CA-60, ESTIRADO, PRECO DE REVENDEDOR, NO DIAMETRO DE 05,0MM</t>
  </si>
  <si>
    <t>00124</t>
  </si>
  <si>
    <t>ESMALTE SINTETICO ALQUIDICO ALTO BRILHO,BRILHANTE, ACETINADO OU FOSCO</t>
  </si>
  <si>
    <t>00173</t>
  </si>
  <si>
    <t>TUBO DE ACO GALVANIZADO, COM COSTURA, PESADO, NBR 5580, DN=2"</t>
  </si>
  <si>
    <t>PAISAGISMO</t>
  </si>
  <si>
    <t>11.1</t>
  </si>
  <si>
    <t>ATERRO COM TERRA PRETA VEGETAL,PARA EXECUCAO DE GRAMADOS (OBS.:3%-DESGASTE DE FERRAMENTAS E EPI).</t>
  </si>
  <si>
    <t>00717</t>
  </si>
  <si>
    <t>TERRA PRETA SIMPLES</t>
  </si>
  <si>
    <t>11.2</t>
  </si>
  <si>
    <t>ARBUSTO PARA JARDINS,TIPO LANTANA,HIBISCO,CEDRINHO,ETC,COM 50 A 70CM DE ALTURA.FORNECIMENTO</t>
  </si>
  <si>
    <t>ARBUSTO PARA JARDINS, TIPO LANTANA, COM 50 A 70CM DE ALTURA. FORNECIMENTO E PLANTIO</t>
  </si>
  <si>
    <t>PLANTIO DE ARVORE ISOLADA ATE 2,00M DE ALTURA,DE QUALQUER ESPECIE,EM LOGRADOURO PUBLICO,INCLUSIVE TRANSPORTE,TERRA PRETA SIMPLES E ESTACA DE MADEIRA(TUTOR),EXCLUSIVE O FORNECIMENTODA ARVORE (OBS.:3%-DESGASTE DE FERRAMENTAS E EPI).</t>
  </si>
  <si>
    <t>11.3</t>
  </si>
  <si>
    <t>PLANTIO DE ÁRVORE ORNAMENTAL COM ALTURA DE MUDA MAIOR QUE 2,00 M E MENOR OU IGUAL A 4,00 M. AF_05/2018</t>
  </si>
  <si>
    <t>MUDA DE ARVORE ORNAMENTAL, OITI/AROEIRA SALSA/ANGICO/IPE/JACARANDA OU EQUIVALENTE  DA REGIAO, H= *2* M</t>
  </si>
  <si>
    <t>JARDINEIRO COM ENCARGOS COMPLEMENTARES</t>
  </si>
  <si>
    <t>MUDA DE ARVORE ORNAMENTAL, IPÊ AMARELO, COM ALTURA DE MUDA MAIOR QUE 2,00 M E MENOR OU IGUAL A 4,00 M.</t>
  </si>
  <si>
    <t>REVESTIMENTO</t>
  </si>
  <si>
    <t>12.1</t>
  </si>
  <si>
    <t>PINTURA</t>
  </si>
  <si>
    <t>13.1</t>
  </si>
  <si>
    <t>PINTURA INTERNA OU EXTERNA SOBRE CONCRETO LISO OU REVESTIMENTO,COM TINTA AQUOSA A BASE DE EPOXI INCOLOR OU EM CORES,INCL USIVE LIMPEZA,E DUAS DEMAOS DE ACABAMENTO (OBS.:3%-DESGASTE DE FERRAMENTAS E EPI).</t>
  </si>
  <si>
    <t>07416</t>
  </si>
  <si>
    <t>TINTA EPOXYCA, BICOMPONENTE ISENTA DE SOLVENTES</t>
  </si>
  <si>
    <t>00324</t>
  </si>
  <si>
    <t>LIXA P/MADEIRA N§100</t>
  </si>
  <si>
    <t>13.2</t>
  </si>
  <si>
    <t>LIXA EM FOLHA PARA PAREDE OU MADEIRA, NUMERO 120 (COR VERMELHA)</t>
  </si>
  <si>
    <t>LIXAMENTO MAN C/ LIXA CALAFATE DE CONCR APARENTE ANTIGO</t>
  </si>
  <si>
    <t>SERVIÇOS COMPLEMENTARES</t>
  </si>
  <si>
    <t>14.1</t>
  </si>
  <si>
    <t>CARGA MANUAL DE ENTULHO EM CAMINHAO BASCULANTE 6 M3</t>
  </si>
  <si>
    <t>CAMINHÃO BASCULANTE 6 M3, PESO BRUTO TOTAL 16.000 KG, CARGA ÚTIL MÁXIMA 13.071 KG, DISTÂNCIA ENTRE EIXOS 4,80 M, POTÊNCIA 230 CV INCLUSIVE CAÇAMBA METÁLICA - CHI DIURNO. AF_06/2014</t>
  </si>
  <si>
    <t>14.2</t>
  </si>
  <si>
    <t>14.3</t>
  </si>
  <si>
    <t>2.7</t>
  </si>
  <si>
    <t>DEMOLIÇÃO E ARRANCAMENTO</t>
  </si>
  <si>
    <t>TOTAL 3.0</t>
  </si>
  <si>
    <t>Caixa de passagem em alumínio para piso, 4" x 4".</t>
  </si>
  <si>
    <t xml:space="preserve">LUMINARIA TIPO SPOT   BALIZADOR DE EMBUTIR NA PAREDE COM 12W EM LED, COM VIDRO BLINDADO.     </t>
  </si>
  <si>
    <t xml:space="preserve">Escavação para Fundação de 1 Poste : 0,40x0,40x0,50=0,08m3xR$ 50,21= </t>
  </si>
  <si>
    <t>7.17.1</t>
  </si>
  <si>
    <t>kg</t>
  </si>
  <si>
    <t>7.10.1</t>
  </si>
  <si>
    <t>REVESTIMENTO DE PISO COM PEDRISCO. FORNECIMENTO E COLOCAÇÃO.</t>
  </si>
  <si>
    <t>PAVIMENTAÇÃO</t>
  </si>
  <si>
    <t>8.0</t>
  </si>
  <si>
    <t>8.1</t>
  </si>
  <si>
    <t>8.2</t>
  </si>
  <si>
    <t>8.3</t>
  </si>
  <si>
    <t>8.4</t>
  </si>
  <si>
    <t>8.5</t>
  </si>
  <si>
    <t>PIGMENTO EM PO A BASE DE OXIDO DE FERRO</t>
  </si>
  <si>
    <t>8.6</t>
  </si>
  <si>
    <t>TOTAL 7.0</t>
  </si>
  <si>
    <t>TOTAL 8.0</t>
  </si>
  <si>
    <t>9.0</t>
  </si>
  <si>
    <t>10.0</t>
  </si>
  <si>
    <t>TOTAL 9.0</t>
  </si>
  <si>
    <t>TOTAL 10.0</t>
  </si>
  <si>
    <t>10890</t>
  </si>
  <si>
    <t>PLANTA ESP.VEG.C/ALT.(0,10 A 0,30)M, TIPO LANTANA CAMARA (CAMBARA) OU SIMILAR</t>
  </si>
  <si>
    <t>TOTAL 11.0</t>
  </si>
  <si>
    <t>12.0</t>
  </si>
  <si>
    <t>12.2</t>
  </si>
  <si>
    <t>TOTAL 12.0</t>
  </si>
  <si>
    <t>13.0</t>
  </si>
  <si>
    <t>TOTAL 13.0</t>
  </si>
  <si>
    <t>14.0</t>
  </si>
  <si>
    <t>TOTAL 14.0</t>
  </si>
  <si>
    <t>Mesa para a prática de tênis de mesa em chapas de aço carbono ASTM A-36 de 3/8” de espessura, soldadas com tratamento de galvanização por imerssão a quente e pintura, construida em uma única peça pré-fabricada. Tamanho: 1,525 m x 2,74m x 0,76 m. Peso aprox.: 525Kg. FORNECIMENTO, TRIBUTOS,  FRETE E INSTALAÇÃO.</t>
  </si>
  <si>
    <t>TOTAL 5.0</t>
  </si>
  <si>
    <t>TOTAL 4.0</t>
  </si>
  <si>
    <t>REFLETOR EM ALUMÍNIO, DE SUPORTE E ALÇA, COM LÂMPADA VAPOR DE MERCÚRIO DE 200 W, COM REATOR ALTO FATOR DE POTÊNCIA - FORNECIMENTO E INSTALAÇÃO. AF_02/2020</t>
  </si>
  <si>
    <t>Refletor de LED, para iluminação pública, de 200W. // MAGAZINELUIZA.COM.BR // CNPJ: 47.960.950/1088-36</t>
  </si>
  <si>
    <t>Refletor de LED, para iluminação pública, de 200W. // ILUMUNIM.COM.BR // CNPJ: 23.429.903/0001-98</t>
  </si>
  <si>
    <t>Refletor de LED, para iluminação pública, de 200W. // CARREFOUR.COM.BR // CNPJ: 45.543.915/0846-95</t>
  </si>
  <si>
    <t>VALOR MÉDIO</t>
  </si>
  <si>
    <t xml:space="preserve"> LÂMPADA DE 100W LED  // MAGAZINELUIZA.COM.BR // CNPJ: 47.960.950/1088-36</t>
  </si>
  <si>
    <t xml:space="preserve"> LÂMPADA DE 100W LED  // ILUMUNIM.COM.BR // CNPJ: 23.429.903/0001-98</t>
  </si>
  <si>
    <t>LUMINARIA TIPO SPOT   BALIZADOR DE EMBUTIR NA PAREDE COM 12W EM LED // SUSTENTALED.COM.BR // CNPJ: 33.779.899/0001-41</t>
  </si>
  <si>
    <t>LUMINARIA TIPO SPOT   BALIZADOR DE EMBUTIR NA PAREDE COM 12W EM LED // ILUMUNIM.COM.BR // CNPJ: 23.429.903/0001-98</t>
  </si>
  <si>
    <t>LUMINARIA TIPO SPOT   BALIZADOR DE EMBUTIR NA PAREDE COM 12W EM LED // MAGAZINELUIZA.COM.BR // CNPJ: 47.960.950/1088-36</t>
  </si>
  <si>
    <t>Caixa de passagem em alumínio para piso, 4" x 4". // FERREIRACOSTA.COM // CNPJ : 10.230.480/0019-60</t>
  </si>
  <si>
    <t>Caixa de passagem em alumínio para piso, 4" x 4". // CASASBAHIA.COM.BR // CNPJ: 33.041.260/0652-90</t>
  </si>
  <si>
    <t>Caixa de passagem em alumínio para piso, 4" x 4". // AMERICANAS.COM.BR // CNPJ: 00.776.574/0006-60</t>
  </si>
  <si>
    <t>02.020.0001-0</t>
  </si>
  <si>
    <t>01967</t>
  </si>
  <si>
    <t>MAO-DE-OBRA DE CARPINTEIRO DE ESQUADRIASDE MADEIRA INCLUSIVE ENCARGOS SOCIAIS</t>
  </si>
  <si>
    <t>01966</t>
  </si>
  <si>
    <t>MAO-DE-OBRA DE PINTOR, INCLUSIVE ENCARGOS SOCIAIS</t>
  </si>
  <si>
    <t>01001</t>
  </si>
  <si>
    <t>19.004.0001-2 CAMINHAO CARROC. FIXA, 3,5T (CP)</t>
  </si>
  <si>
    <t>02.002.0007-0</t>
  </si>
  <si>
    <t>02.004.0001-0</t>
  </si>
  <si>
    <t>01983</t>
  </si>
  <si>
    <t>MAO-DE-OBRA DE ELETRICISTA DE CONSTRUCAOCIVIL, INCLUSIVE ENCARGOS SOCIAIS</t>
  </si>
  <si>
    <t>00365</t>
  </si>
  <si>
    <t>59.003.0010-1 PINUS,PECA 1" X 12" E 1" X 9"</t>
  </si>
  <si>
    <t>02.004.0012-0</t>
  </si>
  <si>
    <t>01993</t>
  </si>
  <si>
    <t>MAO-DE-OBRA DE BOMBEIRO HIDRAULICO DA CONSTRUCAO CIVIL, INCLUSIVE ENCARGOS SOCIAIS</t>
  </si>
  <si>
    <t>01633</t>
  </si>
  <si>
    <t>11.001.0001-1 CONCRETO FCK 10MPA</t>
  </si>
  <si>
    <t>01653</t>
  </si>
  <si>
    <t>13.301.0080-1 PISO CIMENTADO ESP. 1,5CM</t>
  </si>
  <si>
    <t>01764</t>
  </si>
  <si>
    <t>11.002.0035-1 LANCAMENTO CONC.S/ARM.2,0M3/H, HORIZ.</t>
  </si>
  <si>
    <t>01745</t>
  </si>
  <si>
    <t>11.002.0013-1 PREPARO CONCR. BETON. 320L; 2,0M3/H</t>
  </si>
  <si>
    <t>02.015.0001-0</t>
  </si>
  <si>
    <t>02082</t>
  </si>
  <si>
    <t>15.071.0012-1 LIGACAO AGUAS PLUVIAIS OU DOMICILIARES</t>
  </si>
  <si>
    <t>01605</t>
  </si>
  <si>
    <t>07.002.0025-1 ARGAMASSA CIM.,AREIA TRACO 1:3,PREPAROMECANICO</t>
  </si>
  <si>
    <t>01.018.0001-0</t>
  </si>
  <si>
    <t>01990</t>
  </si>
  <si>
    <t>MAO-DE-OBRA DE CARPINTEIRO DE FORMA DE CONCRETO, INCLUSIVE ENCARGOS SOCIAIS</t>
  </si>
  <si>
    <t>SO000083338</t>
  </si>
  <si>
    <t>So00000090991</t>
  </si>
  <si>
    <t>So00000084013</t>
  </si>
  <si>
    <t>03.001.0001-1</t>
  </si>
  <si>
    <t>03.011.0015-1</t>
  </si>
  <si>
    <t>01970</t>
  </si>
  <si>
    <t>MAO-DE-OBRA DE OPERADOR DE MAQUINA (TRATOR, ETC), INCLUSIVE ENCARGOS SOCIAIS</t>
  </si>
  <si>
    <t>02176</t>
  </si>
  <si>
    <t>19.006.0030-4 SOQUETE VIBRATORIO 78KG; 2,5CV (CI)</t>
  </si>
  <si>
    <t>02175</t>
  </si>
  <si>
    <t>19.006.0030-2 SOQUETE VIBRATORIO 78KG; 2,5CV (CP)</t>
  </si>
  <si>
    <r>
      <t xml:space="preserve">So74010/001 </t>
    </r>
    <r>
      <rPr>
        <b/>
        <sz val="11"/>
        <rFont val="Times New Roman"/>
        <family val="1"/>
      </rPr>
      <t>(MODIFICADO)</t>
    </r>
  </si>
  <si>
    <t>So00000005940</t>
  </si>
  <si>
    <t>So00000005811</t>
  </si>
  <si>
    <t>So00000097914</t>
  </si>
  <si>
    <t>So00000100574</t>
  </si>
  <si>
    <t>So00000005853</t>
  </si>
  <si>
    <t>So00000005853 TRATOR DE ESTEIRAS, POTÊNCIA 150 HP, PESO OPERACIONAL 16,7 T, COM RODA MOTRIZ ELEVADA E LÂMINA 3,18 M3 - CHI DIURNO. AF_06/2014</t>
  </si>
  <si>
    <t>So00000005851</t>
  </si>
  <si>
    <t>So00000005851 TRATOR DE ESTEIRAS, POTÊNCIA 150 HP, PESO OPERACIONAL 16,7 T, COM RODA MOTRIZ ELEVADA E LÂMINA 3,18 M3 - CHP DIURNO. AF_06/2014</t>
  </si>
  <si>
    <t>05.001.0001-0</t>
  </si>
  <si>
    <t>09.007.0002-0</t>
  </si>
  <si>
    <t>01901</t>
  </si>
  <si>
    <t>MAO-DE-OBRA DE SERVENTE PARA SERVICOS DECONSERVACAO, INCLUSIVE ENCARGOS SOCIAIS</t>
  </si>
  <si>
    <t>09.007.0003-0</t>
  </si>
  <si>
    <r>
      <t xml:space="preserve">09.007.0001-0 </t>
    </r>
    <r>
      <rPr>
        <b/>
        <sz val="11"/>
        <rFont val="Times New Roman"/>
        <family val="1"/>
      </rPr>
      <t>(COMPOSIÇÃO)</t>
    </r>
  </si>
  <si>
    <r>
      <t xml:space="preserve">02.020.0001-0 </t>
    </r>
    <r>
      <rPr>
        <b/>
        <sz val="11"/>
        <rFont val="Times New Roman"/>
        <family val="1"/>
      </rPr>
      <t>(COMPOSIÇÃO)</t>
    </r>
  </si>
  <si>
    <t>So00000094965</t>
  </si>
  <si>
    <t>So00000092873</t>
  </si>
  <si>
    <t>05.001.0147-0</t>
  </si>
  <si>
    <t>ARRANCAMENTO DE GRADES,GRADIS,ALAMBRADOS,CERCAS E PORTOES (OBS.:3%-DESGASTE DE FERRAMENTAS E EPI).</t>
  </si>
  <si>
    <t>01.001.0078-0</t>
  </si>
  <si>
    <t>11.003.0002-0</t>
  </si>
  <si>
    <t>01752</t>
  </si>
  <si>
    <t>11.002.0023-1 LANCAMENTO CONC.C/ARM.2,0M3/H,HORIZ/VERT</t>
  </si>
  <si>
    <t>01635</t>
  </si>
  <si>
    <t>11.001.0005-1 CONCRETO FCK 15MPA</t>
  </si>
  <si>
    <t>11.003.0005-1</t>
  </si>
  <si>
    <r>
      <t xml:space="preserve">11.003.0005-1 </t>
    </r>
    <r>
      <rPr>
        <b/>
        <sz val="11"/>
        <rFont val="Times New Roman"/>
        <family val="1"/>
      </rPr>
      <t>(COMPOSIÇÃO)</t>
    </r>
  </si>
  <si>
    <t>11.005.0001-1</t>
  </si>
  <si>
    <t>00350</t>
  </si>
  <si>
    <t>54.001.0178-1 PINUS EM PECAS DE 2,50X22,50CM, (1"X9")</t>
  </si>
  <si>
    <t>01787</t>
  </si>
  <si>
    <t>17.025.0040-1 PINTURA C/EMULSAO OLEOSA</t>
  </si>
  <si>
    <t>So00000096536</t>
  </si>
  <si>
    <t>So0040304</t>
  </si>
  <si>
    <t>So0006189</t>
  </si>
  <si>
    <t>So0005073</t>
  </si>
  <si>
    <t>So0004517</t>
  </si>
  <si>
    <t>So0004491</t>
  </si>
  <si>
    <t>So0002692</t>
  </si>
  <si>
    <t>So00000088262</t>
  </si>
  <si>
    <t>So00000088239</t>
  </si>
  <si>
    <t>So00000091693</t>
  </si>
  <si>
    <t>So00000091693 SERRA CIRCULAR DE BANCADA COM MOTOR ELÉTRICO POTÊNCIA DE 5HP, COM COIFA PARA DISCO 10" - CHI DIURNO. AF_08/2015</t>
  </si>
  <si>
    <t>So00000091692</t>
  </si>
  <si>
    <t>So00000091692 SERRA CIRCULAR DE BANCADA COM MOTOR ELÉTRICO POTÊNCIA DE 5HP, COM COIFA PARA DISCO 10" - CHP DIURNO. AF_08/2015</t>
  </si>
  <si>
    <t>11.009.0011-0</t>
  </si>
  <si>
    <t>11.011.0027-0</t>
  </si>
  <si>
    <r>
      <t xml:space="preserve">: 11.009.0011-0 + 11.011.0027-0 </t>
    </r>
    <r>
      <rPr>
        <b/>
        <sz val="11"/>
        <rFont val="Times New Roman"/>
        <family val="1"/>
      </rPr>
      <t>(COMPOSIÇÃO)</t>
    </r>
  </si>
  <si>
    <t>01998</t>
  </si>
  <si>
    <t>MAO-DE-OBRA DE ARMADOR DE CONCRETO ARMADO, INCLUSIVE ENCARGOS SOCIAIS</t>
  </si>
  <si>
    <r>
      <t xml:space="preserve">11.009.0013-0 + 11.011.0029-0 </t>
    </r>
    <r>
      <rPr>
        <b/>
        <sz val="11"/>
        <rFont val="Times New Roman"/>
        <family val="1"/>
      </rPr>
      <t>(COMPOSIÇÃO)</t>
    </r>
  </si>
  <si>
    <t>11.009.0013-0</t>
  </si>
  <si>
    <t>11.011.0029-0</t>
  </si>
  <si>
    <r>
      <t xml:space="preserve">11.009.0014-1 + 11.011.0030-1 </t>
    </r>
    <r>
      <rPr>
        <b/>
        <sz val="11"/>
        <rFont val="Times New Roman"/>
        <family val="1"/>
      </rPr>
      <t>(COMPOSIÇÃO)</t>
    </r>
  </si>
  <si>
    <t>11.009.0014-1</t>
  </si>
  <si>
    <t>11.011.0030-1</t>
  </si>
  <si>
    <t>So0007319</t>
  </si>
  <si>
    <t>06.085.0020-0</t>
  </si>
  <si>
    <r>
      <t xml:space="preserve">So73994/001 </t>
    </r>
    <r>
      <rPr>
        <b/>
        <sz val="11"/>
        <rFont val="Times New Roman"/>
        <family val="1"/>
      </rPr>
      <t>(COMPOSIÇÃO)</t>
    </r>
  </si>
  <si>
    <t>So0000337</t>
  </si>
  <si>
    <t>So00000088245</t>
  </si>
  <si>
    <t>06.082.0050-0</t>
  </si>
  <si>
    <t>So00000087457</t>
  </si>
  <si>
    <t>So0037395</t>
  </si>
  <si>
    <t>So0000654</t>
  </si>
  <si>
    <t>So0034548</t>
  </si>
  <si>
    <t>So00000088309</t>
  </si>
  <si>
    <t>So00000087292</t>
  </si>
  <si>
    <t>So00000087292 ARGAMASSA TRAÇO 1:2:8 (EM VOLUME DE CIMENTO, CAL E AREIA MÉDIA ÚMIDA) PARA EMBOÇO/MASSA ÚNICA/ASSENTAMENTO DE ALVENARIA DE VEDAÇÃO, PREPARO MECÂNICO COM BETONEIRA 400 L. AF_08/2019</t>
  </si>
  <si>
    <t>01747</t>
  </si>
  <si>
    <t>11.002.0015-1 PREPARO CONCR. BETON. 320L; 1,00M3/H</t>
  </si>
  <si>
    <r>
      <t xml:space="preserve">So00000091942 </t>
    </r>
    <r>
      <rPr>
        <b/>
        <sz val="11"/>
        <rFont val="Times New Roman"/>
        <family val="1"/>
      </rPr>
      <t>(COMPOSIÇÃO)</t>
    </r>
  </si>
  <si>
    <t>So00000088264</t>
  </si>
  <si>
    <t>So00000088247</t>
  </si>
  <si>
    <t>So00000088629</t>
  </si>
  <si>
    <t>ARGAMASSA TRAÇO 1:3 (EM VOLUME DE CIMENTO E AREIA MÉDIA ÚMIDA), PREPARO MANUAL. AF_08/2019</t>
  </si>
  <si>
    <t>So00000091936</t>
  </si>
  <si>
    <t>So0012001</t>
  </si>
  <si>
    <r>
      <t xml:space="preserve">18.027.0434-0 </t>
    </r>
    <r>
      <rPr>
        <b/>
        <sz val="11"/>
        <rFont val="Times New Roman"/>
        <family val="1"/>
      </rPr>
      <t>(COMPOSIÇÃO)</t>
    </r>
  </si>
  <si>
    <r>
      <t xml:space="preserve">So00000101662 </t>
    </r>
    <r>
      <rPr>
        <b/>
        <sz val="11"/>
        <rFont val="Times New Roman"/>
        <family val="1"/>
      </rPr>
      <t>(COMPOSIÇÃO)</t>
    </r>
  </si>
  <si>
    <t>So0021127</t>
  </si>
  <si>
    <t>So0013382</t>
  </si>
  <si>
    <t>So0012317</t>
  </si>
  <si>
    <t>So0003749</t>
  </si>
  <si>
    <t>So00000005928</t>
  </si>
  <si>
    <t>So00000005928 GUINDAUTO HIDRÁULICO, CAPACIDADE MÁXIMA DE CARGA 6200 KG, MOMENTO MÁXIMO DE CARGA 11,7 TM, ALCANCE MÁXIMO HORIZONTAL 9,70 M, INCLUSIVE CAMINHÃO TOCO PBT 16.000 KG, POTÊNCIA DE 189 CV - CHP DIURNO. AF_06/2014</t>
  </si>
  <si>
    <r>
      <t xml:space="preserve">So00000097601 </t>
    </r>
    <r>
      <rPr>
        <b/>
        <sz val="11"/>
        <rFont val="Times New Roman"/>
        <family val="1"/>
      </rPr>
      <t>(COMPOSIÇÃO)</t>
    </r>
  </si>
  <si>
    <t>So0039374</t>
  </si>
  <si>
    <t>So0013390</t>
  </si>
  <si>
    <r>
      <t xml:space="preserve">21.003.0053-0 + 21.001.0160-0 + 21.050.0120-0 + 03.001.0001-1 + 11.003.0005-1 </t>
    </r>
    <r>
      <rPr>
        <b/>
        <sz val="11"/>
        <rFont val="Times New Roman"/>
        <family val="1"/>
      </rPr>
      <t>(COMPOSIÇÃO)</t>
    </r>
  </si>
  <si>
    <t>21.003.0053-0</t>
  </si>
  <si>
    <t>21.001.0160-0</t>
  </si>
  <si>
    <t>01919</t>
  </si>
  <si>
    <t>MAO-DE-OBRA DE AJUDANTE DE MONTADOR ELETROMECANICO (ILUMINACAO PUBLICA), INCLUSIVE ENCARGOS SOCIAIS</t>
  </si>
  <si>
    <t>21.050.0120-0</t>
  </si>
  <si>
    <t>Concreto para Fundação de 1 Poste : 0,40x0,40x0,50=0,08m3 x R$ 519,55=</t>
  </si>
  <si>
    <r>
      <t xml:space="preserve">21.003.0052-0 + 21.001.0160-0 + 03.001.0001-1 + 11.003.0005-1 </t>
    </r>
    <r>
      <rPr>
        <b/>
        <sz val="11"/>
        <rFont val="Times New Roman"/>
        <family val="1"/>
      </rPr>
      <t>(COMPOSIÇÃO)</t>
    </r>
  </si>
  <si>
    <t>21.003.0052-0</t>
  </si>
  <si>
    <t xml:space="preserve">Escavação para Fundação de 1 Poste : 0,40x0,40x1,00=0,16m3xR$ 57,95=
</t>
  </si>
  <si>
    <t>Concreto para Fundação de 1 Poste : 0,40x0,40x1,00=0,16m3 x R$ 519,55=</t>
  </si>
  <si>
    <t>So00000091928</t>
  </si>
  <si>
    <t>CABO DE COBRE FLEXÍVEL ISOLADO, 4 MM², ANTI-CHAMA 450/750 V, PARA CIRCUITOS TERMINAIS - FORNECIMENTO E INSTALAÇÃO. AF_12/2015</t>
  </si>
  <si>
    <t>So0000981</t>
  </si>
  <si>
    <t>So00000091856</t>
  </si>
  <si>
    <t>So0002690</t>
  </si>
  <si>
    <t>So00000093661</t>
  </si>
  <si>
    <t>So0034616</t>
  </si>
  <si>
    <t>So0001570</t>
  </si>
  <si>
    <t>So00000093673</t>
  </si>
  <si>
    <t>So0034709</t>
  </si>
  <si>
    <t>So0001575</t>
  </si>
  <si>
    <t>So00000101878</t>
  </si>
  <si>
    <t>So0012038</t>
  </si>
  <si>
    <r>
      <t xml:space="preserve">15.011.0021-0 </t>
    </r>
    <r>
      <rPr>
        <b/>
        <sz val="11"/>
        <rFont val="Times New Roman"/>
        <family val="1"/>
      </rPr>
      <t>(COMPOSIÇÃO)</t>
    </r>
  </si>
  <si>
    <t>01648</t>
  </si>
  <si>
    <t>12.003.0075-1 ALVENARIA TIJ. FURADO 10X20X20CM</t>
  </si>
  <si>
    <t>18.045.0015-0</t>
  </si>
  <si>
    <t>02003</t>
  </si>
  <si>
    <t>19.004.0080-2 GUINDAUTO 3,5T, ALCANCE 7,0M (CP)</t>
  </si>
  <si>
    <t>01763</t>
  </si>
  <si>
    <t>11.002.0034-1 LANCAMENTO CONC.S/ARM.3,5M3/H, HORIZ.</t>
  </si>
  <si>
    <t>01005</t>
  </si>
  <si>
    <t>19.004.0004-3 CAMINHAO CARROC. FIXA, 7,5T (CF)</t>
  </si>
  <si>
    <t>11.013.0075-0</t>
  </si>
  <si>
    <t>03000</t>
  </si>
  <si>
    <t>54.001.0100-1 FORMAS MADEIRA P/MOLDAGEM, INCL. ESCOR.</t>
  </si>
  <si>
    <t>01158</t>
  </si>
  <si>
    <t>19.007.0013-4 VIBRADOR IMERSAO ELETR. 2CV (CI)</t>
  </si>
  <si>
    <t>01157</t>
  </si>
  <si>
    <t>19.007.0013-2 VIBRADOR IMERSAO ELETR. 2CV (CP)</t>
  </si>
  <si>
    <t>So00000087511</t>
  </si>
  <si>
    <t>So0034557</t>
  </si>
  <si>
    <t>So0007266</t>
  </si>
  <si>
    <t>So00000087879</t>
  </si>
  <si>
    <t>So00000087313</t>
  </si>
  <si>
    <t>So00000087313 ARGAMASSA TRAÇO 1:3 (EM VOLUME DE CIMENTO E AREIA GROSSA ÚMIDA) PARA CHAPISCO CONVENCIONAL, PREPARO MECÂNICO COM BETONEIRA 400 L. AF_08/2019</t>
  </si>
  <si>
    <t>So00000087529</t>
  </si>
  <si>
    <t>So00000088485</t>
  </si>
  <si>
    <t>So0006085</t>
  </si>
  <si>
    <t>So00000088310</t>
  </si>
  <si>
    <t>So0000135</t>
  </si>
  <si>
    <t>So00000088270</t>
  </si>
  <si>
    <t>So00000088243</t>
  </si>
  <si>
    <r>
      <t xml:space="preserve">So00000098555 </t>
    </r>
    <r>
      <rPr>
        <b/>
        <sz val="11"/>
        <rFont val="Times New Roman"/>
        <family val="1"/>
      </rPr>
      <t>(COMPOSIÇÃO)</t>
    </r>
  </si>
  <si>
    <r>
      <t xml:space="preserve">08.018.0023-0 </t>
    </r>
    <r>
      <rPr>
        <b/>
        <sz val="11"/>
        <rFont val="Times New Roman"/>
        <family val="1"/>
      </rPr>
      <t>(COMPOSIÇÃO)</t>
    </r>
  </si>
  <si>
    <t>01012</t>
  </si>
  <si>
    <t>19.004.0020-4 CAMINHAO TANQUE 6000L (CI)</t>
  </si>
  <si>
    <t>01010</t>
  </si>
  <si>
    <t>19.004.0020-2 CAMINHAO TANQUE 6000L (CP)</t>
  </si>
  <si>
    <t>So00000092396</t>
  </si>
  <si>
    <t>So0036155</t>
  </si>
  <si>
    <t>So0004741</t>
  </si>
  <si>
    <t>So0000370</t>
  </si>
  <si>
    <t>So00000088260</t>
  </si>
  <si>
    <t>So00000091285</t>
  </si>
  <si>
    <t>So00000091285 CORTADORA DE PISO COM MOTOR 4 TEMPOS A GASOLINA, POTÊNCIA DE 13 HP, COM DISCO DE CORTE DIAMANTADO SEGMENTADO PARA CONCRETO, DIÂMETRO DE 350 MM, FURO DE 1" (14 X 1") - CHI DIURNO. AF_08/2015</t>
  </si>
  <si>
    <t>So00000091283</t>
  </si>
  <si>
    <t>So00000091283 CORTADORA DE PISO COM MOTOR 4 TEMPOS A GASOLINA, POTÊNCIA DE 13 HP, COM DISCO DE CORTE DIAMANTADO SEGMENTADO PARA CONCRETO, DIÂMETRO DE 350 MM, FURO DE 1" (14 X 1") - CHP DIURNO. AF_08/2015</t>
  </si>
  <si>
    <t>So00000091278</t>
  </si>
  <si>
    <t>So00000091278 PLACA VIBRATÓRIA REVERSÍVEL COM MOTOR 4 TEMPOS A GASOLINA, FORÇA CENTRÍFUGA DE 25 KN (2500 KGF), POTÊNCIA 5,5 CV - CHI DIURNO. AF_08/2015</t>
  </si>
  <si>
    <t>So00000091277</t>
  </si>
  <si>
    <t>So00000091277 PLACA VIBRATÓRIA REVERSÍVEL COM MOTOR 4 TEMPOS A GASOLINA, FORÇA CENTRÍFUGA DE 25 KN (2500 KGF), POTÊNCIA 5,5 CV - CHP DIURNO. AF_08/2015</t>
  </si>
  <si>
    <t>08.027.0040-0</t>
  </si>
  <si>
    <t>01991</t>
  </si>
  <si>
    <t>MAO-DE-OBRA DE CALCETEIRO, INCLUSIVE ENCARGOS SOCIAIS</t>
  </si>
  <si>
    <t>01640</t>
  </si>
  <si>
    <t>11.004.0021-1 FORMAS MADEIRA PARAM. PLANOS, 2 VEZES</t>
  </si>
  <si>
    <t>01607</t>
  </si>
  <si>
    <t>07.002.0030-1 ARGAMASSA CIM.,AREIA TRACO 1:4,PREPAROMECANICO</t>
  </si>
  <si>
    <t>13.333.0015-0</t>
  </si>
  <si>
    <t>01978</t>
  </si>
  <si>
    <t>MAO-DE-OBRA DE LADRILHEIRO, INCLUSIVE ENCARGOS SOCIAIS</t>
  </si>
  <si>
    <t>03429</t>
  </si>
  <si>
    <t>07.001.0130-1 ARGAMASSA CIM.,SAIBRO,AREIA 1:3:3,PREPARO MANUAL</t>
  </si>
  <si>
    <t>03077</t>
  </si>
  <si>
    <t>07.001.0010-1 PASTA DE CIMENTO COMUM</t>
  </si>
  <si>
    <t>So00000097113</t>
  </si>
  <si>
    <t>So00000097088</t>
  </si>
  <si>
    <t>So0042408</t>
  </si>
  <si>
    <t>So0043132</t>
  </si>
  <si>
    <t>So0042407</t>
  </si>
  <si>
    <t>So0021141</t>
  </si>
  <si>
    <t>So00000088238</t>
  </si>
  <si>
    <t>09.026.0045-0</t>
  </si>
  <si>
    <r>
      <t xml:space="preserve">14.002.0208-0 </t>
    </r>
    <r>
      <rPr>
        <b/>
        <sz val="11"/>
        <rFont val="Times New Roman"/>
        <family val="1"/>
      </rPr>
      <t>(COMPOSIÇÃO)</t>
    </r>
  </si>
  <si>
    <t>06913</t>
  </si>
  <si>
    <t>MAO-DE-OBRA DE SERRALHEIRO DA CONSTRUCAOCIVIL, INCLUSIVE ENCARGOS SOCIAIS</t>
  </si>
  <si>
    <t>01766</t>
  </si>
  <si>
    <t>11.002.0037-1 LANCAMENTO CONC.S/ARM.1,0M3/H,HORIZ/VERT</t>
  </si>
  <si>
    <t>03379</t>
  </si>
  <si>
    <t>11.004.0020-1 FORMAS MADEIRA PARAM. PLANOS, 2 VEZES</t>
  </si>
  <si>
    <t>09.006.0030-0</t>
  </si>
  <si>
    <t>09.003.0008-0 + 09.002.0001-0</t>
  </si>
  <si>
    <t>09.003.0008-0</t>
  </si>
  <si>
    <t>09.002.0001-0</t>
  </si>
  <si>
    <t>00720</t>
  </si>
  <si>
    <t>59.003.0050-1 ESTACA MANGUE</t>
  </si>
  <si>
    <t>So00000098511</t>
  </si>
  <si>
    <t>So0000359</t>
  </si>
  <si>
    <t>So00000088441</t>
  </si>
  <si>
    <t>17.013.0030-0</t>
  </si>
  <si>
    <t>So00000084123</t>
  </si>
  <si>
    <t>So0003767</t>
  </si>
  <si>
    <t>So00000072897</t>
  </si>
  <si>
    <t>So00000005961</t>
  </si>
  <si>
    <t>IMPERMEABILIZANTE FOSCO TRANSPARENTE  // MAGAZINELUIZA.COM.BR // CNPJ: 47.960.950/1088-36</t>
  </si>
  <si>
    <t>IMPERMEABILIZANTE FOSCO TRANSPARENTE // LEROYMERLIN.COM.BR // CNPJ:  01.438.784/0048-60</t>
  </si>
  <si>
    <t>IMPERMEABILIZANTE FOSCO TRANSPARENTE // TELHANORTE.COM.BR // CNPJ: 03.840.986/0056-70</t>
  </si>
  <si>
    <t>BANCO DE CONCRETO ARMADO,MEDINDO 2,00X0,45X0,10M,COM 0,40M DE ALTURA,APOIADO EM 2 BLOCOS DE CONCRETO DE 0,10X0,30X0,40M COM FUNDACAO CONFORME PROJETO CEHAB,REVESTIDO COM ARGAMASSADE CIMENTO E AREIA,NO TRACO 1:4,ACABAMENTO ASPERO (OBS.:3%-DESGASTE DE FERRAMENTAS E EPI).</t>
  </si>
  <si>
    <t>00087</t>
  </si>
  <si>
    <t>CHAPA DE ACO CARBONO,P/USOS GERAIS,LAMINADA FRIO,SUPERF.COM.,TAM.PADRAO,BORDAS UNIV.,REC.BRANCO,PRECO DE USINA,ESP.1,5MM</t>
  </si>
  <si>
    <t>MESA DE CONCRETO ARMADO,COM 4 BANCOS,CONFORME PROJETO CEHAB,REVESTIDOS COM ARGAMASSA DE CIMENTO E AREIA,NO TRACO 1:4. A MESA MEDINDO 0,80X0,80M,COM 0,80M DE ALTURA MAIS A FUNDACAOE OS BANCOS COM 0,35X0,35M E 0,50M DE ALTURA MAIS A FUNDACAO (OBS.:3%-DESGASTE DE FERRAMENTAS E EPI 15%-PERDAS E DEMAIS MATERIAIS NECESSARIOS).</t>
  </si>
  <si>
    <t>5.1</t>
  </si>
  <si>
    <t>5.2</t>
  </si>
  <si>
    <t>5.3</t>
  </si>
  <si>
    <t>09.012.0003-0</t>
  </si>
  <si>
    <t>09.012.0004-0</t>
  </si>
  <si>
    <t>01754</t>
  </si>
  <si>
    <t>11.002.0025-1 LANCAMENTO CONC.C/ARM.1,0M3/H,HORIZ/VERT</t>
  </si>
  <si>
    <t>02004</t>
  </si>
  <si>
    <t>19.004.0080-4 GUINDAUTO 3,5T, ALCANCE 7,0M (CI)</t>
  </si>
  <si>
    <t>03087</t>
  </si>
  <si>
    <t>13.001.0030-1 EMBOCO ARG. CIM. E AREIA TRACO 1:4</t>
  </si>
  <si>
    <t xml:space="preserve">PROJETO: Arqª  Germana Kelmer de Abreu  </t>
  </si>
  <si>
    <t xml:space="preserve">LEVANTAMENTO: Arqª  Germana Kelmer de Abreu  </t>
  </si>
  <si>
    <t>ORÇAMENTO:  Eng° Joao Vitor Ramos</t>
  </si>
  <si>
    <t>ATUALIZAÇÃO DATA/BASE: Eng° Patrick Suckow</t>
  </si>
  <si>
    <t>DATA:07/10/2021</t>
  </si>
  <si>
    <t>Obra : IMPLANTAÇÃO DE PRAÇA ESPORTIVA,  NO BAIRRO GETÚLIO VARGAS - BARRA MANSA - RJ - TÊNIS DE MESA E IMPLANTAÇÃO DE PRAÇA</t>
  </si>
  <si>
    <t>Local : Esquina da Av. Presidente Kennedy com a Rua José Fagundes Pinto - Lote 02 - Bairro Getúlio Vargas - Barra Mansa-RJ</t>
  </si>
  <si>
    <t>ONERADO - BDI : 23,38%</t>
  </si>
  <si>
    <r>
      <t>Data-Base:   EMOP -  RJ / SINAPI e SCO-RJ-</t>
    </r>
    <r>
      <rPr>
        <b/>
        <sz val="12"/>
        <color indexed="8"/>
        <rFont val="Arial"/>
        <family val="2"/>
      </rPr>
      <t xml:space="preserve"> 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JULHO - 2021</t>
    </r>
  </si>
  <si>
    <r>
      <t xml:space="preserve">So74106/001 </t>
    </r>
    <r>
      <rPr>
        <b/>
        <sz val="11"/>
        <rFont val="Times New Roman"/>
        <family val="1"/>
      </rPr>
      <t>(COMPOSIÇÃO)</t>
    </r>
  </si>
  <si>
    <t>09.014.0015-0</t>
  </si>
  <si>
    <t>MESA DE JOGOS COM 4 BANCOS,TAMPO DE MESA EM MARMORITE ARMADO,NA COR NATURAL,TENDO NO CENTRO TABULEIRO DE XADREZ EM MARMO RITE NAS CORES BRANCA E PRETA,PES(MESA E BANCOS)DE CONCRETOARMADO.FORNECIMENTO E COLOCACAO (OBS.:3%-DESGASTE DE FERRAMENTAS E EPI).</t>
  </si>
  <si>
    <t>00408</t>
  </si>
  <si>
    <t>GRANILHA N§ 1 BRANCA</t>
  </si>
  <si>
    <t>11230</t>
  </si>
  <si>
    <t>DISCO DE DESBASTE, COM DIAMETRO DE 7"</t>
  </si>
  <si>
    <t>00316</t>
  </si>
  <si>
    <t>JUNTA PLASTICA, P/PISO, ALTURA DE 17MM,E C/ESPES. DE 3MM</t>
  </si>
  <si>
    <t>11144</t>
  </si>
  <si>
    <t>GRANILHA N§ 1 PRETA</t>
  </si>
  <si>
    <t>01976</t>
  </si>
  <si>
    <t>MAO-DE-OBRA DE MARMORISTA DE MARMORE E GRANITO, INCLUSIVE ENCARGOS SOCIAIS</t>
  </si>
  <si>
    <t>01980</t>
  </si>
  <si>
    <t>MAO-DE-OBRA DE MARMORISTA DE MARMORITE,INCLUSIVE ENCARGOS SOCIAIS</t>
  </si>
  <si>
    <t>01712</t>
  </si>
  <si>
    <t>19.004.0046-2 CAMIONETA TIPO PICK-UP,COM CABINE SIMPLES E CACAMBA,TIPO LEVE,MOTOR BICOMBUSTIVEL DE 1,6 LITROS,INCLUSIVE MOTORISTA (CP)</t>
  </si>
  <si>
    <t>01714</t>
  </si>
  <si>
    <t>19.004.0046-4 CAMIONETA TIPO PICK-UP,COM CABINE SIMPLES E CACAMBA,TIPO LEVE,MOTOR BICOMBUSTIVEL DE 1,6 LITROS,INCLUSIVE MOTORISTA (CI)</t>
  </si>
  <si>
    <t>01756</t>
  </si>
  <si>
    <t>11.002.0027-1 LANCAMENTO CONC.S/ARM.7,0M3/H,HORIZ/VERT</t>
  </si>
  <si>
    <t>02129</t>
  </si>
  <si>
    <t>11.013.0070-1 CONCRETO ARMADO FCK 15MPA</t>
  </si>
  <si>
    <t>00724</t>
  </si>
  <si>
    <t>TARIFA DE ENERGIA ELETRICA, TIPO COMERCIAL</t>
  </si>
  <si>
    <t>KWH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</si>
</sst>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mmm/yyyy"/>
    <numFmt numFmtId="194" formatCode="&quot;R$&quot;\ #,##0.00"/>
    <numFmt numFmtId="195" formatCode="#,##0.0"/>
    <numFmt numFmtId="196" formatCode="_ * #,##0.00_ ;_ * \-#,##0.00_ ;_ * &quot;-&quot;??_ ;_ @_ "/>
    <numFmt numFmtId="197" formatCode="#,##0.000"/>
    <numFmt numFmtId="198" formatCode="#,##0.00&quot; &quot;;&quot; (&quot;#,##0.00&quot;)&quot;;&quot; -&quot;#&quot; &quot;;@&quot; &quot;"/>
    <numFmt numFmtId="199" formatCode="#,##0.00&quot; &quot;;&quot;-&quot;#,##0.00&quot; &quot;;&quot; -&quot;#&quot; &quot;;@&quot; &quot;"/>
    <numFmt numFmtId="200" formatCode="[$R$-416]&quot; &quot;#,##0.00;[Red]&quot;-&quot;[$R$-416]&quot; 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/>
      <top style="mediumDashed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9" fillId="0" borderId="0" applyNumberFormat="0" applyBorder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 applyNumberFormat="0" applyBorder="0" applyProtection="0">
      <alignment/>
    </xf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8" fontId="39" fillId="0" borderId="0" applyBorder="0" applyProtection="0">
      <alignment/>
    </xf>
    <xf numFmtId="198" fontId="39" fillId="0" borderId="0" applyBorder="0" applyProtection="0">
      <alignment/>
    </xf>
    <xf numFmtId="0" fontId="46" fillId="0" borderId="0" applyNumberFormat="0" applyBorder="0" applyProtection="0">
      <alignment/>
    </xf>
    <xf numFmtId="0" fontId="39" fillId="0" borderId="0" applyNumberFormat="0" applyBorder="0" applyProtection="0">
      <alignment/>
    </xf>
    <xf numFmtId="199" fontId="46" fillId="0" borderId="0" applyBorder="0" applyProtection="0">
      <alignment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Border="0" applyProtection="0">
      <alignment/>
    </xf>
    <xf numFmtId="200" fontId="52" fillId="0" borderId="0" applyBorder="0" applyProtection="0">
      <alignment/>
    </xf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98" fontId="39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62" fillId="33" borderId="11" xfId="81" applyNumberFormat="1" applyFont="1" applyFill="1" applyBorder="1" applyAlignment="1">
      <alignment horizontal="center"/>
      <protection/>
    </xf>
    <xf numFmtId="49" fontId="62" fillId="33" borderId="12" xfId="70" applyNumberFormat="1" applyFont="1" applyFill="1" applyBorder="1">
      <alignment/>
      <protection/>
    </xf>
    <xf numFmtId="4" fontId="62" fillId="33" borderId="12" xfId="70" applyNumberFormat="1" applyFont="1" applyFill="1" applyBorder="1" applyAlignment="1">
      <alignment horizontal="left" readingOrder="1"/>
      <protection/>
    </xf>
    <xf numFmtId="49" fontId="62" fillId="33" borderId="13" xfId="81" applyNumberFormat="1" applyFont="1" applyFill="1" applyBorder="1" applyAlignment="1">
      <alignment horizontal="center"/>
      <protection/>
    </xf>
    <xf numFmtId="49" fontId="62" fillId="33" borderId="0" xfId="70" applyNumberFormat="1" applyFont="1" applyFill="1" applyBorder="1">
      <alignment/>
      <protection/>
    </xf>
    <xf numFmtId="4" fontId="62" fillId="33" borderId="0" xfId="70" applyNumberFormat="1" applyFont="1" applyFill="1" applyBorder="1" applyAlignment="1">
      <alignment horizontal="left" readingOrder="1"/>
      <protection/>
    </xf>
    <xf numFmtId="4" fontId="63" fillId="33" borderId="0" xfId="70" applyNumberFormat="1" applyFont="1" applyFill="1" applyBorder="1" applyAlignment="1">
      <alignment vertical="center" wrapText="1" readingOrder="1"/>
      <protection/>
    </xf>
    <xf numFmtId="4" fontId="63" fillId="33" borderId="0" xfId="70" applyNumberFormat="1" applyFont="1" applyFill="1" applyBorder="1">
      <alignment/>
      <protection/>
    </xf>
    <xf numFmtId="49" fontId="62" fillId="33" borderId="14" xfId="81" applyNumberFormat="1" applyFont="1" applyFill="1" applyBorder="1" applyAlignment="1">
      <alignment horizontal="center"/>
      <protection/>
    </xf>
    <xf numFmtId="49" fontId="62" fillId="33" borderId="15" xfId="82" applyNumberFormat="1" applyFont="1" applyFill="1" applyBorder="1" applyAlignment="1">
      <alignment horizontal="center"/>
      <protection/>
    </xf>
    <xf numFmtId="4" fontId="63" fillId="33" borderId="15" xfId="82" applyNumberFormat="1" applyFont="1" applyFill="1" applyBorder="1" applyAlignment="1">
      <alignment/>
      <protection/>
    </xf>
    <xf numFmtId="0" fontId="62" fillId="34" borderId="16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4" fontId="4" fillId="33" borderId="0" xfId="70" applyNumberFormat="1" applyFont="1" applyFill="1" applyBorder="1" applyAlignment="1">
      <alignment vertical="center" wrapText="1" readingOrder="1"/>
      <protection/>
    </xf>
    <xf numFmtId="4" fontId="5" fillId="33" borderId="0" xfId="82" applyNumberFormat="1" applyFont="1" applyFill="1" applyBorder="1" applyAlignment="1">
      <alignment horizontal="left"/>
      <protection/>
    </xf>
    <xf numFmtId="4" fontId="1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62" fillId="34" borderId="17" xfId="0" applyFont="1" applyFill="1" applyBorder="1" applyAlignment="1">
      <alignment/>
    </xf>
    <xf numFmtId="0" fontId="62" fillId="34" borderId="18" xfId="0" applyFont="1" applyFill="1" applyBorder="1" applyAlignment="1">
      <alignment/>
    </xf>
    <xf numFmtId="0" fontId="62" fillId="34" borderId="19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 vertical="justify" wrapText="1"/>
    </xf>
    <xf numFmtId="0" fontId="5" fillId="33" borderId="19" xfId="0" applyFont="1" applyFill="1" applyBorder="1" applyAlignment="1">
      <alignment horizontal="right"/>
    </xf>
    <xf numFmtId="4" fontId="36" fillId="33" borderId="17" xfId="0" applyNumberFormat="1" applyFont="1" applyFill="1" applyBorder="1" applyAlignment="1">
      <alignment horizontal="right"/>
    </xf>
    <xf numFmtId="0" fontId="3" fillId="0" borderId="0" xfId="84" applyFont="1" applyFill="1" applyBorder="1" applyAlignment="1">
      <alignment horizontal="center" vertical="center"/>
      <protection/>
    </xf>
    <xf numFmtId="4" fontId="3" fillId="0" borderId="0" xfId="84" applyNumberFormat="1" applyFont="1" applyFill="1" applyBorder="1" applyAlignment="1">
      <alignment horizontal="right"/>
      <protection/>
    </xf>
    <xf numFmtId="4" fontId="3" fillId="0" borderId="0" xfId="85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84" applyFont="1" applyFill="1" applyBorder="1" applyAlignment="1">
      <alignment horizontal="justify" vertical="justify" wrapText="1"/>
      <protection/>
    </xf>
    <xf numFmtId="4" fontId="3" fillId="0" borderId="0" xfId="84" applyNumberFormat="1" applyFont="1" applyFill="1" applyBorder="1" applyAlignment="1">
      <alignment horizontal="justify" vertical="justify" wrapText="1"/>
      <protection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 vertical="justify" wrapText="1"/>
    </xf>
    <xf numFmtId="4" fontId="36" fillId="0" borderId="17" xfId="0" applyNumberFormat="1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13" fillId="0" borderId="0" xfId="70" applyFont="1" applyFill="1" applyBorder="1" applyAlignment="1">
      <alignment horizontal="center" vertical="center" wrapText="1"/>
      <protection/>
    </xf>
    <xf numFmtId="4" fontId="13" fillId="0" borderId="0" xfId="64" applyNumberFormat="1" applyFont="1" applyFill="1" applyBorder="1" applyAlignment="1">
      <alignment horizontal="right"/>
      <protection/>
    </xf>
    <xf numFmtId="0" fontId="3" fillId="2" borderId="16" xfId="84" applyFont="1" applyFill="1" applyBorder="1" applyAlignment="1">
      <alignment horizontal="center" vertical="center"/>
      <protection/>
    </xf>
    <xf numFmtId="0" fontId="13" fillId="2" borderId="16" xfId="70" applyFont="1" applyFill="1" applyBorder="1" applyAlignment="1">
      <alignment horizontal="center" vertical="center" wrapText="1"/>
      <protection/>
    </xf>
    <xf numFmtId="4" fontId="64" fillId="2" borderId="16" xfId="83" applyNumberFormat="1" applyFont="1" applyFill="1" applyBorder="1" applyAlignment="1">
      <alignment horizontal="left" vertical="center" wrapText="1"/>
      <protection/>
    </xf>
    <xf numFmtId="4" fontId="64" fillId="2" borderId="16" xfId="83" applyNumberFormat="1" applyFont="1" applyFill="1" applyBorder="1" applyAlignment="1">
      <alignment horizontal="center"/>
      <protection/>
    </xf>
    <xf numFmtId="4" fontId="13" fillId="2" borderId="16" xfId="64" applyNumberFormat="1" applyFont="1" applyFill="1" applyBorder="1" applyAlignment="1">
      <alignment horizontal="right"/>
      <protection/>
    </xf>
    <xf numFmtId="4" fontId="3" fillId="2" borderId="16" xfId="84" applyNumberFormat="1" applyFont="1" applyFill="1" applyBorder="1" applyAlignment="1">
      <alignment horizontal="right"/>
      <protection/>
    </xf>
    <xf numFmtId="4" fontId="3" fillId="2" borderId="16" xfId="85" applyNumberFormat="1" applyFont="1" applyFill="1" applyBorder="1" applyAlignment="1">
      <alignment horizontal="right"/>
      <protection/>
    </xf>
    <xf numFmtId="4" fontId="3" fillId="2" borderId="16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11" fillId="0" borderId="0" xfId="84" applyFont="1" applyFill="1" applyBorder="1" applyAlignment="1">
      <alignment horizontal="justify" vertical="justify" wrapText="1"/>
      <protection/>
    </xf>
    <xf numFmtId="4" fontId="11" fillId="0" borderId="0" xfId="84" applyNumberFormat="1" applyFont="1" applyFill="1" applyBorder="1" applyAlignment="1">
      <alignment horizontal="justify" vertical="justify" wrapText="1"/>
      <protection/>
    </xf>
    <xf numFmtId="4" fontId="11" fillId="0" borderId="0" xfId="85" applyNumberFormat="1" applyFont="1" applyFill="1" applyBorder="1" applyAlignment="1">
      <alignment horizontal="right"/>
      <protection/>
    </xf>
    <xf numFmtId="4" fontId="11" fillId="0" borderId="0" xfId="0" applyNumberFormat="1" applyFont="1" applyFill="1" applyBorder="1" applyAlignment="1">
      <alignment horizontal="right"/>
    </xf>
    <xf numFmtId="0" fontId="15" fillId="0" borderId="0" xfId="70" applyFont="1" applyFill="1" applyBorder="1" applyAlignment="1">
      <alignment horizontal="center" vertical="center" wrapText="1"/>
      <protection/>
    </xf>
    <xf numFmtId="0" fontId="3" fillId="35" borderId="0" xfId="0" applyFont="1" applyFill="1" applyBorder="1" applyAlignment="1">
      <alignment/>
    </xf>
    <xf numFmtId="0" fontId="3" fillId="35" borderId="0" xfId="84" applyFont="1" applyFill="1" applyBorder="1" applyAlignment="1">
      <alignment horizontal="center" vertical="center"/>
      <protection/>
    </xf>
    <xf numFmtId="0" fontId="13" fillId="35" borderId="0" xfId="70" applyFont="1" applyFill="1" applyBorder="1" applyAlignment="1">
      <alignment horizontal="center" vertical="center" wrapText="1"/>
      <protection/>
    </xf>
    <xf numFmtId="4" fontId="64" fillId="35" borderId="0" xfId="83" applyNumberFormat="1" applyFont="1" applyFill="1" applyBorder="1" applyAlignment="1">
      <alignment horizontal="left" vertical="center" wrapText="1"/>
      <protection/>
    </xf>
    <xf numFmtId="4" fontId="64" fillId="35" borderId="0" xfId="83" applyNumberFormat="1" applyFont="1" applyFill="1" applyBorder="1" applyAlignment="1">
      <alignment horizontal="center"/>
      <protection/>
    </xf>
    <xf numFmtId="4" fontId="13" fillId="35" borderId="0" xfId="64" applyNumberFormat="1" applyFont="1" applyFill="1" applyBorder="1" applyAlignment="1">
      <alignment horizontal="right"/>
      <protection/>
    </xf>
    <xf numFmtId="4" fontId="3" fillId="35" borderId="0" xfId="84" applyNumberFormat="1" applyFont="1" applyFill="1" applyBorder="1" applyAlignment="1">
      <alignment horizontal="right"/>
      <protection/>
    </xf>
    <xf numFmtId="4" fontId="3" fillId="35" borderId="0" xfId="85" applyNumberFormat="1" applyFont="1" applyFill="1" applyBorder="1" applyAlignment="1">
      <alignment horizontal="right"/>
      <protection/>
    </xf>
    <xf numFmtId="4" fontId="3" fillId="35" borderId="0" xfId="0" applyNumberFormat="1" applyFont="1" applyFill="1" applyBorder="1" applyAlignment="1">
      <alignment horizontal="right"/>
    </xf>
    <xf numFmtId="0" fontId="13" fillId="0" borderId="0" xfId="66" applyFont="1" applyFill="1" applyBorder="1" applyAlignment="1">
      <alignment horizontal="center"/>
      <protection/>
    </xf>
    <xf numFmtId="197" fontId="13" fillId="0" borderId="0" xfId="66" applyNumberFormat="1" applyFont="1" applyFill="1" applyBorder="1">
      <alignment/>
      <protection/>
    </xf>
    <xf numFmtId="0" fontId="13" fillId="0" borderId="0" xfId="63" applyFont="1" applyFill="1" applyAlignment="1">
      <alignment horizontal="center" wrapText="1"/>
      <protection/>
    </xf>
    <xf numFmtId="49" fontId="64" fillId="0" borderId="0" xfId="83" applyNumberFormat="1" applyFont="1" applyFill="1" applyBorder="1" applyAlignment="1">
      <alignment horizontal="center" vertical="center"/>
      <protection/>
    </xf>
    <xf numFmtId="49" fontId="64" fillId="0" borderId="20" xfId="83" applyNumberFormat="1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center"/>
      <protection/>
    </xf>
    <xf numFmtId="197" fontId="13" fillId="0" borderId="0" xfId="63" applyNumberFormat="1" applyFont="1" applyFill="1">
      <alignment/>
      <protection/>
    </xf>
    <xf numFmtId="3" fontId="3" fillId="0" borderId="0" xfId="84" applyNumberFormat="1" applyFont="1" applyFill="1" applyBorder="1" applyAlignment="1">
      <alignment horizontal="center" vertical="center"/>
      <protection/>
    </xf>
    <xf numFmtId="4" fontId="11" fillId="0" borderId="0" xfId="84" applyNumberFormat="1" applyFont="1" applyFill="1" applyBorder="1" applyAlignment="1">
      <alignment horizontal="right"/>
      <protection/>
    </xf>
    <xf numFmtId="4" fontId="15" fillId="0" borderId="0" xfId="64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4" fontId="65" fillId="0" borderId="0" xfId="83" applyNumberFormat="1" applyFont="1" applyFill="1" applyBorder="1" applyAlignment="1">
      <alignment horizontal="center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center"/>
      <protection/>
    </xf>
    <xf numFmtId="4" fontId="65" fillId="0" borderId="0" xfId="83" applyNumberFormat="1" applyFont="1" applyFill="1" applyBorder="1" applyAlignment="1">
      <alignment horizontal="left" vertical="center" wrapText="1"/>
      <protection/>
    </xf>
    <xf numFmtId="197" fontId="64" fillId="0" borderId="0" xfId="70" applyNumberFormat="1" applyFont="1" applyFill="1" applyBorder="1">
      <alignment/>
      <protection/>
    </xf>
    <xf numFmtId="197" fontId="65" fillId="0" borderId="0" xfId="70" applyNumberFormat="1" applyFont="1" applyFill="1" applyBorder="1" applyAlignment="1">
      <alignment horizontal="center"/>
      <protection/>
    </xf>
    <xf numFmtId="197" fontId="65" fillId="0" borderId="0" xfId="70" applyNumberFormat="1" applyFont="1" applyFill="1" applyBorder="1" applyAlignment="1">
      <alignment horizontal="left" vertical="center" wrapText="1"/>
      <protection/>
    </xf>
    <xf numFmtId="0" fontId="15" fillId="2" borderId="16" xfId="70" applyFont="1" applyFill="1" applyBorder="1" applyAlignment="1">
      <alignment horizontal="center" vertical="center" wrapText="1"/>
      <protection/>
    </xf>
    <xf numFmtId="4" fontId="64" fillId="0" borderId="0" xfId="83" applyNumberFormat="1" applyFont="1" applyFill="1" applyBorder="1" applyAlignment="1">
      <alignment horizontal="center"/>
      <protection/>
    </xf>
    <xf numFmtId="4" fontId="64" fillId="0" borderId="0" xfId="83" applyNumberFormat="1" applyFont="1" applyFill="1" applyBorder="1" applyAlignment="1">
      <alignment horizontal="left" vertical="center" wrapText="1"/>
      <protection/>
    </xf>
    <xf numFmtId="197" fontId="65" fillId="0" borderId="0" xfId="70" applyNumberFormat="1" applyFont="1" applyFill="1" applyBorder="1">
      <alignment/>
      <protection/>
    </xf>
    <xf numFmtId="197" fontId="15" fillId="0" borderId="0" xfId="70" applyNumberFormat="1" applyFont="1" applyFill="1" applyBorder="1" applyAlignment="1">
      <alignment horizontal="center" vertical="center" wrapText="1"/>
      <protection/>
    </xf>
    <xf numFmtId="4" fontId="63" fillId="33" borderId="13" xfId="82" applyNumberFormat="1" applyFont="1" applyFill="1" applyBorder="1" applyAlignment="1">
      <alignment horizontal="left" vertical="center"/>
      <protection/>
    </xf>
    <xf numFmtId="4" fontId="63" fillId="33" borderId="0" xfId="82" applyNumberFormat="1" applyFont="1" applyFill="1" applyBorder="1" applyAlignment="1">
      <alignment horizontal="left" vertical="center"/>
      <protection/>
    </xf>
    <xf numFmtId="4" fontId="63" fillId="33" borderId="21" xfId="82" applyNumberFormat="1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 wrapText="1" readingOrder="1"/>
    </xf>
    <xf numFmtId="0" fontId="4" fillId="33" borderId="21" xfId="0" applyFont="1" applyFill="1" applyBorder="1" applyAlignment="1">
      <alignment horizontal="left" vertical="center" wrapText="1" readingOrder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4" fontId="63" fillId="33" borderId="13" xfId="70" applyNumberFormat="1" applyFont="1" applyFill="1" applyBorder="1" applyAlignment="1">
      <alignment horizontal="left" vertical="center"/>
      <protection/>
    </xf>
    <xf numFmtId="4" fontId="63" fillId="33" borderId="0" xfId="70" applyNumberFormat="1" applyFont="1" applyFill="1" applyBorder="1" applyAlignment="1">
      <alignment horizontal="left" vertical="center"/>
      <protection/>
    </xf>
    <xf numFmtId="4" fontId="63" fillId="33" borderId="21" xfId="70" applyNumberFormat="1" applyFont="1" applyFill="1" applyBorder="1" applyAlignment="1">
      <alignment horizontal="left" vertical="center"/>
      <protection/>
    </xf>
    <xf numFmtId="4" fontId="11" fillId="0" borderId="16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 readingOrder="1"/>
    </xf>
    <xf numFmtId="4" fontId="63" fillId="33" borderId="13" xfId="70" applyNumberFormat="1" applyFont="1" applyFill="1" applyBorder="1" applyAlignment="1">
      <alignment horizontal="left" vertical="center"/>
      <protection/>
    </xf>
    <xf numFmtId="4" fontId="63" fillId="33" borderId="0" xfId="70" applyNumberFormat="1" applyFont="1" applyFill="1" applyBorder="1" applyAlignment="1">
      <alignment horizontal="left" vertical="center"/>
      <protection/>
    </xf>
    <xf numFmtId="4" fontId="63" fillId="33" borderId="21" xfId="70" applyNumberFormat="1" applyFont="1" applyFill="1" applyBorder="1" applyAlignment="1">
      <alignment horizontal="left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 readingOrder="1"/>
    </xf>
    <xf numFmtId="0" fontId="4" fillId="33" borderId="0" xfId="0" applyFont="1" applyFill="1" applyBorder="1" applyAlignment="1">
      <alignment horizontal="left" vertical="center" wrapText="1" readingOrder="1"/>
    </xf>
    <xf numFmtId="4" fontId="63" fillId="33" borderId="13" xfId="70" applyNumberFormat="1" applyFont="1" applyFill="1" applyBorder="1" applyAlignment="1">
      <alignment horizontal="left" vertical="center"/>
      <protection/>
    </xf>
    <xf numFmtId="4" fontId="63" fillId="33" borderId="0" xfId="70" applyNumberFormat="1" applyFont="1" applyFill="1" applyBorder="1" applyAlignment="1">
      <alignment horizontal="left" vertical="center"/>
      <protection/>
    </xf>
    <xf numFmtId="4" fontId="63" fillId="33" borderId="21" xfId="70" applyNumberFormat="1" applyFont="1" applyFill="1" applyBorder="1" applyAlignment="1">
      <alignment horizontal="left" vertical="center"/>
      <protection/>
    </xf>
    <xf numFmtId="0" fontId="4" fillId="33" borderId="14" xfId="82" applyFont="1" applyFill="1" applyBorder="1" applyAlignment="1">
      <alignment horizontal="left"/>
      <protection/>
    </xf>
    <xf numFmtId="0" fontId="4" fillId="33" borderId="15" xfId="82" applyFont="1" applyFill="1" applyBorder="1" applyAlignment="1">
      <alignment horizontal="left"/>
      <protection/>
    </xf>
    <xf numFmtId="0" fontId="4" fillId="33" borderId="22" xfId="82" applyFont="1" applyFill="1" applyBorder="1" applyAlignment="1">
      <alignment horizontal="left"/>
      <protection/>
    </xf>
    <xf numFmtId="49" fontId="62" fillId="33" borderId="18" xfId="81" applyNumberFormat="1" applyFont="1" applyFill="1" applyBorder="1" applyAlignment="1">
      <alignment horizontal="center" vertical="center" wrapText="1"/>
      <protection/>
    </xf>
    <xf numFmtId="0" fontId="63" fillId="33" borderId="19" xfId="0" applyFont="1" applyFill="1" applyBorder="1" applyAlignment="1">
      <alignment horizontal="center" vertical="center" wrapText="1"/>
    </xf>
  </cellXfs>
  <cellStyles count="99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uro" xfId="46"/>
    <cellStyle name="Euro 2" xfId="47"/>
    <cellStyle name="Euro 2 2" xfId="48"/>
    <cellStyle name="Excel Built-in Excel Built-in Excel Built-in Excel Built-in Excel Built-in Excel Built-in Excel Built-in Excel Built-in Separador de milhares 4" xfId="49"/>
    <cellStyle name="Excel Built-in Excel Built-in Excel Built-in Excel Built-in Excel Built-in Excel Built-in Excel Built-in Separador de milhares 4" xfId="50"/>
    <cellStyle name="Excel Built-in Normal" xfId="51"/>
    <cellStyle name="Excel Built-in Normal 1" xfId="52"/>
    <cellStyle name="Excel_BuiltIn_Comma" xfId="53"/>
    <cellStyle name="Heading" xfId="54"/>
    <cellStyle name="Heading1" xfId="55"/>
    <cellStyle name="Hyperlink" xfId="56"/>
    <cellStyle name="Followed Hyperlink" xfId="57"/>
    <cellStyle name="Currency" xfId="58"/>
    <cellStyle name="Currency [0]" xfId="59"/>
    <cellStyle name="Moeda 2" xfId="60"/>
    <cellStyle name="Moeda 3" xfId="61"/>
    <cellStyle name="Neutro" xfId="62"/>
    <cellStyle name="Normal 10" xfId="63"/>
    <cellStyle name="Normal 11" xfId="64"/>
    <cellStyle name="Normal 12" xfId="65"/>
    <cellStyle name="Normal 13" xfId="66"/>
    <cellStyle name="Normal 2" xfId="67"/>
    <cellStyle name="Normal 2 2" xfId="68"/>
    <cellStyle name="Normal 2 2 2" xfId="69"/>
    <cellStyle name="Normal 2 3" xfId="70"/>
    <cellStyle name="Normal 3" xfId="71"/>
    <cellStyle name="Normal 3 2" xfId="72"/>
    <cellStyle name="Normal 4" xfId="73"/>
    <cellStyle name="Normal 4 2" xfId="74"/>
    <cellStyle name="Normal 4 3" xfId="75"/>
    <cellStyle name="Normal 5" xfId="76"/>
    <cellStyle name="Normal 6" xfId="77"/>
    <cellStyle name="Normal 7" xfId="78"/>
    <cellStyle name="Normal 8" xfId="79"/>
    <cellStyle name="Normal 9" xfId="80"/>
    <cellStyle name="Normal_P_Getulio Vargas" xfId="81"/>
    <cellStyle name="Normal_P_Getulio Vargas 2" xfId="82"/>
    <cellStyle name="Normal_P-HLEITE" xfId="83"/>
    <cellStyle name="Normal_RUAS 3,4,7 e 8 R-1" xfId="84"/>
    <cellStyle name="Normal_RUAS 3,4,7 e 8 R-1 2 2" xfId="85"/>
    <cellStyle name="Nota" xfId="86"/>
    <cellStyle name="Percent" xfId="87"/>
    <cellStyle name="Porcentagem 2" xfId="88"/>
    <cellStyle name="Porcentagem 3" xfId="89"/>
    <cellStyle name="Result" xfId="90"/>
    <cellStyle name="Result2" xfId="91"/>
    <cellStyle name="Ruim" xfId="92"/>
    <cellStyle name="Saída" xfId="93"/>
    <cellStyle name="Comma [0]" xfId="94"/>
    <cellStyle name="Separador de milhares 2" xfId="95"/>
    <cellStyle name="Separador de milhares 4" xfId="96"/>
    <cellStyle name="Texto de Aviso" xfId="97"/>
    <cellStyle name="Texto Explicativo" xfId="98"/>
    <cellStyle name="Título" xfId="99"/>
    <cellStyle name="Título 1" xfId="100"/>
    <cellStyle name="Título 1 1" xfId="101"/>
    <cellStyle name="Título 1 1 1" xfId="102"/>
    <cellStyle name="Título 1 1_PLAN   (2)" xfId="103"/>
    <cellStyle name="Título 2" xfId="104"/>
    <cellStyle name="Título 3" xfId="105"/>
    <cellStyle name="Título 4" xfId="106"/>
    <cellStyle name="Total" xfId="107"/>
    <cellStyle name="Comma" xfId="108"/>
    <cellStyle name="Vírgula 2" xfId="109"/>
    <cellStyle name="Vírgula 3" xfId="110"/>
    <cellStyle name="Vírgula 4" xfId="111"/>
    <cellStyle name="Vírgula 5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2" name="Picture 2"/>
        <xdr:cNvSpPr>
          <a:spLocks noChangeAspect="1"/>
        </xdr:cNvSpPr>
      </xdr:nvSpPr>
      <xdr:spPr>
        <a:xfrm>
          <a:off x="371475" y="114300"/>
          <a:ext cx="1381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2" name="Picture 2"/>
        <xdr:cNvSpPr>
          <a:spLocks noChangeAspect="1"/>
        </xdr:cNvSpPr>
      </xdr:nvSpPr>
      <xdr:spPr>
        <a:xfrm>
          <a:off x="371475" y="114300"/>
          <a:ext cx="1381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4"/>
  <sheetViews>
    <sheetView view="pageBreakPreview" zoomScale="70" zoomScaleSheetLayoutView="70" zoomScalePageLayoutView="0" workbookViewId="0" topLeftCell="A1">
      <selection activeCell="G13" sqref="G13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10" width="17.140625" style="0" bestFit="1" customWidth="1"/>
  </cols>
  <sheetData>
    <row r="1" spans="1:7" ht="15.75">
      <c r="A1" s="2"/>
      <c r="B1" s="3"/>
      <c r="C1" s="4" t="s">
        <v>13</v>
      </c>
      <c r="D1" s="88" t="s">
        <v>39</v>
      </c>
      <c r="E1" s="89"/>
      <c r="F1" s="89"/>
      <c r="G1" s="90"/>
    </row>
    <row r="2" spans="1:7" ht="15.75">
      <c r="A2" s="5"/>
      <c r="B2" s="6"/>
      <c r="C2" s="7" t="s">
        <v>14</v>
      </c>
      <c r="D2" s="108" t="s">
        <v>807</v>
      </c>
      <c r="E2" s="109"/>
      <c r="F2" s="91"/>
      <c r="G2" s="92"/>
    </row>
    <row r="3" spans="1:7" ht="15.75">
      <c r="A3" s="5"/>
      <c r="B3" s="6"/>
      <c r="C3" s="7" t="s">
        <v>15</v>
      </c>
      <c r="D3" s="93"/>
      <c r="E3" s="94"/>
      <c r="F3" s="94"/>
      <c r="G3" s="95"/>
    </row>
    <row r="4" spans="1:7" ht="30">
      <c r="A4" s="5"/>
      <c r="B4" s="6"/>
      <c r="C4" s="8" t="s">
        <v>808</v>
      </c>
      <c r="D4" s="96" t="s">
        <v>806</v>
      </c>
      <c r="E4" s="97"/>
      <c r="F4" s="97"/>
      <c r="G4" s="98"/>
    </row>
    <row r="5" spans="1:7" ht="30">
      <c r="A5" s="5"/>
      <c r="B5" s="6"/>
      <c r="C5" s="15" t="s">
        <v>809</v>
      </c>
      <c r="D5" s="96" t="s">
        <v>803</v>
      </c>
      <c r="E5" s="97"/>
      <c r="F5" s="97"/>
      <c r="G5" s="98"/>
    </row>
    <row r="6" spans="1:7" ht="15.75">
      <c r="A6" s="5"/>
      <c r="B6" s="6"/>
      <c r="C6" s="9" t="s">
        <v>811</v>
      </c>
      <c r="D6" s="96" t="s">
        <v>804</v>
      </c>
      <c r="E6" s="97"/>
      <c r="F6" s="97"/>
      <c r="G6" s="98"/>
    </row>
    <row r="7" spans="1:7" ht="15.75">
      <c r="A7" s="5"/>
      <c r="B7" s="6"/>
      <c r="C7" s="16" t="s">
        <v>810</v>
      </c>
      <c r="D7" s="110" t="s">
        <v>805</v>
      </c>
      <c r="E7" s="111"/>
      <c r="F7" s="111"/>
      <c r="G7" s="112"/>
    </row>
    <row r="8" spans="1:7" ht="15.75">
      <c r="A8" s="10"/>
      <c r="B8" s="11"/>
      <c r="C8" s="12"/>
      <c r="D8" s="113" t="s">
        <v>25</v>
      </c>
      <c r="E8" s="114"/>
      <c r="F8" s="114"/>
      <c r="G8" s="115"/>
    </row>
    <row r="9" spans="1:7" ht="15">
      <c r="A9" s="116" t="s">
        <v>16</v>
      </c>
      <c r="B9" s="117"/>
      <c r="C9" s="117"/>
      <c r="D9" s="117"/>
      <c r="E9" s="117"/>
      <c r="F9" s="117"/>
      <c r="G9" s="117"/>
    </row>
    <row r="10" spans="1:10" s="18" customFormat="1" ht="12.75" customHeight="1">
      <c r="A10" s="105" t="s">
        <v>17</v>
      </c>
      <c r="B10" s="104" t="s">
        <v>26</v>
      </c>
      <c r="C10" s="104" t="s">
        <v>18</v>
      </c>
      <c r="D10" s="105" t="s">
        <v>10</v>
      </c>
      <c r="E10" s="106" t="s">
        <v>19</v>
      </c>
      <c r="F10" s="107" t="s">
        <v>20</v>
      </c>
      <c r="G10" s="107"/>
      <c r="H10" s="107"/>
      <c r="I10" s="107"/>
      <c r="J10" s="99"/>
    </row>
    <row r="11" spans="1:10" s="18" customFormat="1" ht="12.75" customHeight="1">
      <c r="A11" s="105"/>
      <c r="B11" s="104"/>
      <c r="C11" s="104"/>
      <c r="D11" s="105"/>
      <c r="E11" s="106"/>
      <c r="F11" s="19" t="s">
        <v>27</v>
      </c>
      <c r="G11" s="19" t="s">
        <v>28</v>
      </c>
      <c r="H11" s="19" t="s">
        <v>29</v>
      </c>
      <c r="I11" s="17" t="s">
        <v>30</v>
      </c>
      <c r="J11" s="17" t="s">
        <v>30</v>
      </c>
    </row>
    <row r="12" spans="1:10" s="13" customFormat="1" ht="15.75">
      <c r="A12" s="13" t="s">
        <v>11</v>
      </c>
      <c r="B12" s="21"/>
      <c r="C12" s="22" t="s">
        <v>12</v>
      </c>
      <c r="D12" s="22"/>
      <c r="E12" s="22"/>
      <c r="F12" s="22"/>
      <c r="G12" s="22"/>
      <c r="H12" s="22"/>
      <c r="I12" s="20"/>
      <c r="J12" s="20"/>
    </row>
    <row r="13" spans="1:10" s="49" customFormat="1" ht="45">
      <c r="A13" s="41" t="s">
        <v>6</v>
      </c>
      <c r="B13" s="42" t="s">
        <v>536</v>
      </c>
      <c r="C13" s="43" t="s">
        <v>158</v>
      </c>
      <c r="D13" s="44" t="s">
        <v>0</v>
      </c>
      <c r="E13" s="45">
        <v>12</v>
      </c>
      <c r="F13" s="46">
        <f>TRUNC(G22,2)</f>
        <v>463.42</v>
      </c>
      <c r="G13" s="47">
        <f>TRUNC(F13*1.2338,2)</f>
        <v>571.76</v>
      </c>
      <c r="H13" s="47">
        <f>TRUNC(F13*E13,2)</f>
        <v>5561.04</v>
      </c>
      <c r="I13" s="48">
        <f>TRUNC(E13*G13,2)</f>
        <v>6861.12</v>
      </c>
      <c r="J13" s="48">
        <v>6797.16</v>
      </c>
    </row>
    <row r="14" spans="1:10" s="31" customFormat="1" ht="30">
      <c r="A14" s="27"/>
      <c r="B14" s="39" t="s">
        <v>52</v>
      </c>
      <c r="C14" s="85" t="s">
        <v>53</v>
      </c>
      <c r="D14" s="84" t="s">
        <v>3</v>
      </c>
      <c r="E14" s="40">
        <v>0.3</v>
      </c>
      <c r="F14" s="28">
        <f>TRUNC(15.94,2)</f>
        <v>15.94</v>
      </c>
      <c r="G14" s="29">
        <f aca="true" t="shared" si="0" ref="G14:G21">TRUNC(E14*F14,2)</f>
        <v>4.78</v>
      </c>
      <c r="H14" s="29"/>
      <c r="I14" s="30"/>
      <c r="J14" s="30"/>
    </row>
    <row r="15" spans="1:10" s="31" customFormat="1" ht="15">
      <c r="A15" s="27"/>
      <c r="B15" s="39" t="s">
        <v>54</v>
      </c>
      <c r="C15" s="85" t="s">
        <v>55</v>
      </c>
      <c r="D15" s="84" t="s">
        <v>2</v>
      </c>
      <c r="E15" s="40">
        <v>9.2</v>
      </c>
      <c r="F15" s="28">
        <f>TRUNC(5.45,2)</f>
        <v>5.45</v>
      </c>
      <c r="G15" s="29">
        <f t="shared" si="0"/>
        <v>50.14</v>
      </c>
      <c r="H15" s="29"/>
      <c r="I15" s="30"/>
      <c r="J15" s="30"/>
    </row>
    <row r="16" spans="1:10" s="31" customFormat="1" ht="15">
      <c r="A16" s="27"/>
      <c r="B16" s="39" t="s">
        <v>159</v>
      </c>
      <c r="C16" s="85" t="s">
        <v>160</v>
      </c>
      <c r="D16" s="84" t="s">
        <v>147</v>
      </c>
      <c r="E16" s="40">
        <v>0.2</v>
      </c>
      <c r="F16" s="28">
        <f>TRUNC(53.56,2)</f>
        <v>53.56</v>
      </c>
      <c r="G16" s="29">
        <f t="shared" si="0"/>
        <v>10.71</v>
      </c>
      <c r="H16" s="29"/>
      <c r="I16" s="30"/>
      <c r="J16" s="30"/>
    </row>
    <row r="17" spans="1:10" s="31" customFormat="1" ht="30">
      <c r="A17" s="27"/>
      <c r="B17" s="39" t="s">
        <v>161</v>
      </c>
      <c r="C17" s="85" t="s">
        <v>162</v>
      </c>
      <c r="D17" s="84" t="s">
        <v>3</v>
      </c>
      <c r="E17" s="40">
        <v>5</v>
      </c>
      <c r="F17" s="28">
        <f>TRUNC(20.0865,2)</f>
        <v>20.08</v>
      </c>
      <c r="G17" s="29">
        <f t="shared" si="0"/>
        <v>100.4</v>
      </c>
      <c r="H17" s="29"/>
      <c r="I17" s="30"/>
      <c r="J17" s="30"/>
    </row>
    <row r="18" spans="1:10" s="31" customFormat="1" ht="30">
      <c r="A18" s="27"/>
      <c r="B18" s="39" t="s">
        <v>32</v>
      </c>
      <c r="C18" s="85" t="s">
        <v>33</v>
      </c>
      <c r="D18" s="84" t="s">
        <v>4</v>
      </c>
      <c r="E18" s="40">
        <v>2.06</v>
      </c>
      <c r="F18" s="28">
        <f>TRUNC(16.55,2)</f>
        <v>16.55</v>
      </c>
      <c r="G18" s="29">
        <f t="shared" si="0"/>
        <v>34.09</v>
      </c>
      <c r="H18" s="29"/>
      <c r="I18" s="30"/>
      <c r="J18" s="30"/>
    </row>
    <row r="19" spans="1:10" s="31" customFormat="1" ht="30">
      <c r="A19" s="27"/>
      <c r="B19" s="39" t="s">
        <v>537</v>
      </c>
      <c r="C19" s="85" t="s">
        <v>538</v>
      </c>
      <c r="D19" s="84" t="s">
        <v>4</v>
      </c>
      <c r="E19" s="40">
        <v>2.06</v>
      </c>
      <c r="F19" s="28">
        <f>TRUNC(24.61,2)</f>
        <v>24.61</v>
      </c>
      <c r="G19" s="29">
        <f t="shared" si="0"/>
        <v>50.69</v>
      </c>
      <c r="H19" s="29"/>
      <c r="I19" s="30"/>
      <c r="J19" s="30"/>
    </row>
    <row r="20" spans="1:10" s="31" customFormat="1" ht="15">
      <c r="A20" s="27"/>
      <c r="B20" s="39" t="s">
        <v>539</v>
      </c>
      <c r="C20" s="85" t="s">
        <v>540</v>
      </c>
      <c r="D20" s="84" t="s">
        <v>4</v>
      </c>
      <c r="E20" s="40">
        <v>4.12</v>
      </c>
      <c r="F20" s="28">
        <f>TRUNC(22.86,2)</f>
        <v>22.86</v>
      </c>
      <c r="G20" s="29">
        <f t="shared" si="0"/>
        <v>94.18</v>
      </c>
      <c r="H20" s="29"/>
      <c r="I20" s="30"/>
      <c r="J20" s="30"/>
    </row>
    <row r="21" spans="1:10" s="31" customFormat="1" ht="15">
      <c r="A21" s="27"/>
      <c r="B21" s="39" t="s">
        <v>541</v>
      </c>
      <c r="C21" s="85" t="s">
        <v>542</v>
      </c>
      <c r="D21" s="84" t="s">
        <v>4</v>
      </c>
      <c r="E21" s="40">
        <v>1</v>
      </c>
      <c r="F21" s="28">
        <f>TRUNC(118.4325,2)</f>
        <v>118.43</v>
      </c>
      <c r="G21" s="29">
        <f t="shared" si="0"/>
        <v>118.43</v>
      </c>
      <c r="H21" s="29"/>
      <c r="I21" s="30"/>
      <c r="J21" s="30"/>
    </row>
    <row r="22" spans="1:10" s="31" customFormat="1" ht="15">
      <c r="A22" s="27"/>
      <c r="B22" s="39"/>
      <c r="C22" s="85"/>
      <c r="D22" s="84"/>
      <c r="E22" s="40" t="s">
        <v>5</v>
      </c>
      <c r="F22" s="28"/>
      <c r="G22" s="29">
        <f>TRUNC(SUM(G14:G21),2)</f>
        <v>463.42</v>
      </c>
      <c r="H22" s="29"/>
      <c r="I22" s="30"/>
      <c r="J22" s="30"/>
    </row>
    <row r="23" spans="1:10" s="49" customFormat="1" ht="60">
      <c r="A23" s="41" t="s">
        <v>7</v>
      </c>
      <c r="B23" s="42" t="s">
        <v>543</v>
      </c>
      <c r="C23" s="43" t="s">
        <v>163</v>
      </c>
      <c r="D23" s="44" t="s">
        <v>0</v>
      </c>
      <c r="E23" s="45">
        <v>304.92</v>
      </c>
      <c r="F23" s="46">
        <f>TRUNC(G29,2)</f>
        <v>22.24</v>
      </c>
      <c r="G23" s="47">
        <f>TRUNC(F23*1.2338,2)</f>
        <v>27.43</v>
      </c>
      <c r="H23" s="47">
        <f>TRUNC(F23*E23,2)</f>
        <v>6781.42</v>
      </c>
      <c r="I23" s="48">
        <f>TRUNC(E23*G23,2)</f>
        <v>8363.95</v>
      </c>
      <c r="J23" s="48">
        <v>8354.8</v>
      </c>
    </row>
    <row r="24" spans="1:10" s="31" customFormat="1" ht="15">
      <c r="A24" s="27"/>
      <c r="B24" s="39" t="s">
        <v>164</v>
      </c>
      <c r="C24" s="85" t="s">
        <v>165</v>
      </c>
      <c r="D24" s="84" t="s">
        <v>0</v>
      </c>
      <c r="E24" s="40">
        <v>0.2625</v>
      </c>
      <c r="F24" s="28">
        <f>TRUNC(32.91,2)</f>
        <v>32.91</v>
      </c>
      <c r="G24" s="29">
        <f>TRUNC(E24*F24,2)</f>
        <v>8.63</v>
      </c>
      <c r="H24" s="29"/>
      <c r="I24" s="30"/>
      <c r="J24" s="30"/>
    </row>
    <row r="25" spans="1:10" s="31" customFormat="1" ht="30">
      <c r="A25" s="27"/>
      <c r="B25" s="39" t="s">
        <v>52</v>
      </c>
      <c r="C25" s="85" t="s">
        <v>53</v>
      </c>
      <c r="D25" s="84" t="s">
        <v>3</v>
      </c>
      <c r="E25" s="40">
        <v>0.05</v>
      </c>
      <c r="F25" s="28">
        <f>TRUNC(15.94,2)</f>
        <v>15.94</v>
      </c>
      <c r="G25" s="29">
        <f>TRUNC(E25*F25,2)</f>
        <v>0.79</v>
      </c>
      <c r="H25" s="29"/>
      <c r="I25" s="30"/>
      <c r="J25" s="30"/>
    </row>
    <row r="26" spans="1:10" s="31" customFormat="1" ht="15">
      <c r="A26" s="27"/>
      <c r="B26" s="39" t="s">
        <v>54</v>
      </c>
      <c r="C26" s="85" t="s">
        <v>55</v>
      </c>
      <c r="D26" s="84" t="s">
        <v>2</v>
      </c>
      <c r="E26" s="40">
        <v>0.8</v>
      </c>
      <c r="F26" s="28">
        <f>TRUNC(5.45,2)</f>
        <v>5.45</v>
      </c>
      <c r="G26" s="29">
        <f>TRUNC(E26*F26,2)</f>
        <v>4.36</v>
      </c>
      <c r="H26" s="29"/>
      <c r="I26" s="30"/>
      <c r="J26" s="30"/>
    </row>
    <row r="27" spans="1:10" s="31" customFormat="1" ht="30">
      <c r="A27" s="27"/>
      <c r="B27" s="39" t="s">
        <v>32</v>
      </c>
      <c r="C27" s="85" t="s">
        <v>33</v>
      </c>
      <c r="D27" s="84" t="s">
        <v>4</v>
      </c>
      <c r="E27" s="40">
        <v>0.20600000000000002</v>
      </c>
      <c r="F27" s="28">
        <f>TRUNC(16.55,2)</f>
        <v>16.55</v>
      </c>
      <c r="G27" s="29">
        <f>TRUNC(E27*F27,2)</f>
        <v>3.4</v>
      </c>
      <c r="H27" s="29"/>
      <c r="I27" s="30"/>
      <c r="J27" s="30"/>
    </row>
    <row r="28" spans="1:10" s="31" customFormat="1" ht="30">
      <c r="A28" s="27"/>
      <c r="B28" s="39" t="s">
        <v>537</v>
      </c>
      <c r="C28" s="85" t="s">
        <v>538</v>
      </c>
      <c r="D28" s="84" t="s">
        <v>4</v>
      </c>
      <c r="E28" s="40">
        <v>0.20600000000000002</v>
      </c>
      <c r="F28" s="28">
        <f>TRUNC(24.61,2)</f>
        <v>24.61</v>
      </c>
      <c r="G28" s="29">
        <f>TRUNC(E28*F28,2)</f>
        <v>5.06</v>
      </c>
      <c r="H28" s="29"/>
      <c r="I28" s="30"/>
      <c r="J28" s="30"/>
    </row>
    <row r="29" spans="1:10" s="31" customFormat="1" ht="15">
      <c r="A29" s="27"/>
      <c r="B29" s="39"/>
      <c r="C29" s="85"/>
      <c r="D29" s="84"/>
      <c r="E29" s="40" t="s">
        <v>5</v>
      </c>
      <c r="F29" s="28"/>
      <c r="G29" s="29">
        <f>TRUNC(SUM(G24:G28),2)</f>
        <v>22.24</v>
      </c>
      <c r="H29" s="29"/>
      <c r="I29" s="30"/>
      <c r="J29" s="30"/>
    </row>
    <row r="30" spans="1:10" s="49" customFormat="1" ht="60">
      <c r="A30" s="41" t="s">
        <v>8</v>
      </c>
      <c r="B30" s="42" t="s">
        <v>544</v>
      </c>
      <c r="C30" s="43" t="s">
        <v>166</v>
      </c>
      <c r="D30" s="44" t="s">
        <v>0</v>
      </c>
      <c r="E30" s="45">
        <v>10</v>
      </c>
      <c r="F30" s="46">
        <f>TRUNC(G48,2)</f>
        <v>441.08</v>
      </c>
      <c r="G30" s="47">
        <f>TRUNC(F30*1.2338,2)</f>
        <v>544.2</v>
      </c>
      <c r="H30" s="47">
        <f>TRUNC(F30*E30,2)</f>
        <v>4410.8</v>
      </c>
      <c r="I30" s="48">
        <f>TRUNC(E30*G30,2)</f>
        <v>5442</v>
      </c>
      <c r="J30" s="48">
        <v>5116.1</v>
      </c>
    </row>
    <row r="31" spans="1:10" s="31" customFormat="1" ht="15">
      <c r="A31" s="27"/>
      <c r="B31" s="39" t="s">
        <v>92</v>
      </c>
      <c r="C31" s="85" t="s">
        <v>93</v>
      </c>
      <c r="D31" s="84" t="s">
        <v>10</v>
      </c>
      <c r="E31" s="40">
        <v>0.0808</v>
      </c>
      <c r="F31" s="28">
        <f>TRUNC(9.71,2)</f>
        <v>9.71</v>
      </c>
      <c r="G31" s="29">
        <f aca="true" t="shared" si="1" ref="G31:G47">TRUNC(E31*F31,2)</f>
        <v>0.78</v>
      </c>
      <c r="H31" s="29"/>
      <c r="I31" s="30"/>
      <c r="J31" s="30"/>
    </row>
    <row r="32" spans="1:10" s="31" customFormat="1" ht="15">
      <c r="A32" s="27"/>
      <c r="B32" s="39" t="s">
        <v>104</v>
      </c>
      <c r="C32" s="85" t="s">
        <v>105</v>
      </c>
      <c r="D32" s="84" t="s">
        <v>10</v>
      </c>
      <c r="E32" s="40">
        <v>0.0808</v>
      </c>
      <c r="F32" s="28">
        <f>TRUNC(3.04,2)</f>
        <v>3.04</v>
      </c>
      <c r="G32" s="29">
        <f t="shared" si="1"/>
        <v>0.24</v>
      </c>
      <c r="H32" s="29"/>
      <c r="I32" s="30"/>
      <c r="J32" s="30"/>
    </row>
    <row r="33" spans="1:10" s="31" customFormat="1" ht="15" customHeight="1">
      <c r="A33" s="27"/>
      <c r="B33" s="39" t="s">
        <v>120</v>
      </c>
      <c r="C33" s="85" t="s">
        <v>121</v>
      </c>
      <c r="D33" s="84" t="s">
        <v>10</v>
      </c>
      <c r="E33" s="40">
        <v>0.08</v>
      </c>
      <c r="F33" s="28">
        <f>TRUNC(4.7,2)</f>
        <v>4.7</v>
      </c>
      <c r="G33" s="29">
        <f t="shared" si="1"/>
        <v>0.37</v>
      </c>
      <c r="H33" s="29"/>
      <c r="I33" s="30"/>
      <c r="J33" s="30"/>
    </row>
    <row r="34" spans="1:10" s="31" customFormat="1" ht="30">
      <c r="A34" s="27"/>
      <c r="B34" s="39" t="s">
        <v>94</v>
      </c>
      <c r="C34" s="85" t="s">
        <v>95</v>
      </c>
      <c r="D34" s="84" t="s">
        <v>10</v>
      </c>
      <c r="E34" s="40">
        <v>0.06</v>
      </c>
      <c r="F34" s="28">
        <f>TRUNC(10.09,2)</f>
        <v>10.09</v>
      </c>
      <c r="G34" s="29">
        <f t="shared" si="1"/>
        <v>0.6</v>
      </c>
      <c r="H34" s="29"/>
      <c r="I34" s="30"/>
      <c r="J34" s="30"/>
    </row>
    <row r="35" spans="1:10" s="31" customFormat="1" ht="15">
      <c r="A35" s="27"/>
      <c r="B35" s="39" t="s">
        <v>56</v>
      </c>
      <c r="C35" s="85" t="s">
        <v>57</v>
      </c>
      <c r="D35" s="84" t="s">
        <v>10</v>
      </c>
      <c r="E35" s="40">
        <v>0.17</v>
      </c>
      <c r="F35" s="28">
        <f>TRUNC(30.75,2)</f>
        <v>30.75</v>
      </c>
      <c r="G35" s="29">
        <f t="shared" si="1"/>
        <v>5.22</v>
      </c>
      <c r="H35" s="29"/>
      <c r="I35" s="30"/>
      <c r="J35" s="30"/>
    </row>
    <row r="36" spans="1:10" s="31" customFormat="1" ht="15">
      <c r="A36" s="27"/>
      <c r="B36" s="39" t="s">
        <v>88</v>
      </c>
      <c r="C36" s="85" t="s">
        <v>89</v>
      </c>
      <c r="D36" s="84" t="s">
        <v>10</v>
      </c>
      <c r="E36" s="40">
        <v>0.0202</v>
      </c>
      <c r="F36" s="28">
        <f>TRUNC(4.22,2)</f>
        <v>4.22</v>
      </c>
      <c r="G36" s="29">
        <f t="shared" si="1"/>
        <v>0.08</v>
      </c>
      <c r="H36" s="29"/>
      <c r="I36" s="30"/>
      <c r="J36" s="30"/>
    </row>
    <row r="37" spans="1:10" s="31" customFormat="1" ht="15">
      <c r="A37" s="27"/>
      <c r="B37" s="39" t="s">
        <v>62</v>
      </c>
      <c r="C37" s="85" t="s">
        <v>63</v>
      </c>
      <c r="D37" s="84" t="s">
        <v>2</v>
      </c>
      <c r="E37" s="40">
        <v>0.505</v>
      </c>
      <c r="F37" s="28">
        <f>TRUNC(4,2)</f>
        <v>4</v>
      </c>
      <c r="G37" s="29">
        <f t="shared" si="1"/>
        <v>2.02</v>
      </c>
      <c r="H37" s="29"/>
      <c r="I37" s="30"/>
      <c r="J37" s="30"/>
    </row>
    <row r="38" spans="1:10" s="31" customFormat="1" ht="30">
      <c r="A38" s="27"/>
      <c r="B38" s="39" t="s">
        <v>100</v>
      </c>
      <c r="C38" s="85" t="s">
        <v>101</v>
      </c>
      <c r="D38" s="84" t="s">
        <v>10</v>
      </c>
      <c r="E38" s="40">
        <v>0.275</v>
      </c>
      <c r="F38" s="28">
        <f>TRUNC(51.66,2)</f>
        <v>51.66</v>
      </c>
      <c r="G38" s="29">
        <f t="shared" si="1"/>
        <v>14.2</v>
      </c>
      <c r="H38" s="29"/>
      <c r="I38" s="30"/>
      <c r="J38" s="30"/>
    </row>
    <row r="39" spans="1:10" s="31" customFormat="1" ht="15">
      <c r="A39" s="27"/>
      <c r="B39" s="39" t="s">
        <v>54</v>
      </c>
      <c r="C39" s="85" t="s">
        <v>55</v>
      </c>
      <c r="D39" s="84" t="s">
        <v>2</v>
      </c>
      <c r="E39" s="40">
        <v>2</v>
      </c>
      <c r="F39" s="28">
        <f>TRUNC(5.45,2)</f>
        <v>5.45</v>
      </c>
      <c r="G39" s="29">
        <f t="shared" si="1"/>
        <v>10.9</v>
      </c>
      <c r="H39" s="29"/>
      <c r="I39" s="30"/>
      <c r="J39" s="30"/>
    </row>
    <row r="40" spans="1:10" s="31" customFormat="1" ht="15">
      <c r="A40" s="27"/>
      <c r="B40" s="39" t="s">
        <v>76</v>
      </c>
      <c r="C40" s="85" t="s">
        <v>77</v>
      </c>
      <c r="D40" s="84" t="s">
        <v>10</v>
      </c>
      <c r="E40" s="40">
        <v>0.95</v>
      </c>
      <c r="F40" s="28">
        <f>TRUNC(0.89,2)</f>
        <v>0.89</v>
      </c>
      <c r="G40" s="29">
        <f t="shared" si="1"/>
        <v>0.84</v>
      </c>
      <c r="H40" s="29"/>
      <c r="I40" s="30"/>
      <c r="J40" s="30"/>
    </row>
    <row r="41" spans="1:10" s="31" customFormat="1" ht="30">
      <c r="A41" s="27"/>
      <c r="B41" s="39" t="s">
        <v>52</v>
      </c>
      <c r="C41" s="85" t="s">
        <v>53</v>
      </c>
      <c r="D41" s="84" t="s">
        <v>3</v>
      </c>
      <c r="E41" s="40">
        <v>0.12</v>
      </c>
      <c r="F41" s="28">
        <f>TRUNC(15.94,2)</f>
        <v>15.94</v>
      </c>
      <c r="G41" s="29">
        <f t="shared" si="1"/>
        <v>1.91</v>
      </c>
      <c r="H41" s="29"/>
      <c r="I41" s="30"/>
      <c r="J41" s="30"/>
    </row>
    <row r="42" spans="1:10" s="31" customFormat="1" ht="15">
      <c r="A42" s="27"/>
      <c r="B42" s="39" t="s">
        <v>80</v>
      </c>
      <c r="C42" s="85" t="s">
        <v>81</v>
      </c>
      <c r="D42" s="84" t="s">
        <v>0</v>
      </c>
      <c r="E42" s="40">
        <v>0.06</v>
      </c>
      <c r="F42" s="28">
        <f>TRUNC(58.71,2)</f>
        <v>58.71</v>
      </c>
      <c r="G42" s="29">
        <f t="shared" si="1"/>
        <v>3.52</v>
      </c>
      <c r="H42" s="29"/>
      <c r="I42" s="30"/>
      <c r="J42" s="30"/>
    </row>
    <row r="43" spans="1:10" s="31" customFormat="1" ht="15">
      <c r="A43" s="27"/>
      <c r="B43" s="39" t="s">
        <v>78</v>
      </c>
      <c r="C43" s="85" t="s">
        <v>79</v>
      </c>
      <c r="D43" s="84" t="s">
        <v>10</v>
      </c>
      <c r="E43" s="40">
        <v>0.17170000000000002</v>
      </c>
      <c r="F43" s="28">
        <f>TRUNC(2.12,2)</f>
        <v>2.12</v>
      </c>
      <c r="G43" s="29">
        <f t="shared" si="1"/>
        <v>0.36</v>
      </c>
      <c r="H43" s="29"/>
      <c r="I43" s="30"/>
      <c r="J43" s="30"/>
    </row>
    <row r="44" spans="1:10" s="31" customFormat="1" ht="30">
      <c r="A44" s="27"/>
      <c r="B44" s="39" t="s">
        <v>537</v>
      </c>
      <c r="C44" s="85" t="s">
        <v>538</v>
      </c>
      <c r="D44" s="84" t="s">
        <v>4</v>
      </c>
      <c r="E44" s="40">
        <v>8.137</v>
      </c>
      <c r="F44" s="28">
        <f>TRUNC(24.61,2)</f>
        <v>24.61</v>
      </c>
      <c r="G44" s="29">
        <f t="shared" si="1"/>
        <v>200.25</v>
      </c>
      <c r="H44" s="29"/>
      <c r="I44" s="30"/>
      <c r="J44" s="30"/>
    </row>
    <row r="45" spans="1:10" s="31" customFormat="1" ht="30">
      <c r="A45" s="27"/>
      <c r="B45" s="39" t="s">
        <v>32</v>
      </c>
      <c r="C45" s="85" t="s">
        <v>33</v>
      </c>
      <c r="D45" s="84" t="s">
        <v>4</v>
      </c>
      <c r="E45" s="40">
        <v>8.549000000000001</v>
      </c>
      <c r="F45" s="28">
        <f>TRUNC(16.55,2)</f>
        <v>16.55</v>
      </c>
      <c r="G45" s="29">
        <f t="shared" si="1"/>
        <v>141.48</v>
      </c>
      <c r="H45" s="29"/>
      <c r="I45" s="30"/>
      <c r="J45" s="30"/>
    </row>
    <row r="46" spans="1:10" s="31" customFormat="1" ht="30">
      <c r="A46" s="27"/>
      <c r="B46" s="39" t="s">
        <v>545</v>
      </c>
      <c r="C46" s="85" t="s">
        <v>546</v>
      </c>
      <c r="D46" s="84" t="s">
        <v>4</v>
      </c>
      <c r="E46" s="40">
        <v>0.41200000000000003</v>
      </c>
      <c r="F46" s="28">
        <f>TRUNC(22.86,2)</f>
        <v>22.86</v>
      </c>
      <c r="G46" s="29">
        <f t="shared" si="1"/>
        <v>9.41</v>
      </c>
      <c r="H46" s="29"/>
      <c r="I46" s="30"/>
      <c r="J46" s="30"/>
    </row>
    <row r="47" spans="1:10" s="31" customFormat="1" ht="15">
      <c r="A47" s="27"/>
      <c r="B47" s="39" t="s">
        <v>547</v>
      </c>
      <c r="C47" s="85" t="s">
        <v>548</v>
      </c>
      <c r="D47" s="84" t="s">
        <v>0</v>
      </c>
      <c r="E47" s="40">
        <v>1.65</v>
      </c>
      <c r="F47" s="28">
        <f>TRUNC(29.6403,2)</f>
        <v>29.64</v>
      </c>
      <c r="G47" s="29">
        <f t="shared" si="1"/>
        <v>48.9</v>
      </c>
      <c r="H47" s="29"/>
      <c r="I47" s="30"/>
      <c r="J47" s="30"/>
    </row>
    <row r="48" spans="1:10" s="31" customFormat="1" ht="15">
      <c r="A48" s="27"/>
      <c r="B48" s="39"/>
      <c r="C48" s="85"/>
      <c r="D48" s="84"/>
      <c r="E48" s="40" t="s">
        <v>5</v>
      </c>
      <c r="F48" s="28"/>
      <c r="G48" s="29">
        <f>TRUNC(SUM(G31:G47),2)</f>
        <v>441.08</v>
      </c>
      <c r="H48" s="29"/>
      <c r="I48" s="30"/>
      <c r="J48" s="30"/>
    </row>
    <row r="49" spans="1:10" s="49" customFormat="1" ht="90">
      <c r="A49" s="41" t="s">
        <v>9</v>
      </c>
      <c r="B49" s="42" t="s">
        <v>549</v>
      </c>
      <c r="C49" s="43" t="s">
        <v>167</v>
      </c>
      <c r="D49" s="44" t="s">
        <v>10</v>
      </c>
      <c r="E49" s="45">
        <v>1</v>
      </c>
      <c r="F49" s="46">
        <f>TRUNC(G92,2)</f>
        <v>2320.73</v>
      </c>
      <c r="G49" s="47">
        <f>TRUNC(F49*1.2338,2)</f>
        <v>2863.31</v>
      </c>
      <c r="H49" s="47">
        <f>TRUNC(F49*E49,2)</f>
        <v>2320.73</v>
      </c>
      <c r="I49" s="48">
        <f>TRUNC(E49*G49,2)</f>
        <v>2863.31</v>
      </c>
      <c r="J49" s="48">
        <v>2808.65</v>
      </c>
    </row>
    <row r="50" spans="1:10" s="31" customFormat="1" ht="15">
      <c r="A50" s="27"/>
      <c r="B50" s="39" t="s">
        <v>90</v>
      </c>
      <c r="C50" s="85" t="s">
        <v>91</v>
      </c>
      <c r="D50" s="84" t="s">
        <v>10</v>
      </c>
      <c r="E50" s="40">
        <v>1</v>
      </c>
      <c r="F50" s="28">
        <f>TRUNC(1.75,2)</f>
        <v>1.75</v>
      </c>
      <c r="G50" s="29">
        <f aca="true" t="shared" si="2" ref="G50:G91">TRUNC(E50*F50,2)</f>
        <v>1.75</v>
      </c>
      <c r="H50" s="29"/>
      <c r="I50" s="30"/>
      <c r="J50" s="30"/>
    </row>
    <row r="51" spans="1:10" s="31" customFormat="1" ht="15">
      <c r="A51" s="27"/>
      <c r="B51" s="39" t="s">
        <v>72</v>
      </c>
      <c r="C51" s="85" t="s">
        <v>73</v>
      </c>
      <c r="D51" s="84" t="s">
        <v>10</v>
      </c>
      <c r="E51" s="40">
        <v>0.16</v>
      </c>
      <c r="F51" s="28">
        <f>TRUNC(70.8,2)</f>
        <v>70.8</v>
      </c>
      <c r="G51" s="29">
        <f t="shared" si="2"/>
        <v>11.32</v>
      </c>
      <c r="H51" s="29"/>
      <c r="I51" s="30"/>
      <c r="J51" s="30"/>
    </row>
    <row r="52" spans="1:10" s="31" customFormat="1" ht="15">
      <c r="A52" s="27"/>
      <c r="B52" s="39" t="s">
        <v>168</v>
      </c>
      <c r="C52" s="85" t="s">
        <v>169</v>
      </c>
      <c r="D52" s="84" t="s">
        <v>10</v>
      </c>
      <c r="E52" s="40">
        <v>2</v>
      </c>
      <c r="F52" s="28">
        <f>TRUNC(82.66,2)</f>
        <v>82.66</v>
      </c>
      <c r="G52" s="29">
        <f t="shared" si="2"/>
        <v>165.32</v>
      </c>
      <c r="H52" s="29"/>
      <c r="I52" s="30"/>
      <c r="J52" s="30"/>
    </row>
    <row r="53" spans="1:10" s="31" customFormat="1" ht="30">
      <c r="A53" s="27"/>
      <c r="B53" s="39" t="s">
        <v>98</v>
      </c>
      <c r="C53" s="85" t="s">
        <v>99</v>
      </c>
      <c r="D53" s="84" t="s">
        <v>10</v>
      </c>
      <c r="E53" s="40">
        <v>0.5</v>
      </c>
      <c r="F53" s="28">
        <f>TRUNC(6.7,2)</f>
        <v>6.7</v>
      </c>
      <c r="G53" s="29">
        <f t="shared" si="2"/>
        <v>3.35</v>
      </c>
      <c r="H53" s="29"/>
      <c r="I53" s="30"/>
      <c r="J53" s="30"/>
    </row>
    <row r="54" spans="1:10" s="31" customFormat="1" ht="15">
      <c r="A54" s="27"/>
      <c r="B54" s="39" t="s">
        <v>56</v>
      </c>
      <c r="C54" s="85" t="s">
        <v>57</v>
      </c>
      <c r="D54" s="84" t="s">
        <v>10</v>
      </c>
      <c r="E54" s="40">
        <v>0.5</v>
      </c>
      <c r="F54" s="28">
        <f>TRUNC(30.75,2)</f>
        <v>30.75</v>
      </c>
      <c r="G54" s="29">
        <f t="shared" si="2"/>
        <v>15.37</v>
      </c>
      <c r="H54" s="29"/>
      <c r="I54" s="30"/>
      <c r="J54" s="30"/>
    </row>
    <row r="55" spans="1:10" s="31" customFormat="1" ht="15">
      <c r="A55" s="27"/>
      <c r="B55" s="39" t="s">
        <v>76</v>
      </c>
      <c r="C55" s="85" t="s">
        <v>77</v>
      </c>
      <c r="D55" s="84" t="s">
        <v>10</v>
      </c>
      <c r="E55" s="40">
        <v>8</v>
      </c>
      <c r="F55" s="28">
        <f>TRUNC(0.89,2)</f>
        <v>0.89</v>
      </c>
      <c r="G55" s="29">
        <f t="shared" si="2"/>
        <v>7.12</v>
      </c>
      <c r="H55" s="29"/>
      <c r="I55" s="30"/>
      <c r="J55" s="30"/>
    </row>
    <row r="56" spans="1:10" s="31" customFormat="1" ht="15">
      <c r="A56" s="27"/>
      <c r="B56" s="39" t="s">
        <v>60</v>
      </c>
      <c r="C56" s="85" t="s">
        <v>61</v>
      </c>
      <c r="D56" s="84" t="s">
        <v>10</v>
      </c>
      <c r="E56" s="40">
        <v>0.13</v>
      </c>
      <c r="F56" s="28">
        <f>TRUNC(73.77,2)</f>
        <v>73.77</v>
      </c>
      <c r="G56" s="29">
        <f t="shared" si="2"/>
        <v>9.59</v>
      </c>
      <c r="H56" s="29"/>
      <c r="I56" s="30"/>
      <c r="J56" s="30"/>
    </row>
    <row r="57" spans="1:10" s="31" customFormat="1" ht="15">
      <c r="A57" s="27"/>
      <c r="B57" s="39" t="s">
        <v>62</v>
      </c>
      <c r="C57" s="85" t="s">
        <v>63</v>
      </c>
      <c r="D57" s="84" t="s">
        <v>2</v>
      </c>
      <c r="E57" s="40">
        <v>3.3000000000000003</v>
      </c>
      <c r="F57" s="28">
        <f>TRUNC(4,2)</f>
        <v>4</v>
      </c>
      <c r="G57" s="29">
        <f t="shared" si="2"/>
        <v>13.2</v>
      </c>
      <c r="H57" s="29"/>
      <c r="I57" s="30"/>
      <c r="J57" s="30"/>
    </row>
    <row r="58" spans="1:10" s="31" customFormat="1" ht="30">
      <c r="A58" s="27"/>
      <c r="B58" s="39" t="s">
        <v>58</v>
      </c>
      <c r="C58" s="85" t="s">
        <v>59</v>
      </c>
      <c r="D58" s="84" t="s">
        <v>10</v>
      </c>
      <c r="E58" s="40">
        <v>0.5</v>
      </c>
      <c r="F58" s="28">
        <f>TRUNC(38.47,2)</f>
        <v>38.47</v>
      </c>
      <c r="G58" s="29">
        <f t="shared" si="2"/>
        <v>19.23</v>
      </c>
      <c r="H58" s="29"/>
      <c r="I58" s="30"/>
      <c r="J58" s="30"/>
    </row>
    <row r="59" spans="1:10" s="31" customFormat="1" ht="30">
      <c r="A59" s="27"/>
      <c r="B59" s="39" t="s">
        <v>86</v>
      </c>
      <c r="C59" s="85" t="s">
        <v>87</v>
      </c>
      <c r="D59" s="84" t="s">
        <v>10</v>
      </c>
      <c r="E59" s="40">
        <v>1</v>
      </c>
      <c r="F59" s="28">
        <f>TRUNC(20.34,2)</f>
        <v>20.34</v>
      </c>
      <c r="G59" s="29">
        <f t="shared" si="2"/>
        <v>20.34</v>
      </c>
      <c r="H59" s="29"/>
      <c r="I59" s="30"/>
      <c r="J59" s="30"/>
    </row>
    <row r="60" spans="1:10" s="31" customFormat="1" ht="15">
      <c r="A60" s="27"/>
      <c r="B60" s="39" t="s">
        <v>96</v>
      </c>
      <c r="C60" s="85" t="s">
        <v>97</v>
      </c>
      <c r="D60" s="84" t="s">
        <v>10</v>
      </c>
      <c r="E60" s="40">
        <v>1</v>
      </c>
      <c r="F60" s="28">
        <f>TRUNC(0.09,2)</f>
        <v>0.09</v>
      </c>
      <c r="G60" s="29">
        <f t="shared" si="2"/>
        <v>0.09</v>
      </c>
      <c r="H60" s="29"/>
      <c r="I60" s="30"/>
      <c r="J60" s="30"/>
    </row>
    <row r="61" spans="1:10" s="31" customFormat="1" ht="15">
      <c r="A61" s="27"/>
      <c r="B61" s="39" t="s">
        <v>82</v>
      </c>
      <c r="C61" s="85" t="s">
        <v>83</v>
      </c>
      <c r="D61" s="84" t="s">
        <v>10</v>
      </c>
      <c r="E61" s="40">
        <v>1</v>
      </c>
      <c r="F61" s="28">
        <f>TRUNC(1.63,2)</f>
        <v>1.63</v>
      </c>
      <c r="G61" s="29">
        <f t="shared" si="2"/>
        <v>1.63</v>
      </c>
      <c r="H61" s="29"/>
      <c r="I61" s="30"/>
      <c r="J61" s="30"/>
    </row>
    <row r="62" spans="1:10" s="31" customFormat="1" ht="15">
      <c r="A62" s="27"/>
      <c r="B62" s="39" t="s">
        <v>78</v>
      </c>
      <c r="C62" s="85" t="s">
        <v>79</v>
      </c>
      <c r="D62" s="84" t="s">
        <v>10</v>
      </c>
      <c r="E62" s="40">
        <v>0.55</v>
      </c>
      <c r="F62" s="28">
        <f>TRUNC(2.12,2)</f>
        <v>2.12</v>
      </c>
      <c r="G62" s="29">
        <f t="shared" si="2"/>
        <v>1.16</v>
      </c>
      <c r="H62" s="29"/>
      <c r="I62" s="30"/>
      <c r="J62" s="30"/>
    </row>
    <row r="63" spans="1:10" s="31" customFormat="1" ht="30">
      <c r="A63" s="27"/>
      <c r="B63" s="39" t="s">
        <v>52</v>
      </c>
      <c r="C63" s="85" t="s">
        <v>53</v>
      </c>
      <c r="D63" s="84" t="s">
        <v>3</v>
      </c>
      <c r="E63" s="40">
        <v>1.85</v>
      </c>
      <c r="F63" s="28">
        <f>TRUNC(15.94,2)</f>
        <v>15.94</v>
      </c>
      <c r="G63" s="29">
        <f t="shared" si="2"/>
        <v>29.48</v>
      </c>
      <c r="H63" s="29"/>
      <c r="I63" s="30"/>
      <c r="J63" s="30"/>
    </row>
    <row r="64" spans="1:10" s="31" customFormat="1" ht="15">
      <c r="A64" s="27"/>
      <c r="B64" s="39" t="s">
        <v>54</v>
      </c>
      <c r="C64" s="85" t="s">
        <v>55</v>
      </c>
      <c r="D64" s="84" t="s">
        <v>2</v>
      </c>
      <c r="E64" s="40">
        <v>25.2</v>
      </c>
      <c r="F64" s="28">
        <f>TRUNC(5.45,2)</f>
        <v>5.45</v>
      </c>
      <c r="G64" s="29">
        <f t="shared" si="2"/>
        <v>137.34</v>
      </c>
      <c r="H64" s="29"/>
      <c r="I64" s="30"/>
      <c r="J64" s="30"/>
    </row>
    <row r="65" spans="1:10" s="31" customFormat="1" ht="15">
      <c r="A65" s="27"/>
      <c r="B65" s="39" t="s">
        <v>88</v>
      </c>
      <c r="C65" s="85" t="s">
        <v>89</v>
      </c>
      <c r="D65" s="84" t="s">
        <v>10</v>
      </c>
      <c r="E65" s="40">
        <v>0.22000000000000003</v>
      </c>
      <c r="F65" s="28">
        <f>TRUNC(4.22,2)</f>
        <v>4.22</v>
      </c>
      <c r="G65" s="29">
        <f t="shared" si="2"/>
        <v>0.92</v>
      </c>
      <c r="H65" s="29"/>
      <c r="I65" s="30"/>
      <c r="J65" s="30"/>
    </row>
    <row r="66" spans="1:10" s="31" customFormat="1" ht="15">
      <c r="A66" s="27"/>
      <c r="B66" s="39" t="s">
        <v>114</v>
      </c>
      <c r="C66" s="85" t="s">
        <v>115</v>
      </c>
      <c r="D66" s="84" t="s">
        <v>10</v>
      </c>
      <c r="E66" s="40">
        <v>0.5</v>
      </c>
      <c r="F66" s="28">
        <f>TRUNC(13.34,2)</f>
        <v>13.34</v>
      </c>
      <c r="G66" s="29">
        <f t="shared" si="2"/>
        <v>6.67</v>
      </c>
      <c r="H66" s="29"/>
      <c r="I66" s="30"/>
      <c r="J66" s="30"/>
    </row>
    <row r="67" spans="1:10" s="31" customFormat="1" ht="30">
      <c r="A67" s="27"/>
      <c r="B67" s="39" t="s">
        <v>100</v>
      </c>
      <c r="C67" s="85" t="s">
        <v>101</v>
      </c>
      <c r="D67" s="84" t="s">
        <v>10</v>
      </c>
      <c r="E67" s="40">
        <v>1.32</v>
      </c>
      <c r="F67" s="28">
        <f>TRUNC(51.66,2)</f>
        <v>51.66</v>
      </c>
      <c r="G67" s="29">
        <f t="shared" si="2"/>
        <v>68.19</v>
      </c>
      <c r="H67" s="29"/>
      <c r="I67" s="30"/>
      <c r="J67" s="30"/>
    </row>
    <row r="68" spans="1:10" s="31" customFormat="1" ht="15">
      <c r="A68" s="27"/>
      <c r="B68" s="39" t="s">
        <v>84</v>
      </c>
      <c r="C68" s="85" t="s">
        <v>85</v>
      </c>
      <c r="D68" s="84" t="s">
        <v>10</v>
      </c>
      <c r="E68" s="40">
        <v>0.25</v>
      </c>
      <c r="F68" s="28">
        <f>TRUNC(5.35,2)</f>
        <v>5.35</v>
      </c>
      <c r="G68" s="29">
        <f t="shared" si="2"/>
        <v>1.33</v>
      </c>
      <c r="H68" s="29"/>
      <c r="I68" s="30"/>
      <c r="J68" s="30"/>
    </row>
    <row r="69" spans="1:10" s="31" customFormat="1" ht="30">
      <c r="A69" s="27"/>
      <c r="B69" s="39" t="s">
        <v>110</v>
      </c>
      <c r="C69" s="85" t="s">
        <v>111</v>
      </c>
      <c r="D69" s="84" t="s">
        <v>10</v>
      </c>
      <c r="E69" s="40">
        <v>0.5</v>
      </c>
      <c r="F69" s="28">
        <f>TRUNC(33,2)</f>
        <v>33</v>
      </c>
      <c r="G69" s="29">
        <f t="shared" si="2"/>
        <v>16.5</v>
      </c>
      <c r="H69" s="29"/>
      <c r="I69" s="30"/>
      <c r="J69" s="30"/>
    </row>
    <row r="70" spans="1:10" s="31" customFormat="1" ht="15">
      <c r="A70" s="27"/>
      <c r="B70" s="39" t="s">
        <v>122</v>
      </c>
      <c r="C70" s="85" t="s">
        <v>123</v>
      </c>
      <c r="D70" s="84" t="s">
        <v>10</v>
      </c>
      <c r="E70" s="40">
        <v>0.5</v>
      </c>
      <c r="F70" s="28">
        <f>TRUNC(1.95,2)</f>
        <v>1.95</v>
      </c>
      <c r="G70" s="29">
        <f t="shared" si="2"/>
        <v>0.97</v>
      </c>
      <c r="H70" s="29"/>
      <c r="I70" s="30"/>
      <c r="J70" s="30"/>
    </row>
    <row r="71" spans="1:10" s="31" customFormat="1" ht="15">
      <c r="A71" s="27"/>
      <c r="B71" s="39" t="s">
        <v>108</v>
      </c>
      <c r="C71" s="85" t="s">
        <v>109</v>
      </c>
      <c r="D71" s="84" t="s">
        <v>10</v>
      </c>
      <c r="E71" s="40">
        <v>0.5</v>
      </c>
      <c r="F71" s="28">
        <f>TRUNC(56.37,2)</f>
        <v>56.37</v>
      </c>
      <c r="G71" s="29">
        <f t="shared" si="2"/>
        <v>28.18</v>
      </c>
      <c r="H71" s="29"/>
      <c r="I71" s="30"/>
      <c r="J71" s="30"/>
    </row>
    <row r="72" spans="1:10" s="31" customFormat="1" ht="15" customHeight="1">
      <c r="A72" s="27"/>
      <c r="B72" s="39" t="s">
        <v>120</v>
      </c>
      <c r="C72" s="85" t="s">
        <v>121</v>
      </c>
      <c r="D72" s="84" t="s">
        <v>10</v>
      </c>
      <c r="E72" s="40">
        <v>3</v>
      </c>
      <c r="F72" s="28">
        <f>TRUNC(4.7,2)</f>
        <v>4.7</v>
      </c>
      <c r="G72" s="29">
        <f t="shared" si="2"/>
        <v>14.1</v>
      </c>
      <c r="H72" s="29"/>
      <c r="I72" s="30"/>
      <c r="J72" s="30"/>
    </row>
    <row r="73" spans="1:10" s="31" customFormat="1" ht="15">
      <c r="A73" s="27"/>
      <c r="B73" s="39" t="s">
        <v>102</v>
      </c>
      <c r="C73" s="85" t="s">
        <v>103</v>
      </c>
      <c r="D73" s="84" t="s">
        <v>10</v>
      </c>
      <c r="E73" s="40">
        <v>0.5</v>
      </c>
      <c r="F73" s="28">
        <f>TRUNC(112.9,2)</f>
        <v>112.9</v>
      </c>
      <c r="G73" s="29">
        <f t="shared" si="2"/>
        <v>56.45</v>
      </c>
      <c r="H73" s="29"/>
      <c r="I73" s="30"/>
      <c r="J73" s="30"/>
    </row>
    <row r="74" spans="1:10" s="31" customFormat="1" ht="30">
      <c r="A74" s="27"/>
      <c r="B74" s="39" t="s">
        <v>112</v>
      </c>
      <c r="C74" s="85" t="s">
        <v>113</v>
      </c>
      <c r="D74" s="84" t="s">
        <v>10</v>
      </c>
      <c r="E74" s="40">
        <v>0.5</v>
      </c>
      <c r="F74" s="28">
        <f>TRUNC(35,2)</f>
        <v>35</v>
      </c>
      <c r="G74" s="29">
        <f t="shared" si="2"/>
        <v>17.5</v>
      </c>
      <c r="H74" s="29"/>
      <c r="I74" s="30"/>
      <c r="J74" s="30"/>
    </row>
    <row r="75" spans="1:10" s="31" customFormat="1" ht="15">
      <c r="A75" s="27"/>
      <c r="B75" s="39" t="s">
        <v>64</v>
      </c>
      <c r="C75" s="85" t="s">
        <v>65</v>
      </c>
      <c r="D75" s="84" t="s">
        <v>10</v>
      </c>
      <c r="E75" s="40">
        <v>3</v>
      </c>
      <c r="F75" s="28">
        <f>TRUNC(1.72,2)</f>
        <v>1.72</v>
      </c>
      <c r="G75" s="29">
        <f t="shared" si="2"/>
        <v>5.16</v>
      </c>
      <c r="H75" s="29"/>
      <c r="I75" s="30"/>
      <c r="J75" s="30"/>
    </row>
    <row r="76" spans="1:10" s="31" customFormat="1" ht="15">
      <c r="A76" s="27"/>
      <c r="B76" s="39" t="s">
        <v>116</v>
      </c>
      <c r="C76" s="85" t="s">
        <v>117</v>
      </c>
      <c r="D76" s="84" t="s">
        <v>10</v>
      </c>
      <c r="E76" s="40">
        <v>0.5</v>
      </c>
      <c r="F76" s="28">
        <f>TRUNC(25.63,2)</f>
        <v>25.63</v>
      </c>
      <c r="G76" s="29">
        <f t="shared" si="2"/>
        <v>12.81</v>
      </c>
      <c r="H76" s="29"/>
      <c r="I76" s="30"/>
      <c r="J76" s="30"/>
    </row>
    <row r="77" spans="1:10" s="31" customFormat="1" ht="15">
      <c r="A77" s="27"/>
      <c r="B77" s="39" t="s">
        <v>118</v>
      </c>
      <c r="C77" s="85" t="s">
        <v>119</v>
      </c>
      <c r="D77" s="84" t="s">
        <v>10</v>
      </c>
      <c r="E77" s="40">
        <v>0.5</v>
      </c>
      <c r="F77" s="28">
        <f>TRUNC(3.68,2)</f>
        <v>3.68</v>
      </c>
      <c r="G77" s="29">
        <f t="shared" si="2"/>
        <v>1.84</v>
      </c>
      <c r="H77" s="29"/>
      <c r="I77" s="30"/>
      <c r="J77" s="30"/>
    </row>
    <row r="78" spans="1:10" s="31" customFormat="1" ht="30">
      <c r="A78" s="27"/>
      <c r="B78" s="39" t="s">
        <v>106</v>
      </c>
      <c r="C78" s="85" t="s">
        <v>107</v>
      </c>
      <c r="D78" s="84" t="s">
        <v>10</v>
      </c>
      <c r="E78" s="40">
        <v>0.5</v>
      </c>
      <c r="F78" s="28">
        <f>TRUNC(30,2)</f>
        <v>30</v>
      </c>
      <c r="G78" s="29">
        <f t="shared" si="2"/>
        <v>15</v>
      </c>
      <c r="H78" s="29"/>
      <c r="I78" s="30"/>
      <c r="J78" s="30"/>
    </row>
    <row r="79" spans="1:10" s="31" customFormat="1" ht="15">
      <c r="A79" s="27"/>
      <c r="B79" s="39" t="s">
        <v>70</v>
      </c>
      <c r="C79" s="85" t="s">
        <v>71</v>
      </c>
      <c r="D79" s="84" t="s">
        <v>10</v>
      </c>
      <c r="E79" s="40">
        <v>0.5</v>
      </c>
      <c r="F79" s="28">
        <f>TRUNC(16.85,2)</f>
        <v>16.85</v>
      </c>
      <c r="G79" s="29">
        <f t="shared" si="2"/>
        <v>8.42</v>
      </c>
      <c r="H79" s="29"/>
      <c r="I79" s="30"/>
      <c r="J79" s="30"/>
    </row>
    <row r="80" spans="1:10" s="31" customFormat="1" ht="15">
      <c r="A80" s="27"/>
      <c r="B80" s="39" t="s">
        <v>68</v>
      </c>
      <c r="C80" s="85" t="s">
        <v>69</v>
      </c>
      <c r="D80" s="84" t="s">
        <v>10</v>
      </c>
      <c r="E80" s="40">
        <v>0.5</v>
      </c>
      <c r="F80" s="28">
        <f>TRUNC(6.29,2)</f>
        <v>6.29</v>
      </c>
      <c r="G80" s="29">
        <f t="shared" si="2"/>
        <v>3.14</v>
      </c>
      <c r="H80" s="29"/>
      <c r="I80" s="30"/>
      <c r="J80" s="30"/>
    </row>
    <row r="81" spans="1:10" s="31" customFormat="1" ht="15">
      <c r="A81" s="27"/>
      <c r="B81" s="39" t="s">
        <v>66</v>
      </c>
      <c r="C81" s="85" t="s">
        <v>67</v>
      </c>
      <c r="D81" s="84" t="s">
        <v>10</v>
      </c>
      <c r="E81" s="40">
        <v>0.5</v>
      </c>
      <c r="F81" s="28">
        <f>TRUNC(2.26,2)</f>
        <v>2.26</v>
      </c>
      <c r="G81" s="29">
        <f t="shared" si="2"/>
        <v>1.13</v>
      </c>
      <c r="H81" s="29"/>
      <c r="I81" s="30"/>
      <c r="J81" s="30"/>
    </row>
    <row r="82" spans="1:10" s="31" customFormat="1" ht="15">
      <c r="A82" s="27"/>
      <c r="B82" s="39" t="s">
        <v>104</v>
      </c>
      <c r="C82" s="85" t="s">
        <v>105</v>
      </c>
      <c r="D82" s="84" t="s">
        <v>10</v>
      </c>
      <c r="E82" s="40">
        <v>0.55</v>
      </c>
      <c r="F82" s="28">
        <f>TRUNC(3.04,2)</f>
        <v>3.04</v>
      </c>
      <c r="G82" s="29">
        <f t="shared" si="2"/>
        <v>1.67</v>
      </c>
      <c r="H82" s="29"/>
      <c r="I82" s="30"/>
      <c r="J82" s="30"/>
    </row>
    <row r="83" spans="1:10" s="31" customFormat="1" ht="30">
      <c r="A83" s="27"/>
      <c r="B83" s="39" t="s">
        <v>550</v>
      </c>
      <c r="C83" s="85" t="s">
        <v>551</v>
      </c>
      <c r="D83" s="84" t="s">
        <v>4</v>
      </c>
      <c r="E83" s="40">
        <v>6.18</v>
      </c>
      <c r="F83" s="28">
        <f>TRUNC(22.86,2)</f>
        <v>22.86</v>
      </c>
      <c r="G83" s="29">
        <f t="shared" si="2"/>
        <v>141.27</v>
      </c>
      <c r="H83" s="29"/>
      <c r="I83" s="30"/>
      <c r="J83" s="30"/>
    </row>
    <row r="84" spans="1:10" s="31" customFormat="1" ht="30">
      <c r="A84" s="27"/>
      <c r="B84" s="39" t="s">
        <v>537</v>
      </c>
      <c r="C84" s="85" t="s">
        <v>538</v>
      </c>
      <c r="D84" s="84" t="s">
        <v>4</v>
      </c>
      <c r="E84" s="40">
        <v>19.055</v>
      </c>
      <c r="F84" s="28">
        <f>TRUNC(24.61,2)</f>
        <v>24.61</v>
      </c>
      <c r="G84" s="29">
        <f t="shared" si="2"/>
        <v>468.94</v>
      </c>
      <c r="H84" s="29"/>
      <c r="I84" s="30"/>
      <c r="J84" s="30"/>
    </row>
    <row r="85" spans="1:10" s="31" customFormat="1" ht="30">
      <c r="A85" s="27"/>
      <c r="B85" s="39" t="s">
        <v>32</v>
      </c>
      <c r="C85" s="85" t="s">
        <v>33</v>
      </c>
      <c r="D85" s="84" t="s">
        <v>4</v>
      </c>
      <c r="E85" s="40">
        <v>26.78</v>
      </c>
      <c r="F85" s="28">
        <f>TRUNC(16.55,2)</f>
        <v>16.55</v>
      </c>
      <c r="G85" s="29">
        <f t="shared" si="2"/>
        <v>443.2</v>
      </c>
      <c r="H85" s="29"/>
      <c r="I85" s="30"/>
      <c r="J85" s="30"/>
    </row>
    <row r="86" spans="1:10" s="31" customFormat="1" ht="30">
      <c r="A86" s="27"/>
      <c r="B86" s="39" t="s">
        <v>545</v>
      </c>
      <c r="C86" s="85" t="s">
        <v>546</v>
      </c>
      <c r="D86" s="84" t="s">
        <v>4</v>
      </c>
      <c r="E86" s="40">
        <v>1.545</v>
      </c>
      <c r="F86" s="28">
        <f>TRUNC(22.86,2)</f>
        <v>22.86</v>
      </c>
      <c r="G86" s="29">
        <f t="shared" si="2"/>
        <v>35.31</v>
      </c>
      <c r="H86" s="29"/>
      <c r="I86" s="30"/>
      <c r="J86" s="30"/>
    </row>
    <row r="87" spans="1:10" s="31" customFormat="1" ht="15">
      <c r="A87" s="27"/>
      <c r="B87" s="39" t="s">
        <v>547</v>
      </c>
      <c r="C87" s="85" t="s">
        <v>548</v>
      </c>
      <c r="D87" s="84" t="s">
        <v>0</v>
      </c>
      <c r="E87" s="40">
        <v>13.86</v>
      </c>
      <c r="F87" s="28">
        <f>TRUNC(29.6403,2)</f>
        <v>29.64</v>
      </c>
      <c r="G87" s="29">
        <f t="shared" si="2"/>
        <v>410.81</v>
      </c>
      <c r="H87" s="29"/>
      <c r="I87" s="30"/>
      <c r="J87" s="30"/>
    </row>
    <row r="88" spans="1:10" s="31" customFormat="1" ht="15">
      <c r="A88" s="27"/>
      <c r="B88" s="39" t="s">
        <v>552</v>
      </c>
      <c r="C88" s="85" t="s">
        <v>553</v>
      </c>
      <c r="D88" s="84" t="s">
        <v>1</v>
      </c>
      <c r="E88" s="40">
        <v>0.12</v>
      </c>
      <c r="F88" s="28">
        <f>TRUNC(258.9348,2)</f>
        <v>258.93</v>
      </c>
      <c r="G88" s="29">
        <f t="shared" si="2"/>
        <v>31.07</v>
      </c>
      <c r="H88" s="29"/>
      <c r="I88" s="30"/>
      <c r="J88" s="30"/>
    </row>
    <row r="89" spans="1:10" s="31" customFormat="1" ht="15">
      <c r="A89" s="27"/>
      <c r="B89" s="39" t="s">
        <v>554</v>
      </c>
      <c r="C89" s="85" t="s">
        <v>555</v>
      </c>
      <c r="D89" s="84" t="s">
        <v>0</v>
      </c>
      <c r="E89" s="40">
        <v>2</v>
      </c>
      <c r="F89" s="28">
        <f>TRUNC(37.4673,2)</f>
        <v>37.46</v>
      </c>
      <c r="G89" s="29">
        <f t="shared" si="2"/>
        <v>74.92</v>
      </c>
      <c r="H89" s="29"/>
      <c r="I89" s="30"/>
      <c r="J89" s="30"/>
    </row>
    <row r="90" spans="1:10" s="31" customFormat="1" ht="15">
      <c r="A90" s="27"/>
      <c r="B90" s="39" t="s">
        <v>556</v>
      </c>
      <c r="C90" s="85" t="s">
        <v>557</v>
      </c>
      <c r="D90" s="84" t="s">
        <v>1</v>
      </c>
      <c r="E90" s="40">
        <v>0.12</v>
      </c>
      <c r="F90" s="28">
        <f>TRUNC(75.3534,2)</f>
        <v>75.35</v>
      </c>
      <c r="G90" s="29">
        <f t="shared" si="2"/>
        <v>9.04</v>
      </c>
      <c r="H90" s="29"/>
      <c r="I90" s="30"/>
      <c r="J90" s="30"/>
    </row>
    <row r="91" spans="1:10" s="31" customFormat="1" ht="15">
      <c r="A91" s="27"/>
      <c r="B91" s="39" t="s">
        <v>558</v>
      </c>
      <c r="C91" s="85" t="s">
        <v>559</v>
      </c>
      <c r="D91" s="84" t="s">
        <v>1</v>
      </c>
      <c r="E91" s="40">
        <v>0.12</v>
      </c>
      <c r="F91" s="28">
        <f>TRUNC(82.5898,2)</f>
        <v>82.58</v>
      </c>
      <c r="G91" s="29">
        <f t="shared" si="2"/>
        <v>9.9</v>
      </c>
      <c r="H91" s="29"/>
      <c r="I91" s="30"/>
      <c r="J91" s="30"/>
    </row>
    <row r="92" spans="1:10" s="31" customFormat="1" ht="15">
      <c r="A92" s="27"/>
      <c r="B92" s="39"/>
      <c r="C92" s="85"/>
      <c r="D92" s="84"/>
      <c r="E92" s="40" t="s">
        <v>5</v>
      </c>
      <c r="F92" s="28"/>
      <c r="G92" s="29">
        <f>TRUNC(SUM(G50:G91),2)</f>
        <v>2320.73</v>
      </c>
      <c r="H92" s="29"/>
      <c r="I92" s="30"/>
      <c r="J92" s="30"/>
    </row>
    <row r="93" spans="1:10" s="49" customFormat="1" ht="60">
      <c r="A93" s="41" t="s">
        <v>36</v>
      </c>
      <c r="B93" s="42" t="s">
        <v>560</v>
      </c>
      <c r="C93" s="43" t="s">
        <v>124</v>
      </c>
      <c r="D93" s="44" t="s">
        <v>10</v>
      </c>
      <c r="E93" s="45">
        <v>1</v>
      </c>
      <c r="F93" s="46">
        <f>TRUNC(G110,2)</f>
        <v>3758.08</v>
      </c>
      <c r="G93" s="47">
        <f>TRUNC(F93*1.2338,2)</f>
        <v>4636.71</v>
      </c>
      <c r="H93" s="47">
        <f>TRUNC(F93*E93,2)</f>
        <v>3758.08</v>
      </c>
      <c r="I93" s="48">
        <f>TRUNC(E93*G93,2)</f>
        <v>4636.71</v>
      </c>
      <c r="J93" s="48">
        <v>4701.41</v>
      </c>
    </row>
    <row r="94" spans="1:10" s="31" customFormat="1" ht="15">
      <c r="A94" s="27"/>
      <c r="B94" s="39" t="s">
        <v>131</v>
      </c>
      <c r="C94" s="85" t="s">
        <v>132</v>
      </c>
      <c r="D94" s="84" t="s">
        <v>2</v>
      </c>
      <c r="E94" s="40">
        <v>3.44</v>
      </c>
      <c r="F94" s="28">
        <f>TRUNC(23.5397,2)</f>
        <v>23.53</v>
      </c>
      <c r="G94" s="29">
        <f aca="true" t="shared" si="3" ref="G94:G109">TRUNC(E94*F94,2)</f>
        <v>80.94</v>
      </c>
      <c r="H94" s="29"/>
      <c r="I94" s="30"/>
      <c r="J94" s="30"/>
    </row>
    <row r="95" spans="1:10" s="31" customFormat="1" ht="15">
      <c r="A95" s="27"/>
      <c r="B95" s="39" t="s">
        <v>54</v>
      </c>
      <c r="C95" s="85" t="s">
        <v>55</v>
      </c>
      <c r="D95" s="84" t="s">
        <v>2</v>
      </c>
      <c r="E95" s="40">
        <v>25</v>
      </c>
      <c r="F95" s="28">
        <f>TRUNC(5.45,2)</f>
        <v>5.45</v>
      </c>
      <c r="G95" s="29">
        <f t="shared" si="3"/>
        <v>136.25</v>
      </c>
      <c r="H95" s="29"/>
      <c r="I95" s="30"/>
      <c r="J95" s="30"/>
    </row>
    <row r="96" spans="1:10" s="31" customFormat="1" ht="30">
      <c r="A96" s="27"/>
      <c r="B96" s="39" t="s">
        <v>52</v>
      </c>
      <c r="C96" s="85" t="s">
        <v>53</v>
      </c>
      <c r="D96" s="84" t="s">
        <v>3</v>
      </c>
      <c r="E96" s="40">
        <v>1</v>
      </c>
      <c r="F96" s="28">
        <f>TRUNC(15.94,2)</f>
        <v>15.94</v>
      </c>
      <c r="G96" s="29">
        <f t="shared" si="3"/>
        <v>15.94</v>
      </c>
      <c r="H96" s="29"/>
      <c r="I96" s="30"/>
      <c r="J96" s="30"/>
    </row>
    <row r="97" spans="1:10" s="31" customFormat="1" ht="15">
      <c r="A97" s="27"/>
      <c r="B97" s="39" t="s">
        <v>127</v>
      </c>
      <c r="C97" s="85" t="s">
        <v>128</v>
      </c>
      <c r="D97" s="84" t="s">
        <v>10</v>
      </c>
      <c r="E97" s="40">
        <v>30</v>
      </c>
      <c r="F97" s="28">
        <f>TRUNC(0.7,2)</f>
        <v>0.7</v>
      </c>
      <c r="G97" s="29">
        <f t="shared" si="3"/>
        <v>21</v>
      </c>
      <c r="H97" s="29"/>
      <c r="I97" s="30"/>
      <c r="J97" s="30"/>
    </row>
    <row r="98" spans="1:10" s="31" customFormat="1" ht="15">
      <c r="A98" s="27"/>
      <c r="B98" s="39" t="s">
        <v>129</v>
      </c>
      <c r="C98" s="85" t="s">
        <v>130</v>
      </c>
      <c r="D98" s="84" t="s">
        <v>2</v>
      </c>
      <c r="E98" s="40">
        <v>30</v>
      </c>
      <c r="F98" s="28">
        <f>TRUNC(19.91,2)</f>
        <v>19.91</v>
      </c>
      <c r="G98" s="29">
        <f t="shared" si="3"/>
        <v>597.3</v>
      </c>
      <c r="H98" s="29"/>
      <c r="I98" s="30"/>
      <c r="J98" s="30"/>
    </row>
    <row r="99" spans="1:10" s="31" customFormat="1" ht="30">
      <c r="A99" s="27"/>
      <c r="B99" s="39" t="s">
        <v>133</v>
      </c>
      <c r="C99" s="85" t="s">
        <v>134</v>
      </c>
      <c r="D99" s="84" t="s">
        <v>10</v>
      </c>
      <c r="E99" s="40">
        <v>1</v>
      </c>
      <c r="F99" s="28">
        <f>TRUNC(380,2)</f>
        <v>380</v>
      </c>
      <c r="G99" s="29">
        <f t="shared" si="3"/>
        <v>380</v>
      </c>
      <c r="H99" s="29"/>
      <c r="I99" s="30"/>
      <c r="J99" s="30"/>
    </row>
    <row r="100" spans="1:10" s="31" customFormat="1" ht="30">
      <c r="A100" s="27"/>
      <c r="B100" s="39" t="s">
        <v>125</v>
      </c>
      <c r="C100" s="85" t="s">
        <v>126</v>
      </c>
      <c r="D100" s="84" t="s">
        <v>10</v>
      </c>
      <c r="E100" s="40">
        <v>1</v>
      </c>
      <c r="F100" s="28">
        <f>TRUNC(21,2)</f>
        <v>21</v>
      </c>
      <c r="G100" s="29">
        <f t="shared" si="3"/>
        <v>21</v>
      </c>
      <c r="H100" s="29"/>
      <c r="I100" s="30"/>
      <c r="J100" s="30"/>
    </row>
    <row r="101" spans="1:10" s="31" customFormat="1" ht="30">
      <c r="A101" s="27"/>
      <c r="B101" s="39" t="s">
        <v>74</v>
      </c>
      <c r="C101" s="85" t="s">
        <v>75</v>
      </c>
      <c r="D101" s="84" t="s">
        <v>10</v>
      </c>
      <c r="E101" s="40">
        <v>1</v>
      </c>
      <c r="F101" s="28">
        <f>TRUNC(21.19,2)</f>
        <v>21.19</v>
      </c>
      <c r="G101" s="29">
        <f t="shared" si="3"/>
        <v>21.19</v>
      </c>
      <c r="H101" s="29"/>
      <c r="I101" s="30"/>
      <c r="J101" s="30"/>
    </row>
    <row r="102" spans="1:10" s="31" customFormat="1" ht="30">
      <c r="A102" s="27"/>
      <c r="B102" s="39" t="s">
        <v>537</v>
      </c>
      <c r="C102" s="85" t="s">
        <v>538</v>
      </c>
      <c r="D102" s="84" t="s">
        <v>4</v>
      </c>
      <c r="E102" s="40">
        <v>8.24</v>
      </c>
      <c r="F102" s="28">
        <f>TRUNC(24.61,2)</f>
        <v>24.61</v>
      </c>
      <c r="G102" s="29">
        <f t="shared" si="3"/>
        <v>202.78</v>
      </c>
      <c r="H102" s="29"/>
      <c r="I102" s="30"/>
      <c r="J102" s="30"/>
    </row>
    <row r="103" spans="1:10" s="31" customFormat="1" ht="15">
      <c r="A103" s="27"/>
      <c r="B103" s="39" t="s">
        <v>34</v>
      </c>
      <c r="C103" s="85" t="s">
        <v>35</v>
      </c>
      <c r="D103" s="84" t="s">
        <v>4</v>
      </c>
      <c r="E103" s="40">
        <v>8.24</v>
      </c>
      <c r="F103" s="28">
        <f>TRUNC(22.86,2)</f>
        <v>22.86</v>
      </c>
      <c r="G103" s="29">
        <f t="shared" si="3"/>
        <v>188.36</v>
      </c>
      <c r="H103" s="29"/>
      <c r="I103" s="30"/>
      <c r="J103" s="30"/>
    </row>
    <row r="104" spans="1:10" s="31" customFormat="1" ht="30">
      <c r="A104" s="27"/>
      <c r="B104" s="39" t="s">
        <v>550</v>
      </c>
      <c r="C104" s="85" t="s">
        <v>551</v>
      </c>
      <c r="D104" s="84" t="s">
        <v>4</v>
      </c>
      <c r="E104" s="40">
        <v>11.33</v>
      </c>
      <c r="F104" s="28">
        <f>TRUNC(22.86,2)</f>
        <v>22.86</v>
      </c>
      <c r="G104" s="29">
        <f t="shared" si="3"/>
        <v>259</v>
      </c>
      <c r="H104" s="29"/>
      <c r="I104" s="30"/>
      <c r="J104" s="30"/>
    </row>
    <row r="105" spans="1:10" s="31" customFormat="1" ht="30">
      <c r="A105" s="27"/>
      <c r="B105" s="39" t="s">
        <v>32</v>
      </c>
      <c r="C105" s="85" t="s">
        <v>33</v>
      </c>
      <c r="D105" s="84" t="s">
        <v>4</v>
      </c>
      <c r="E105" s="40">
        <v>8.24</v>
      </c>
      <c r="F105" s="28">
        <f>TRUNC(16.55,2)</f>
        <v>16.55</v>
      </c>
      <c r="G105" s="29">
        <f t="shared" si="3"/>
        <v>136.37</v>
      </c>
      <c r="H105" s="29"/>
      <c r="I105" s="30"/>
      <c r="J105" s="30"/>
    </row>
    <row r="106" spans="1:10" s="31" customFormat="1" ht="30">
      <c r="A106" s="27"/>
      <c r="B106" s="39" t="s">
        <v>135</v>
      </c>
      <c r="C106" s="85" t="s">
        <v>136</v>
      </c>
      <c r="D106" s="84" t="s">
        <v>10</v>
      </c>
      <c r="E106" s="40">
        <v>1</v>
      </c>
      <c r="F106" s="28">
        <f>TRUNC(896.94,2)</f>
        <v>896.94</v>
      </c>
      <c r="G106" s="29">
        <f t="shared" si="3"/>
        <v>896.94</v>
      </c>
      <c r="H106" s="29"/>
      <c r="I106" s="30"/>
      <c r="J106" s="30"/>
    </row>
    <row r="107" spans="1:10" s="31" customFormat="1" ht="15">
      <c r="A107" s="27"/>
      <c r="B107" s="39" t="s">
        <v>561</v>
      </c>
      <c r="C107" s="85" t="s">
        <v>562</v>
      </c>
      <c r="D107" s="84" t="s">
        <v>10</v>
      </c>
      <c r="E107" s="40">
        <v>1</v>
      </c>
      <c r="F107" s="28">
        <f>TRUNC(557.2932,2)</f>
        <v>557.29</v>
      </c>
      <c r="G107" s="29">
        <f t="shared" si="3"/>
        <v>557.29</v>
      </c>
      <c r="H107" s="29"/>
      <c r="I107" s="30"/>
      <c r="J107" s="30"/>
    </row>
    <row r="108" spans="1:10" s="31" customFormat="1" ht="15">
      <c r="A108" s="27"/>
      <c r="B108" s="39" t="s">
        <v>563</v>
      </c>
      <c r="C108" s="85" t="s">
        <v>564</v>
      </c>
      <c r="D108" s="84" t="s">
        <v>1</v>
      </c>
      <c r="E108" s="40">
        <v>0.018</v>
      </c>
      <c r="F108" s="28">
        <f>TRUNC(366.9965,2)</f>
        <v>366.99</v>
      </c>
      <c r="G108" s="29">
        <f t="shared" si="3"/>
        <v>6.6</v>
      </c>
      <c r="H108" s="29"/>
      <c r="I108" s="30"/>
      <c r="J108" s="30"/>
    </row>
    <row r="109" spans="1:10" s="31" customFormat="1" ht="15">
      <c r="A109" s="27"/>
      <c r="B109" s="39" t="s">
        <v>547</v>
      </c>
      <c r="C109" s="85" t="s">
        <v>548</v>
      </c>
      <c r="D109" s="84" t="s">
        <v>0</v>
      </c>
      <c r="E109" s="40">
        <v>8</v>
      </c>
      <c r="F109" s="28">
        <f>TRUNC(29.6403,2)</f>
        <v>29.64</v>
      </c>
      <c r="G109" s="29">
        <f t="shared" si="3"/>
        <v>237.12</v>
      </c>
      <c r="H109" s="29"/>
      <c r="I109" s="30"/>
      <c r="J109" s="30"/>
    </row>
    <row r="110" spans="1:10" s="31" customFormat="1" ht="15">
      <c r="A110" s="27"/>
      <c r="B110" s="39"/>
      <c r="C110" s="85"/>
      <c r="D110" s="84"/>
      <c r="E110" s="40" t="s">
        <v>5</v>
      </c>
      <c r="F110" s="28"/>
      <c r="G110" s="29">
        <f>TRUNC(SUM(G94:G109),2)</f>
        <v>3758.08</v>
      </c>
      <c r="H110" s="29"/>
      <c r="I110" s="30"/>
      <c r="J110" s="30"/>
    </row>
    <row r="111" spans="1:10" s="14" customFormat="1" ht="15.75">
      <c r="A111" s="23" t="s">
        <v>23</v>
      </c>
      <c r="B111" s="25"/>
      <c r="C111" s="24"/>
      <c r="D111" s="25"/>
      <c r="E111" s="25"/>
      <c r="F111" s="25"/>
      <c r="G111" s="25" t="s">
        <v>24</v>
      </c>
      <c r="H111" s="26">
        <f>H93+H49+H30+H23+H13</f>
        <v>22832.07</v>
      </c>
      <c r="I111" s="26">
        <f>I93+I49+I30+I23+I13</f>
        <v>28167.09</v>
      </c>
      <c r="J111" s="26">
        <v>27778.12</v>
      </c>
    </row>
    <row r="112" spans="1:10" s="13" customFormat="1" ht="15.75">
      <c r="A112" s="13" t="s">
        <v>253</v>
      </c>
      <c r="B112" s="21"/>
      <c r="C112" s="22" t="s">
        <v>140</v>
      </c>
      <c r="D112" s="22"/>
      <c r="E112" s="22"/>
      <c r="F112" s="22"/>
      <c r="G112" s="22"/>
      <c r="H112" s="22"/>
      <c r="I112" s="20"/>
      <c r="J112" s="20"/>
    </row>
    <row r="113" spans="1:10" s="49" customFormat="1" ht="45">
      <c r="A113" s="41" t="s">
        <v>254</v>
      </c>
      <c r="B113" s="42" t="s">
        <v>565</v>
      </c>
      <c r="C113" s="43" t="s">
        <v>170</v>
      </c>
      <c r="D113" s="44" t="s">
        <v>0</v>
      </c>
      <c r="E113" s="45">
        <v>986.12</v>
      </c>
      <c r="F113" s="46">
        <f>TRUNC(G120,2)</f>
        <v>3.11</v>
      </c>
      <c r="G113" s="47">
        <f>TRUNC(F113*1.2338,2)</f>
        <v>3.83</v>
      </c>
      <c r="H113" s="47">
        <f>TRUNC(F113*E113,2)</f>
        <v>3066.83</v>
      </c>
      <c r="I113" s="48">
        <f>TRUNC(E113*G113,2)</f>
        <v>3776.83</v>
      </c>
      <c r="J113" s="48">
        <v>3599.33</v>
      </c>
    </row>
    <row r="114" spans="1:10" s="31" customFormat="1" ht="30">
      <c r="A114" s="27"/>
      <c r="B114" s="39" t="s">
        <v>52</v>
      </c>
      <c r="C114" s="85" t="s">
        <v>53</v>
      </c>
      <c r="D114" s="84" t="s">
        <v>3</v>
      </c>
      <c r="E114" s="40">
        <v>0.002</v>
      </c>
      <c r="F114" s="28">
        <f>TRUNC(15.94,2)</f>
        <v>15.94</v>
      </c>
      <c r="G114" s="29">
        <f aca="true" t="shared" si="4" ref="G114:G119">TRUNC(E114*F114,2)</f>
        <v>0.03</v>
      </c>
      <c r="H114" s="29"/>
      <c r="I114" s="30"/>
      <c r="J114" s="30"/>
    </row>
    <row r="115" spans="1:10" s="31" customFormat="1" ht="15">
      <c r="A115" s="27"/>
      <c r="B115" s="39" t="s">
        <v>54</v>
      </c>
      <c r="C115" s="85" t="s">
        <v>55</v>
      </c>
      <c r="D115" s="84" t="s">
        <v>2</v>
      </c>
      <c r="E115" s="40">
        <v>0.05</v>
      </c>
      <c r="F115" s="28">
        <f>TRUNC(5.45,2)</f>
        <v>5.45</v>
      </c>
      <c r="G115" s="29">
        <f t="shared" si="4"/>
        <v>0.27</v>
      </c>
      <c r="H115" s="29"/>
      <c r="I115" s="30"/>
      <c r="J115" s="30"/>
    </row>
    <row r="116" spans="1:10" s="31" customFormat="1" ht="15">
      <c r="A116" s="27"/>
      <c r="B116" s="39" t="s">
        <v>153</v>
      </c>
      <c r="C116" s="85" t="s">
        <v>154</v>
      </c>
      <c r="D116" s="84" t="s">
        <v>2</v>
      </c>
      <c r="E116" s="40">
        <v>0.07</v>
      </c>
      <c r="F116" s="28">
        <f>TRUNC(9.23,2)</f>
        <v>9.23</v>
      </c>
      <c r="G116" s="29">
        <f t="shared" si="4"/>
        <v>0.64</v>
      </c>
      <c r="H116" s="29"/>
      <c r="I116" s="30"/>
      <c r="J116" s="30"/>
    </row>
    <row r="117" spans="1:10" s="31" customFormat="1" ht="15">
      <c r="A117" s="27"/>
      <c r="B117" s="39" t="s">
        <v>171</v>
      </c>
      <c r="C117" s="85" t="s">
        <v>172</v>
      </c>
      <c r="D117" s="84" t="s">
        <v>3</v>
      </c>
      <c r="E117" s="40">
        <v>0.004</v>
      </c>
      <c r="F117" s="28">
        <f>TRUNC(11.9,2)</f>
        <v>11.9</v>
      </c>
      <c r="G117" s="29">
        <f t="shared" si="4"/>
        <v>0.04</v>
      </c>
      <c r="H117" s="29"/>
      <c r="I117" s="30"/>
      <c r="J117" s="30"/>
    </row>
    <row r="118" spans="1:10" s="31" customFormat="1" ht="30">
      <c r="A118" s="27"/>
      <c r="B118" s="39" t="s">
        <v>32</v>
      </c>
      <c r="C118" s="85" t="s">
        <v>33</v>
      </c>
      <c r="D118" s="84" t="s">
        <v>4</v>
      </c>
      <c r="E118" s="40">
        <v>0.07210000000000001</v>
      </c>
      <c r="F118" s="28">
        <f>TRUNC(16.55,2)</f>
        <v>16.55</v>
      </c>
      <c r="G118" s="29">
        <f t="shared" si="4"/>
        <v>1.19</v>
      </c>
      <c r="H118" s="29"/>
      <c r="I118" s="30"/>
      <c r="J118" s="30"/>
    </row>
    <row r="119" spans="1:10" s="31" customFormat="1" ht="30">
      <c r="A119" s="27"/>
      <c r="B119" s="39" t="s">
        <v>566</v>
      </c>
      <c r="C119" s="85" t="s">
        <v>567</v>
      </c>
      <c r="D119" s="84" t="s">
        <v>4</v>
      </c>
      <c r="E119" s="40">
        <v>0.0412</v>
      </c>
      <c r="F119" s="28">
        <f>TRUNC(22.86,2)</f>
        <v>22.86</v>
      </c>
      <c r="G119" s="29">
        <f t="shared" si="4"/>
        <v>0.94</v>
      </c>
      <c r="H119" s="29"/>
      <c r="I119" s="30"/>
      <c r="J119" s="30"/>
    </row>
    <row r="120" spans="1:10" s="31" customFormat="1" ht="15">
      <c r="A120" s="27"/>
      <c r="B120" s="39"/>
      <c r="C120" s="85"/>
      <c r="D120" s="84"/>
      <c r="E120" s="40" t="s">
        <v>5</v>
      </c>
      <c r="F120" s="28"/>
      <c r="G120" s="29">
        <f>TRUNC(SUM(G114:G119),2)</f>
        <v>3.11</v>
      </c>
      <c r="H120" s="29"/>
      <c r="I120" s="30"/>
      <c r="J120" s="30"/>
    </row>
    <row r="121" spans="1:10" s="49" customFormat="1" ht="30">
      <c r="A121" s="41" t="s">
        <v>255</v>
      </c>
      <c r="B121" s="42" t="s">
        <v>568</v>
      </c>
      <c r="C121" s="43" t="s">
        <v>175</v>
      </c>
      <c r="D121" s="44" t="s">
        <v>1</v>
      </c>
      <c r="E121" s="45">
        <v>353.61</v>
      </c>
      <c r="F121" s="46">
        <f>TRUNC(G125,2)</f>
        <v>2.93</v>
      </c>
      <c r="G121" s="47">
        <f>TRUNC(F121*1.2338,2)</f>
        <v>3.61</v>
      </c>
      <c r="H121" s="47">
        <f>TRUNC(F121*E121,2)</f>
        <v>1036.07</v>
      </c>
      <c r="I121" s="48">
        <f>TRUNC(E121*G121,2)</f>
        <v>1276.53</v>
      </c>
      <c r="J121" s="48">
        <v>1290.67</v>
      </c>
    </row>
    <row r="122" spans="1:10" s="31" customFormat="1" ht="15">
      <c r="A122" s="27"/>
      <c r="B122" s="39" t="s">
        <v>41</v>
      </c>
      <c r="C122" s="85" t="s">
        <v>31</v>
      </c>
      <c r="D122" s="84" t="s">
        <v>4</v>
      </c>
      <c r="E122" s="65">
        <v>0.0192</v>
      </c>
      <c r="F122" s="28">
        <f>TRUNC(23.42,2)</f>
        <v>23.42</v>
      </c>
      <c r="G122" s="29">
        <f>TRUNC(E122*F122,2)</f>
        <v>0.44</v>
      </c>
      <c r="H122" s="29"/>
      <c r="I122" s="30"/>
      <c r="J122" s="30"/>
    </row>
    <row r="123" spans="1:10" s="31" customFormat="1" ht="30">
      <c r="A123" s="27"/>
      <c r="B123" s="64" t="s">
        <v>569</v>
      </c>
      <c r="C123" s="85" t="s">
        <v>173</v>
      </c>
      <c r="D123" s="84" t="s">
        <v>22</v>
      </c>
      <c r="E123" s="65">
        <v>0.0134</v>
      </c>
      <c r="F123" s="28">
        <f>TRUNC(156.42,2)</f>
        <v>156.42</v>
      </c>
      <c r="G123" s="29">
        <f>TRUNC(E123*F123,2)</f>
        <v>2.09</v>
      </c>
      <c r="H123" s="29"/>
      <c r="I123" s="30"/>
      <c r="J123" s="30"/>
    </row>
    <row r="124" spans="1:10" s="31" customFormat="1" ht="30">
      <c r="A124" s="27"/>
      <c r="B124" s="64" t="s">
        <v>570</v>
      </c>
      <c r="C124" s="85" t="s">
        <v>174</v>
      </c>
      <c r="D124" s="84" t="s">
        <v>37</v>
      </c>
      <c r="E124" s="65">
        <v>0.0058</v>
      </c>
      <c r="F124" s="28">
        <f>TRUNC(69.69,2)</f>
        <v>69.69</v>
      </c>
      <c r="G124" s="29">
        <f>TRUNC(E124*F124,2)</f>
        <v>0.4</v>
      </c>
      <c r="H124" s="29"/>
      <c r="I124" s="30"/>
      <c r="J124" s="30"/>
    </row>
    <row r="125" spans="1:10" s="31" customFormat="1" ht="15">
      <c r="A125" s="27"/>
      <c r="B125" s="39"/>
      <c r="C125" s="85"/>
      <c r="D125" s="84"/>
      <c r="E125" s="40" t="s">
        <v>5</v>
      </c>
      <c r="F125" s="28"/>
      <c r="G125" s="29">
        <f>TRUNC(SUM(G122:G124),2)</f>
        <v>2.93</v>
      </c>
      <c r="H125" s="29"/>
      <c r="I125" s="30"/>
      <c r="J125" s="30"/>
    </row>
    <row r="126" spans="1:10" s="49" customFormat="1" ht="45">
      <c r="A126" s="41" t="s">
        <v>256</v>
      </c>
      <c r="B126" s="42" t="s">
        <v>571</v>
      </c>
      <c r="C126" s="43" t="s">
        <v>141</v>
      </c>
      <c r="D126" s="44" t="s">
        <v>1</v>
      </c>
      <c r="E126" s="45">
        <v>49.49</v>
      </c>
      <c r="F126" s="46">
        <f>TRUNC(G128,2)</f>
        <v>57.95</v>
      </c>
      <c r="G126" s="47">
        <f>TRUNC(F126*1.2338,2)</f>
        <v>71.49</v>
      </c>
      <c r="H126" s="47">
        <f>TRUNC(F126*E126,2)</f>
        <v>2867.94</v>
      </c>
      <c r="I126" s="48">
        <f>TRUNC(E126*G126,2)</f>
        <v>3538.04</v>
      </c>
      <c r="J126" s="48">
        <v>3224.27</v>
      </c>
    </row>
    <row r="127" spans="1:10" s="31" customFormat="1" ht="30">
      <c r="A127" s="27"/>
      <c r="B127" s="39" t="s">
        <v>32</v>
      </c>
      <c r="C127" s="85" t="s">
        <v>33</v>
      </c>
      <c r="D127" s="84" t="s">
        <v>4</v>
      </c>
      <c r="E127" s="40">
        <v>3.502</v>
      </c>
      <c r="F127" s="28">
        <f>TRUNC(16.55,2)</f>
        <v>16.55</v>
      </c>
      <c r="G127" s="29">
        <f>TRUNC(E127*F127,2)</f>
        <v>57.95</v>
      </c>
      <c r="H127" s="29"/>
      <c r="I127" s="30"/>
      <c r="J127" s="30"/>
    </row>
    <row r="128" spans="1:10" s="31" customFormat="1" ht="15">
      <c r="A128" s="27"/>
      <c r="B128" s="39"/>
      <c r="C128" s="85"/>
      <c r="D128" s="84"/>
      <c r="E128" s="40" t="s">
        <v>5</v>
      </c>
      <c r="F128" s="28"/>
      <c r="G128" s="29">
        <f>TRUNC(SUM(G127:G127),2)</f>
        <v>57.95</v>
      </c>
      <c r="H128" s="29"/>
      <c r="I128" s="30"/>
      <c r="J128" s="30"/>
    </row>
    <row r="129" spans="1:10" s="49" customFormat="1" ht="45">
      <c r="A129" s="41" t="s">
        <v>257</v>
      </c>
      <c r="B129" s="42" t="s">
        <v>572</v>
      </c>
      <c r="C129" s="43" t="s">
        <v>176</v>
      </c>
      <c r="D129" s="44" t="s">
        <v>1</v>
      </c>
      <c r="E129" s="45">
        <v>94.65</v>
      </c>
      <c r="F129" s="46">
        <f>TRUNC(G134,2)</f>
        <v>22.66</v>
      </c>
      <c r="G129" s="47">
        <f>TRUNC(F129*1.2338,2)</f>
        <v>27.95</v>
      </c>
      <c r="H129" s="47">
        <f>TRUNC(F129*E129,2)</f>
        <v>2144.76</v>
      </c>
      <c r="I129" s="48">
        <f>TRUNC(E129*G129,2)</f>
        <v>2645.46</v>
      </c>
      <c r="J129" s="48">
        <v>2426.82</v>
      </c>
    </row>
    <row r="130" spans="1:10" s="31" customFormat="1" ht="30">
      <c r="A130" s="27"/>
      <c r="B130" s="39" t="s">
        <v>32</v>
      </c>
      <c r="C130" s="85" t="s">
        <v>33</v>
      </c>
      <c r="D130" s="84" t="s">
        <v>4</v>
      </c>
      <c r="E130" s="40">
        <v>1.09901</v>
      </c>
      <c r="F130" s="28">
        <f>TRUNC(16.55,2)</f>
        <v>16.55</v>
      </c>
      <c r="G130" s="29">
        <f>TRUNC(E130*F130,2)</f>
        <v>18.18</v>
      </c>
      <c r="H130" s="29"/>
      <c r="I130" s="30"/>
      <c r="J130" s="30"/>
    </row>
    <row r="131" spans="1:10" s="31" customFormat="1" ht="30">
      <c r="A131" s="27"/>
      <c r="B131" s="39" t="s">
        <v>573</v>
      </c>
      <c r="C131" s="85" t="s">
        <v>574</v>
      </c>
      <c r="D131" s="84" t="s">
        <v>4</v>
      </c>
      <c r="E131" s="40">
        <v>0.13699</v>
      </c>
      <c r="F131" s="28">
        <f>TRUNC(25.68,2)</f>
        <v>25.68</v>
      </c>
      <c r="G131" s="29">
        <f>TRUNC(E131*F131,2)</f>
        <v>3.51</v>
      </c>
      <c r="H131" s="29"/>
      <c r="I131" s="30"/>
      <c r="J131" s="30"/>
    </row>
    <row r="132" spans="1:10" s="31" customFormat="1" ht="15">
      <c r="A132" s="27"/>
      <c r="B132" s="39" t="s">
        <v>575</v>
      </c>
      <c r="C132" s="85" t="s">
        <v>576</v>
      </c>
      <c r="D132" s="84" t="s">
        <v>4</v>
      </c>
      <c r="E132" s="40">
        <v>0.033</v>
      </c>
      <c r="F132" s="28">
        <f>TRUNC(2.083,2)</f>
        <v>2.08</v>
      </c>
      <c r="G132" s="29">
        <f>TRUNC(E132*F132,2)</f>
        <v>0.06</v>
      </c>
      <c r="H132" s="29"/>
      <c r="I132" s="30"/>
      <c r="J132" s="30"/>
    </row>
    <row r="133" spans="1:10" s="31" customFormat="1" ht="15">
      <c r="A133" s="27"/>
      <c r="B133" s="39" t="s">
        <v>577</v>
      </c>
      <c r="C133" s="85" t="s">
        <v>578</v>
      </c>
      <c r="D133" s="84" t="s">
        <v>4</v>
      </c>
      <c r="E133" s="40">
        <v>0.1</v>
      </c>
      <c r="F133" s="28">
        <f>TRUNC(9.1513,2)</f>
        <v>9.15</v>
      </c>
      <c r="G133" s="29">
        <f>TRUNC(E133*F133,2)</f>
        <v>0.91</v>
      </c>
      <c r="H133" s="29"/>
      <c r="I133" s="30"/>
      <c r="J133" s="30"/>
    </row>
    <row r="134" spans="1:10" s="31" customFormat="1" ht="15">
      <c r="A134" s="27"/>
      <c r="B134" s="39"/>
      <c r="C134" s="85"/>
      <c r="D134" s="84"/>
      <c r="E134" s="40" t="s">
        <v>5</v>
      </c>
      <c r="F134" s="28"/>
      <c r="G134" s="29">
        <f>TRUNC(SUM(G130:G133),2)</f>
        <v>22.66</v>
      </c>
      <c r="H134" s="29"/>
      <c r="I134" s="30"/>
      <c r="J134" s="30"/>
    </row>
    <row r="135" spans="1:10" s="49" customFormat="1" ht="45">
      <c r="A135" s="41" t="s">
        <v>258</v>
      </c>
      <c r="B135" s="42" t="s">
        <v>579</v>
      </c>
      <c r="C135" s="43" t="s">
        <v>177</v>
      </c>
      <c r="D135" s="44" t="s">
        <v>1</v>
      </c>
      <c r="E135" s="45">
        <v>429.38</v>
      </c>
      <c r="F135" s="46">
        <f>TRUNC(G139,2)</f>
        <v>1.97</v>
      </c>
      <c r="G135" s="47">
        <f>TRUNC(F135*1.2338,2)</f>
        <v>2.43</v>
      </c>
      <c r="H135" s="47">
        <f>TRUNC(F135*E135,2)</f>
        <v>845.87</v>
      </c>
      <c r="I135" s="48">
        <f>TRUNC(E135*G135,2)</f>
        <v>1043.39</v>
      </c>
      <c r="J135" s="48">
        <v>1060.56</v>
      </c>
    </row>
    <row r="136" spans="1:10" s="31" customFormat="1" ht="15">
      <c r="A136" s="27"/>
      <c r="B136" s="39" t="s">
        <v>41</v>
      </c>
      <c r="C136" s="85" t="s">
        <v>31</v>
      </c>
      <c r="D136" s="84" t="s">
        <v>4</v>
      </c>
      <c r="E136" s="40">
        <v>0.008</v>
      </c>
      <c r="F136" s="28">
        <f>TRUNC(23.42,2)</f>
        <v>23.42</v>
      </c>
      <c r="G136" s="29">
        <f>TRUNC(E136*F136,2)</f>
        <v>0.18</v>
      </c>
      <c r="H136" s="29"/>
      <c r="I136" s="30"/>
      <c r="J136" s="30"/>
    </row>
    <row r="137" spans="1:10" s="31" customFormat="1" ht="30">
      <c r="A137" s="27"/>
      <c r="B137" s="39" t="s">
        <v>580</v>
      </c>
      <c r="C137" s="85" t="s">
        <v>179</v>
      </c>
      <c r="D137" s="84" t="s">
        <v>22</v>
      </c>
      <c r="E137" s="40">
        <v>0.008</v>
      </c>
      <c r="F137" s="28">
        <f>TRUNC(166.96,2)</f>
        <v>166.96</v>
      </c>
      <c r="G137" s="29">
        <f>TRUNC(E137*F137,2)</f>
        <v>1.33</v>
      </c>
      <c r="H137" s="29"/>
      <c r="I137" s="30"/>
      <c r="J137" s="30"/>
    </row>
    <row r="138" spans="1:10" s="31" customFormat="1" ht="45">
      <c r="A138" s="27"/>
      <c r="B138" s="39" t="s">
        <v>581</v>
      </c>
      <c r="C138" s="85" t="s">
        <v>178</v>
      </c>
      <c r="D138" s="84" t="s">
        <v>22</v>
      </c>
      <c r="E138" s="40">
        <v>0.003</v>
      </c>
      <c r="F138" s="28">
        <f>TRUNC(155.67,2)</f>
        <v>155.67</v>
      </c>
      <c r="G138" s="29">
        <f>TRUNC(E138*F138,2)</f>
        <v>0.46</v>
      </c>
      <c r="H138" s="29"/>
      <c r="I138" s="30"/>
      <c r="J138" s="30"/>
    </row>
    <row r="139" spans="1:10" s="31" customFormat="1" ht="15">
      <c r="A139" s="27"/>
      <c r="B139" s="39"/>
      <c r="C139" s="85"/>
      <c r="D139" s="84"/>
      <c r="E139" s="40" t="s">
        <v>5</v>
      </c>
      <c r="F139" s="28"/>
      <c r="G139" s="29">
        <f>TRUNC(SUM(G136:G138),2)</f>
        <v>1.97</v>
      </c>
      <c r="H139" s="29"/>
      <c r="I139" s="30"/>
      <c r="J139" s="30"/>
    </row>
    <row r="140" spans="1:10" s="49" customFormat="1" ht="30">
      <c r="A140" s="41" t="s">
        <v>259</v>
      </c>
      <c r="B140" s="42" t="s">
        <v>582</v>
      </c>
      <c r="C140" s="43" t="s">
        <v>180</v>
      </c>
      <c r="D140" s="44" t="s">
        <v>181</v>
      </c>
      <c r="E140" s="45">
        <v>5710.75</v>
      </c>
      <c r="F140" s="46">
        <f>TRUNC(G143,2)</f>
        <v>2.2</v>
      </c>
      <c r="G140" s="47">
        <f>TRUNC(F140*1.2338,2)</f>
        <v>2.71</v>
      </c>
      <c r="H140" s="47">
        <f>TRUNC(F140*E140,2)</f>
        <v>12563.65</v>
      </c>
      <c r="I140" s="48">
        <f>TRUNC(E140*G140,2)</f>
        <v>15476.13</v>
      </c>
      <c r="J140" s="48">
        <v>15761.67</v>
      </c>
    </row>
    <row r="141" spans="1:10" s="31" customFormat="1" ht="45">
      <c r="A141" s="27"/>
      <c r="B141" s="39" t="s">
        <v>42</v>
      </c>
      <c r="C141" s="85" t="s">
        <v>43</v>
      </c>
      <c r="D141" s="84" t="s">
        <v>37</v>
      </c>
      <c r="E141" s="40">
        <v>0.006</v>
      </c>
      <c r="F141" s="28">
        <f>TRUNC(47.66,2)</f>
        <v>47.66</v>
      </c>
      <c r="G141" s="29">
        <f>TRUNC(E141*F141,2)</f>
        <v>0.28</v>
      </c>
      <c r="H141" s="29"/>
      <c r="I141" s="30"/>
      <c r="J141" s="30"/>
    </row>
    <row r="142" spans="1:10" s="31" customFormat="1" ht="45">
      <c r="A142" s="27"/>
      <c r="B142" s="39" t="s">
        <v>44</v>
      </c>
      <c r="C142" s="85" t="s">
        <v>45</v>
      </c>
      <c r="D142" s="84" t="s">
        <v>22</v>
      </c>
      <c r="E142" s="40">
        <v>0.0139</v>
      </c>
      <c r="F142" s="28">
        <f>TRUNC(138.3,2)</f>
        <v>138.3</v>
      </c>
      <c r="G142" s="29">
        <f>TRUNC(E142*F142,2)</f>
        <v>1.92</v>
      </c>
      <c r="H142" s="29"/>
      <c r="I142" s="30"/>
      <c r="J142" s="30"/>
    </row>
    <row r="143" spans="1:10" s="31" customFormat="1" ht="15">
      <c r="A143" s="27"/>
      <c r="B143" s="39"/>
      <c r="C143" s="85"/>
      <c r="D143" s="84"/>
      <c r="E143" s="40" t="s">
        <v>5</v>
      </c>
      <c r="F143" s="28"/>
      <c r="G143" s="29">
        <f>TRUNC(SUM(G141:G142),2)</f>
        <v>2.2</v>
      </c>
      <c r="H143" s="29"/>
      <c r="I143" s="30"/>
      <c r="J143" s="30"/>
    </row>
    <row r="144" spans="1:10" s="49" customFormat="1" ht="15">
      <c r="A144" s="41" t="s">
        <v>485</v>
      </c>
      <c r="B144" s="42" t="s">
        <v>583</v>
      </c>
      <c r="C144" s="43" t="s">
        <v>182</v>
      </c>
      <c r="D144" s="44" t="s">
        <v>1</v>
      </c>
      <c r="E144" s="45">
        <v>429.38</v>
      </c>
      <c r="F144" s="46">
        <f>TRUNC(G148,2)</f>
        <v>1.28</v>
      </c>
      <c r="G144" s="47">
        <f>TRUNC(F144*1.2338,2)</f>
        <v>1.57</v>
      </c>
      <c r="H144" s="47">
        <f>TRUNC(F144*E144,2)</f>
        <v>549.6</v>
      </c>
      <c r="I144" s="48">
        <f>TRUNC(E144*G144,2)</f>
        <v>674.12</v>
      </c>
      <c r="J144" s="48">
        <v>678.42</v>
      </c>
    </row>
    <row r="145" spans="1:10" s="31" customFormat="1" ht="15">
      <c r="A145" s="27"/>
      <c r="B145" s="39" t="s">
        <v>41</v>
      </c>
      <c r="C145" s="85" t="s">
        <v>31</v>
      </c>
      <c r="D145" s="84" t="s">
        <v>4</v>
      </c>
      <c r="E145" s="40">
        <v>0.009</v>
      </c>
      <c r="F145" s="28">
        <f>TRUNC(23.42,2)</f>
        <v>23.42</v>
      </c>
      <c r="G145" s="29">
        <f>TRUNC(E145*F145,2)</f>
        <v>0.21</v>
      </c>
      <c r="H145" s="29"/>
      <c r="I145" s="30"/>
      <c r="J145" s="30"/>
    </row>
    <row r="146" spans="1:10" s="31" customFormat="1" ht="30">
      <c r="A146" s="27"/>
      <c r="B146" s="39" t="s">
        <v>584</v>
      </c>
      <c r="C146" s="85" t="s">
        <v>585</v>
      </c>
      <c r="D146" s="84" t="s">
        <v>37</v>
      </c>
      <c r="E146" s="40">
        <v>0.006</v>
      </c>
      <c r="F146" s="28">
        <f>TRUNC(75.15,2)</f>
        <v>75.15</v>
      </c>
      <c r="G146" s="29">
        <f>TRUNC(E146*F146,2)</f>
        <v>0.45</v>
      </c>
      <c r="H146" s="29"/>
      <c r="I146" s="30"/>
      <c r="J146" s="30"/>
    </row>
    <row r="147" spans="1:10" s="31" customFormat="1" ht="30">
      <c r="A147" s="27"/>
      <c r="B147" s="39" t="s">
        <v>586</v>
      </c>
      <c r="C147" s="85" t="s">
        <v>587</v>
      </c>
      <c r="D147" s="84" t="s">
        <v>22</v>
      </c>
      <c r="E147" s="40">
        <v>0.003</v>
      </c>
      <c r="F147" s="28">
        <f>TRUNC(207.29,2)</f>
        <v>207.29</v>
      </c>
      <c r="G147" s="29">
        <f>TRUNC(E147*F147,2)</f>
        <v>0.62</v>
      </c>
      <c r="H147" s="29"/>
      <c r="I147" s="30"/>
      <c r="J147" s="30"/>
    </row>
    <row r="148" spans="1:10" s="31" customFormat="1" ht="15">
      <c r="A148" s="27"/>
      <c r="B148" s="39"/>
      <c r="C148" s="85"/>
      <c r="D148" s="84"/>
      <c r="E148" s="40" t="s">
        <v>5</v>
      </c>
      <c r="F148" s="28"/>
      <c r="G148" s="29">
        <f>TRUNC(SUM(G145:G147),2)</f>
        <v>1.28</v>
      </c>
      <c r="H148" s="29"/>
      <c r="I148" s="30"/>
      <c r="J148" s="30"/>
    </row>
    <row r="149" spans="1:10" s="14" customFormat="1" ht="15.75">
      <c r="A149" s="23" t="s">
        <v>23</v>
      </c>
      <c r="B149" s="25"/>
      <c r="C149" s="24"/>
      <c r="D149" s="25"/>
      <c r="E149" s="25"/>
      <c r="F149" s="25"/>
      <c r="G149" s="25" t="s">
        <v>24</v>
      </c>
      <c r="H149" s="26">
        <f>H144+H140+H135+H129+H126+H121+H113</f>
        <v>23074.72</v>
      </c>
      <c r="I149" s="26">
        <f>I144+I140+I135+I129+I126+I121+I113</f>
        <v>28430.5</v>
      </c>
      <c r="J149" s="26">
        <v>28041.740000000005</v>
      </c>
    </row>
    <row r="150" spans="1:10" s="13" customFormat="1" ht="15.75">
      <c r="A150" s="13" t="s">
        <v>260</v>
      </c>
      <c r="B150" s="21"/>
      <c r="C150" s="22" t="s">
        <v>486</v>
      </c>
      <c r="D150" s="22"/>
      <c r="E150" s="22"/>
      <c r="F150" s="22"/>
      <c r="G150" s="22"/>
      <c r="H150" s="22"/>
      <c r="I150" s="20"/>
      <c r="J150" s="20"/>
    </row>
    <row r="151" spans="1:10" s="49" customFormat="1" ht="30">
      <c r="A151" s="41" t="s">
        <v>261</v>
      </c>
      <c r="B151" s="42" t="s">
        <v>588</v>
      </c>
      <c r="C151" s="43" t="s">
        <v>183</v>
      </c>
      <c r="D151" s="44" t="s">
        <v>1</v>
      </c>
      <c r="E151" s="45">
        <v>16.37</v>
      </c>
      <c r="F151" s="46">
        <f>TRUNC(G154,2)</f>
        <v>232.8</v>
      </c>
      <c r="G151" s="47">
        <f>TRUNC(F151*1.2338,2)</f>
        <v>287.22</v>
      </c>
      <c r="H151" s="47">
        <f>TRUNC(F151*E151,2)</f>
        <v>3810.93</v>
      </c>
      <c r="I151" s="48">
        <f>TRUNC(E151*G151,2)</f>
        <v>4701.79</v>
      </c>
      <c r="J151" s="48">
        <v>4285.17</v>
      </c>
    </row>
    <row r="152" spans="1:10" s="31" customFormat="1" ht="30">
      <c r="A152" s="27"/>
      <c r="B152" s="39" t="s">
        <v>32</v>
      </c>
      <c r="C152" s="85" t="s">
        <v>33</v>
      </c>
      <c r="D152" s="84" t="s">
        <v>4</v>
      </c>
      <c r="E152" s="40">
        <v>12.36</v>
      </c>
      <c r="F152" s="28">
        <f>TRUNC(16.55,2)</f>
        <v>16.55</v>
      </c>
      <c r="G152" s="29">
        <f>TRUNC(E152*F152,2)</f>
        <v>204.55</v>
      </c>
      <c r="H152" s="29"/>
      <c r="I152" s="30"/>
      <c r="J152" s="30"/>
    </row>
    <row r="153" spans="1:10" s="31" customFormat="1" ht="15">
      <c r="A153" s="27"/>
      <c r="B153" s="39" t="s">
        <v>34</v>
      </c>
      <c r="C153" s="85" t="s">
        <v>35</v>
      </c>
      <c r="D153" s="84" t="s">
        <v>4</v>
      </c>
      <c r="E153" s="40">
        <v>1.236</v>
      </c>
      <c r="F153" s="28">
        <f>TRUNC(22.86,2)</f>
        <v>22.86</v>
      </c>
      <c r="G153" s="29">
        <f>TRUNC(E153*F153,2)</f>
        <v>28.25</v>
      </c>
      <c r="H153" s="29"/>
      <c r="I153" s="30"/>
      <c r="J153" s="30"/>
    </row>
    <row r="154" spans="1:10" s="31" customFormat="1" ht="15">
      <c r="A154" s="27"/>
      <c r="B154" s="39"/>
      <c r="C154" s="85"/>
      <c r="D154" s="84"/>
      <c r="E154" s="40" t="s">
        <v>5</v>
      </c>
      <c r="F154" s="28"/>
      <c r="G154" s="29">
        <f>TRUNC(SUM(G152:G153),2)</f>
        <v>232.8</v>
      </c>
      <c r="H154" s="29"/>
      <c r="I154" s="30"/>
      <c r="J154" s="30"/>
    </row>
    <row r="155" spans="1:10" s="49" customFormat="1" ht="45">
      <c r="A155" s="41" t="s">
        <v>262</v>
      </c>
      <c r="B155" s="42" t="s">
        <v>589</v>
      </c>
      <c r="C155" s="43" t="s">
        <v>184</v>
      </c>
      <c r="D155" s="44" t="s">
        <v>10</v>
      </c>
      <c r="E155" s="45">
        <v>4</v>
      </c>
      <c r="F155" s="46">
        <f>TRUNC(G157,2)</f>
        <v>141.24</v>
      </c>
      <c r="G155" s="47">
        <f>TRUNC(F155*1.2338,2)</f>
        <v>174.26</v>
      </c>
      <c r="H155" s="47">
        <f>TRUNC(F155*E155,2)</f>
        <v>564.96</v>
      </c>
      <c r="I155" s="48">
        <f>TRUNC(E155*G155,2)</f>
        <v>697.04</v>
      </c>
      <c r="J155" s="48">
        <v>635.44</v>
      </c>
    </row>
    <row r="156" spans="1:10" s="31" customFormat="1" ht="30">
      <c r="A156" s="27"/>
      <c r="B156" s="39" t="s">
        <v>590</v>
      </c>
      <c r="C156" s="85" t="s">
        <v>591</v>
      </c>
      <c r="D156" s="84" t="s">
        <v>4</v>
      </c>
      <c r="E156" s="40">
        <v>10.815</v>
      </c>
      <c r="F156" s="28">
        <f>TRUNC(13.06,2)</f>
        <v>13.06</v>
      </c>
      <c r="G156" s="29">
        <f>TRUNC(E156*F156,2)</f>
        <v>141.24</v>
      </c>
      <c r="H156" s="29"/>
      <c r="I156" s="30"/>
      <c r="J156" s="30"/>
    </row>
    <row r="157" spans="1:10" s="31" customFormat="1" ht="15">
      <c r="A157" s="27"/>
      <c r="B157" s="39"/>
      <c r="C157" s="85"/>
      <c r="D157" s="84"/>
      <c r="E157" s="40" t="s">
        <v>5</v>
      </c>
      <c r="F157" s="28"/>
      <c r="G157" s="29">
        <f>TRUNC(SUM(G156:G156),2)</f>
        <v>141.24</v>
      </c>
      <c r="H157" s="29"/>
      <c r="I157" s="30"/>
      <c r="J157" s="30"/>
    </row>
    <row r="158" spans="1:10" s="49" customFormat="1" ht="45">
      <c r="A158" s="41" t="s">
        <v>263</v>
      </c>
      <c r="B158" s="42" t="s">
        <v>592</v>
      </c>
      <c r="C158" s="43" t="s">
        <v>185</v>
      </c>
      <c r="D158" s="44" t="s">
        <v>10</v>
      </c>
      <c r="E158" s="45">
        <v>1</v>
      </c>
      <c r="F158" s="46">
        <f>TRUNC(G160,2)</f>
        <v>163.43</v>
      </c>
      <c r="G158" s="47">
        <f>TRUNC(F158*1.2338,2)</f>
        <v>201.63</v>
      </c>
      <c r="H158" s="47">
        <f>TRUNC(F158*E158,2)</f>
        <v>163.43</v>
      </c>
      <c r="I158" s="48">
        <f>TRUNC(E158*G158,2)</f>
        <v>201.63</v>
      </c>
      <c r="J158" s="48">
        <v>183.83</v>
      </c>
    </row>
    <row r="159" spans="1:10" s="31" customFormat="1" ht="30">
      <c r="A159" s="27"/>
      <c r="B159" s="39" t="s">
        <v>590</v>
      </c>
      <c r="C159" s="85" t="s">
        <v>591</v>
      </c>
      <c r="D159" s="84" t="s">
        <v>4</v>
      </c>
      <c r="E159" s="40">
        <v>12.5145</v>
      </c>
      <c r="F159" s="28">
        <f>TRUNC(13.06,2)</f>
        <v>13.06</v>
      </c>
      <c r="G159" s="29">
        <f>TRUNC(E159*F159,2)</f>
        <v>163.43</v>
      </c>
      <c r="H159" s="29"/>
      <c r="I159" s="30"/>
      <c r="J159" s="30"/>
    </row>
    <row r="160" spans="1:10" s="31" customFormat="1" ht="15">
      <c r="A160" s="27"/>
      <c r="B160" s="39"/>
      <c r="C160" s="85"/>
      <c r="D160" s="84"/>
      <c r="E160" s="40" t="s">
        <v>5</v>
      </c>
      <c r="F160" s="28"/>
      <c r="G160" s="29">
        <f>TRUNC(SUM(G159:G159),2)</f>
        <v>163.43</v>
      </c>
      <c r="H160" s="29"/>
      <c r="I160" s="30"/>
      <c r="J160" s="30"/>
    </row>
    <row r="161" spans="1:10" s="49" customFormat="1" ht="45">
      <c r="A161" s="41" t="s">
        <v>264</v>
      </c>
      <c r="B161" s="42" t="s">
        <v>593</v>
      </c>
      <c r="C161" s="43" t="s">
        <v>186</v>
      </c>
      <c r="D161" s="44" t="s">
        <v>10</v>
      </c>
      <c r="E161" s="45">
        <v>1</v>
      </c>
      <c r="F161" s="46">
        <f>TRUNC(G163,2)</f>
        <v>39.18</v>
      </c>
      <c r="G161" s="47">
        <f>TRUNC(F161*1.2338,2)</f>
        <v>48.34</v>
      </c>
      <c r="H161" s="47">
        <f>TRUNC(F161*E161,2)</f>
        <v>39.18</v>
      </c>
      <c r="I161" s="48">
        <f>TRUNC(E161*G161,2)</f>
        <v>48.34</v>
      </c>
      <c r="J161" s="48">
        <v>44.06</v>
      </c>
    </row>
    <row r="162" spans="1:10" s="31" customFormat="1" ht="30">
      <c r="A162" s="27"/>
      <c r="B162" s="39" t="s">
        <v>590</v>
      </c>
      <c r="C162" s="85" t="s">
        <v>591</v>
      </c>
      <c r="D162" s="84" t="s">
        <v>4</v>
      </c>
      <c r="E162" s="73">
        <v>3</v>
      </c>
      <c r="F162" s="28">
        <f>TRUNC(13.06,2)</f>
        <v>13.06</v>
      </c>
      <c r="G162" s="29">
        <f>TRUNC(E162*F162,2)</f>
        <v>39.18</v>
      </c>
      <c r="H162" s="29"/>
      <c r="I162" s="30"/>
      <c r="J162" s="30"/>
    </row>
    <row r="163" spans="1:10" s="31" customFormat="1" ht="15">
      <c r="A163" s="27"/>
      <c r="B163" s="39"/>
      <c r="C163" s="85"/>
      <c r="D163" s="84"/>
      <c r="E163" s="40" t="s">
        <v>5</v>
      </c>
      <c r="F163" s="28"/>
      <c r="G163" s="29">
        <f>TRUNC(SUM(G162:G162),2)</f>
        <v>39.18</v>
      </c>
      <c r="H163" s="29"/>
      <c r="I163" s="30"/>
      <c r="J163" s="30"/>
    </row>
    <row r="164" spans="1:10" s="49" customFormat="1" ht="29.25">
      <c r="A164" s="41" t="s">
        <v>265</v>
      </c>
      <c r="B164" s="42" t="s">
        <v>594</v>
      </c>
      <c r="C164" s="43" t="s">
        <v>187</v>
      </c>
      <c r="D164" s="44" t="s">
        <v>0</v>
      </c>
      <c r="E164" s="45">
        <v>1</v>
      </c>
      <c r="F164" s="46">
        <f>TRUNC(G173,2)</f>
        <v>123.48</v>
      </c>
      <c r="G164" s="47">
        <f>TRUNC(F164*1.2338,2)</f>
        <v>152.34</v>
      </c>
      <c r="H164" s="47">
        <f>TRUNC(F164*E164,2)</f>
        <v>123.48</v>
      </c>
      <c r="I164" s="48">
        <f>TRUNC(E164*G164,2)</f>
        <v>152.34</v>
      </c>
      <c r="J164" s="48">
        <v>138.86</v>
      </c>
    </row>
    <row r="165" spans="1:10" s="31" customFormat="1" ht="30">
      <c r="A165" s="27"/>
      <c r="B165" s="39" t="s">
        <v>52</v>
      </c>
      <c r="C165" s="85" t="s">
        <v>53</v>
      </c>
      <c r="D165" s="84" t="s">
        <v>3</v>
      </c>
      <c r="E165" s="40">
        <v>0</v>
      </c>
      <c r="F165" s="28">
        <f>TRUNC(15.94,2)</f>
        <v>15.94</v>
      </c>
      <c r="G165" s="29">
        <f aca="true" t="shared" si="5" ref="G165:G172">TRUNC(E165*F165,2)</f>
        <v>0</v>
      </c>
      <c r="H165" s="29"/>
      <c r="I165" s="30"/>
      <c r="J165" s="30"/>
    </row>
    <row r="166" spans="1:10" s="31" customFormat="1" ht="15">
      <c r="A166" s="27"/>
      <c r="B166" s="39" t="s">
        <v>54</v>
      </c>
      <c r="C166" s="85" t="s">
        <v>55</v>
      </c>
      <c r="D166" s="84" t="s">
        <v>2</v>
      </c>
      <c r="E166" s="40">
        <v>0</v>
      </c>
      <c r="F166" s="28">
        <f>TRUNC(5.45,2)</f>
        <v>5.45</v>
      </c>
      <c r="G166" s="29">
        <f t="shared" si="5"/>
        <v>0</v>
      </c>
      <c r="H166" s="29"/>
      <c r="I166" s="30"/>
      <c r="J166" s="30"/>
    </row>
    <row r="167" spans="1:10" s="31" customFormat="1" ht="15">
      <c r="A167" s="27"/>
      <c r="B167" s="39" t="s">
        <v>159</v>
      </c>
      <c r="C167" s="85" t="s">
        <v>160</v>
      </c>
      <c r="D167" s="84" t="s">
        <v>147</v>
      </c>
      <c r="E167" s="40">
        <v>0</v>
      </c>
      <c r="F167" s="28">
        <f>TRUNC(53.56,2)</f>
        <v>53.56</v>
      </c>
      <c r="G167" s="29">
        <f t="shared" si="5"/>
        <v>0</v>
      </c>
      <c r="H167" s="29"/>
      <c r="I167" s="30"/>
      <c r="J167" s="30"/>
    </row>
    <row r="168" spans="1:10" s="31" customFormat="1" ht="30">
      <c r="A168" s="27"/>
      <c r="B168" s="39" t="s">
        <v>161</v>
      </c>
      <c r="C168" s="85" t="s">
        <v>162</v>
      </c>
      <c r="D168" s="84" t="s">
        <v>3</v>
      </c>
      <c r="E168" s="40">
        <v>0</v>
      </c>
      <c r="F168" s="28">
        <f>TRUNC(20.0865,2)</f>
        <v>20.08</v>
      </c>
      <c r="G168" s="29">
        <f t="shared" si="5"/>
        <v>0</v>
      </c>
      <c r="H168" s="29"/>
      <c r="I168" s="30"/>
      <c r="J168" s="30"/>
    </row>
    <row r="169" spans="1:10" s="74" customFormat="1" ht="28.5">
      <c r="A169" s="77"/>
      <c r="B169" s="54" t="s">
        <v>32</v>
      </c>
      <c r="C169" s="79" t="s">
        <v>33</v>
      </c>
      <c r="D169" s="75" t="s">
        <v>4</v>
      </c>
      <c r="E169" s="73">
        <v>3</v>
      </c>
      <c r="F169" s="72">
        <f>TRUNC(16.55,2)</f>
        <v>16.55</v>
      </c>
      <c r="G169" s="52">
        <f t="shared" si="5"/>
        <v>49.65</v>
      </c>
      <c r="H169" s="52"/>
      <c r="I169" s="53"/>
      <c r="J169" s="53"/>
    </row>
    <row r="170" spans="1:10" s="74" customFormat="1" ht="28.5">
      <c r="A170" s="77"/>
      <c r="B170" s="54" t="s">
        <v>537</v>
      </c>
      <c r="C170" s="79" t="s">
        <v>538</v>
      </c>
      <c r="D170" s="75" t="s">
        <v>4</v>
      </c>
      <c r="E170" s="73">
        <v>3</v>
      </c>
      <c r="F170" s="72">
        <f>TRUNC(24.61,2)</f>
        <v>24.61</v>
      </c>
      <c r="G170" s="52">
        <f t="shared" si="5"/>
        <v>73.83</v>
      </c>
      <c r="H170" s="52"/>
      <c r="I170" s="53"/>
      <c r="J170" s="30"/>
    </row>
    <row r="171" spans="1:10" s="31" customFormat="1" ht="15">
      <c r="A171" s="27"/>
      <c r="B171" s="39" t="s">
        <v>539</v>
      </c>
      <c r="C171" s="85" t="s">
        <v>540</v>
      </c>
      <c r="D171" s="84" t="s">
        <v>4</v>
      </c>
      <c r="E171" s="40">
        <v>0</v>
      </c>
      <c r="F171" s="28">
        <f>TRUNC(22.86,2)</f>
        <v>22.86</v>
      </c>
      <c r="G171" s="29">
        <f t="shared" si="5"/>
        <v>0</v>
      </c>
      <c r="H171" s="29"/>
      <c r="I171" s="30"/>
      <c r="J171" s="53"/>
    </row>
    <row r="172" spans="1:10" s="31" customFormat="1" ht="15">
      <c r="A172" s="27"/>
      <c r="B172" s="39" t="s">
        <v>541</v>
      </c>
      <c r="C172" s="85" t="s">
        <v>542</v>
      </c>
      <c r="D172" s="84" t="s">
        <v>4</v>
      </c>
      <c r="E172" s="40">
        <v>0</v>
      </c>
      <c r="F172" s="28">
        <f>TRUNC(118.4325,2)</f>
        <v>118.43</v>
      </c>
      <c r="G172" s="29">
        <f t="shared" si="5"/>
        <v>0</v>
      </c>
      <c r="H172" s="29"/>
      <c r="I172" s="30"/>
      <c r="J172" s="30"/>
    </row>
    <row r="173" spans="1:10" s="31" customFormat="1" ht="15">
      <c r="A173" s="27"/>
      <c r="B173" s="39"/>
      <c r="C173" s="85"/>
      <c r="D173" s="84"/>
      <c r="E173" s="40" t="s">
        <v>5</v>
      </c>
      <c r="F173" s="28"/>
      <c r="G173" s="29">
        <f>TRUNC(SUM(G165:G172),2)</f>
        <v>123.48</v>
      </c>
      <c r="H173" s="29"/>
      <c r="I173" s="30"/>
      <c r="J173" s="30"/>
    </row>
    <row r="174" spans="1:10" s="49" customFormat="1" ht="29.25">
      <c r="A174" s="41" t="s">
        <v>266</v>
      </c>
      <c r="B174" s="42" t="s">
        <v>594</v>
      </c>
      <c r="C174" s="43" t="s">
        <v>188</v>
      </c>
      <c r="D174" s="44" t="s">
        <v>0</v>
      </c>
      <c r="E174" s="45">
        <v>1</v>
      </c>
      <c r="F174" s="46">
        <f>TRUNC(G187,2)</f>
        <v>441.11</v>
      </c>
      <c r="G174" s="47">
        <f>TRUNC(F174*1.2338,2)</f>
        <v>544.24</v>
      </c>
      <c r="H174" s="47">
        <f>TRUNC(F174*E174,2)</f>
        <v>441.11</v>
      </c>
      <c r="I174" s="48">
        <f>TRUNC(E174*G174,2)</f>
        <v>544.24</v>
      </c>
      <c r="J174" s="48">
        <v>506.79</v>
      </c>
    </row>
    <row r="175" spans="1:10" s="31" customFormat="1" ht="45">
      <c r="A175" s="27"/>
      <c r="B175" s="39" t="s">
        <v>536</v>
      </c>
      <c r="C175" s="85" t="s">
        <v>158</v>
      </c>
      <c r="D175" s="84" t="s">
        <v>0</v>
      </c>
      <c r="E175" s="40">
        <v>1</v>
      </c>
      <c r="F175" s="28">
        <f>TRUNC(463.4718,2)</f>
        <v>463.47</v>
      </c>
      <c r="G175" s="29">
        <f aca="true" t="shared" si="6" ref="G175:G186">TRUNC(E175*F175,2)</f>
        <v>463.47</v>
      </c>
      <c r="H175" s="29"/>
      <c r="I175" s="30"/>
      <c r="J175" s="30"/>
    </row>
    <row r="176" spans="1:10" s="31" customFormat="1" ht="30">
      <c r="A176" s="27"/>
      <c r="B176" s="39" t="s">
        <v>52</v>
      </c>
      <c r="C176" s="85" t="s">
        <v>53</v>
      </c>
      <c r="D176" s="84" t="s">
        <v>3</v>
      </c>
      <c r="E176" s="40">
        <v>0</v>
      </c>
      <c r="F176" s="28">
        <f>TRUNC(15.94,2)</f>
        <v>15.94</v>
      </c>
      <c r="G176" s="29">
        <f t="shared" si="6"/>
        <v>0</v>
      </c>
      <c r="H176" s="29"/>
      <c r="I176" s="30"/>
      <c r="J176" s="30"/>
    </row>
    <row r="177" spans="1:10" s="31" customFormat="1" ht="15">
      <c r="A177" s="27"/>
      <c r="B177" s="39" t="s">
        <v>54</v>
      </c>
      <c r="C177" s="85" t="s">
        <v>55</v>
      </c>
      <c r="D177" s="84" t="s">
        <v>2</v>
      </c>
      <c r="E177" s="40">
        <v>0</v>
      </c>
      <c r="F177" s="28">
        <f>TRUNC(5.45,2)</f>
        <v>5.45</v>
      </c>
      <c r="G177" s="29">
        <f t="shared" si="6"/>
        <v>0</v>
      </c>
      <c r="H177" s="29"/>
      <c r="I177" s="30"/>
      <c r="J177" s="30"/>
    </row>
    <row r="178" spans="1:10" s="31" customFormat="1" ht="15">
      <c r="A178" s="27"/>
      <c r="B178" s="39" t="s">
        <v>159</v>
      </c>
      <c r="C178" s="85" t="s">
        <v>160</v>
      </c>
      <c r="D178" s="84" t="s">
        <v>147</v>
      </c>
      <c r="E178" s="40">
        <v>0</v>
      </c>
      <c r="F178" s="28">
        <f>TRUNC(53.56,2)</f>
        <v>53.56</v>
      </c>
      <c r="G178" s="29">
        <f t="shared" si="6"/>
        <v>0</v>
      </c>
      <c r="H178" s="29"/>
      <c r="I178" s="30"/>
      <c r="J178" s="30"/>
    </row>
    <row r="179" spans="1:10" s="31" customFormat="1" ht="30">
      <c r="A179" s="27"/>
      <c r="B179" s="39" t="s">
        <v>161</v>
      </c>
      <c r="C179" s="85" t="s">
        <v>162</v>
      </c>
      <c r="D179" s="84" t="s">
        <v>3</v>
      </c>
      <c r="E179" s="40">
        <v>0</v>
      </c>
      <c r="F179" s="28">
        <f>TRUNC(20.0865,2)</f>
        <v>20.08</v>
      </c>
      <c r="G179" s="29">
        <f t="shared" si="6"/>
        <v>0</v>
      </c>
      <c r="H179" s="29"/>
      <c r="I179" s="30"/>
      <c r="J179" s="30"/>
    </row>
    <row r="180" spans="1:10" s="31" customFormat="1" ht="30">
      <c r="A180" s="27"/>
      <c r="B180" s="39" t="s">
        <v>32</v>
      </c>
      <c r="C180" s="85" t="s">
        <v>33</v>
      </c>
      <c r="D180" s="84" t="s">
        <v>4</v>
      </c>
      <c r="E180" s="40">
        <v>8</v>
      </c>
      <c r="F180" s="28">
        <f>TRUNC(16.55,2)</f>
        <v>16.55</v>
      </c>
      <c r="G180" s="29">
        <f t="shared" si="6"/>
        <v>132.4</v>
      </c>
      <c r="H180" s="29"/>
      <c r="I180" s="30"/>
      <c r="J180" s="30"/>
    </row>
    <row r="181" spans="1:10" s="31" customFormat="1" ht="30">
      <c r="A181" s="27"/>
      <c r="B181" s="39" t="s">
        <v>537</v>
      </c>
      <c r="C181" s="85" t="s">
        <v>538</v>
      </c>
      <c r="D181" s="84" t="s">
        <v>4</v>
      </c>
      <c r="E181" s="40">
        <v>8</v>
      </c>
      <c r="F181" s="28">
        <f>TRUNC(24.61,2)</f>
        <v>24.61</v>
      </c>
      <c r="G181" s="29">
        <f t="shared" si="6"/>
        <v>196.88</v>
      </c>
      <c r="H181" s="29"/>
      <c r="I181" s="30"/>
      <c r="J181" s="30"/>
    </row>
    <row r="182" spans="1:10" s="31" customFormat="1" ht="15">
      <c r="A182" s="27"/>
      <c r="B182" s="39" t="s">
        <v>539</v>
      </c>
      <c r="C182" s="85" t="s">
        <v>540</v>
      </c>
      <c r="D182" s="84" t="s">
        <v>4</v>
      </c>
      <c r="E182" s="40">
        <v>0</v>
      </c>
      <c r="F182" s="28">
        <f>TRUNC(22.86,2)</f>
        <v>22.86</v>
      </c>
      <c r="G182" s="29">
        <f t="shared" si="6"/>
        <v>0</v>
      </c>
      <c r="H182" s="29"/>
      <c r="I182" s="30"/>
      <c r="J182" s="30"/>
    </row>
    <row r="183" spans="1:10" s="31" customFormat="1" ht="15">
      <c r="A183" s="27"/>
      <c r="B183" s="39" t="s">
        <v>541</v>
      </c>
      <c r="C183" s="85" t="s">
        <v>542</v>
      </c>
      <c r="D183" s="84" t="s">
        <v>4</v>
      </c>
      <c r="E183" s="40">
        <v>0</v>
      </c>
      <c r="F183" s="28">
        <f>TRUNC(118.4325,2)</f>
        <v>118.43</v>
      </c>
      <c r="G183" s="29">
        <f t="shared" si="6"/>
        <v>0</v>
      </c>
      <c r="H183" s="29"/>
      <c r="I183" s="30"/>
      <c r="J183" s="30"/>
    </row>
    <row r="184" spans="1:10" s="31" customFormat="1" ht="45">
      <c r="A184" s="27"/>
      <c r="B184" s="39" t="s">
        <v>571</v>
      </c>
      <c r="C184" s="85" t="s">
        <v>141</v>
      </c>
      <c r="D184" s="84" t="s">
        <v>1</v>
      </c>
      <c r="E184" s="40">
        <v>0.16</v>
      </c>
      <c r="F184" s="28">
        <f>TRUNC(57.9581,2)</f>
        <v>57.95</v>
      </c>
      <c r="G184" s="29">
        <f t="shared" si="6"/>
        <v>9.27</v>
      </c>
      <c r="H184" s="29"/>
      <c r="I184" s="30"/>
      <c r="J184" s="30"/>
    </row>
    <row r="185" spans="1:10" s="31" customFormat="1" ht="30">
      <c r="A185" s="27"/>
      <c r="B185" s="39" t="s">
        <v>595</v>
      </c>
      <c r="C185" s="85" t="s">
        <v>189</v>
      </c>
      <c r="D185" s="84" t="s">
        <v>1</v>
      </c>
      <c r="E185" s="40">
        <v>0.16</v>
      </c>
      <c r="F185" s="28">
        <f>TRUNC(399.529512,2)</f>
        <v>399.52</v>
      </c>
      <c r="G185" s="29">
        <f t="shared" si="6"/>
        <v>63.92</v>
      </c>
      <c r="H185" s="29"/>
      <c r="I185" s="30"/>
      <c r="J185" s="30"/>
    </row>
    <row r="186" spans="1:10" s="31" customFormat="1" ht="30">
      <c r="A186" s="27"/>
      <c r="B186" s="39" t="s">
        <v>596</v>
      </c>
      <c r="C186" s="85" t="s">
        <v>190</v>
      </c>
      <c r="D186" s="84" t="s">
        <v>1</v>
      </c>
      <c r="E186" s="40">
        <v>0.16</v>
      </c>
      <c r="F186" s="28">
        <f>TRUNC(241.5686,2)</f>
        <v>241.56</v>
      </c>
      <c r="G186" s="29">
        <f t="shared" si="6"/>
        <v>38.64</v>
      </c>
      <c r="H186" s="29"/>
      <c r="I186" s="30"/>
      <c r="J186" s="30"/>
    </row>
    <row r="187" spans="1:10" s="31" customFormat="1" ht="15">
      <c r="A187" s="27"/>
      <c r="B187" s="39"/>
      <c r="C187" s="85"/>
      <c r="D187" s="84"/>
      <c r="E187" s="40" t="s">
        <v>5</v>
      </c>
      <c r="F187" s="28"/>
      <c r="G187" s="29">
        <f>TRUNC(SUM(G176:G186),2)</f>
        <v>441.11</v>
      </c>
      <c r="H187" s="29"/>
      <c r="I187" s="30"/>
      <c r="J187" s="48">
        <v>42.15</v>
      </c>
    </row>
    <row r="188" spans="1:10" s="49" customFormat="1" ht="30">
      <c r="A188" s="41" t="s">
        <v>267</v>
      </c>
      <c r="B188" s="42" t="s">
        <v>597</v>
      </c>
      <c r="C188" s="43" t="s">
        <v>598</v>
      </c>
      <c r="D188" s="44" t="s">
        <v>0</v>
      </c>
      <c r="E188" s="45">
        <v>2.2</v>
      </c>
      <c r="F188" s="46">
        <f>TRUNC(G190,2)</f>
        <v>17.04</v>
      </c>
      <c r="G188" s="47">
        <f>TRUNC(F188*1.2338,2)</f>
        <v>21.02</v>
      </c>
      <c r="H188" s="47">
        <f>TRUNC(F188*E188,2)</f>
        <v>37.48</v>
      </c>
      <c r="I188" s="48">
        <f>TRUNC(E188*G188,2)</f>
        <v>46.24</v>
      </c>
      <c r="J188" s="30"/>
    </row>
    <row r="189" spans="1:10" s="31" customFormat="1" ht="30">
      <c r="A189" s="27"/>
      <c r="B189" s="39" t="s">
        <v>32</v>
      </c>
      <c r="C189" s="85" t="s">
        <v>33</v>
      </c>
      <c r="D189" s="84" t="s">
        <v>4</v>
      </c>
      <c r="E189" s="40">
        <v>1.03</v>
      </c>
      <c r="F189" s="28">
        <f>TRUNC(16.55,2)</f>
        <v>16.55</v>
      </c>
      <c r="G189" s="29">
        <f>TRUNC(E189*F189,2)</f>
        <v>17.04</v>
      </c>
      <c r="H189" s="29"/>
      <c r="I189" s="30"/>
      <c r="J189" s="30"/>
    </row>
    <row r="190" spans="1:10" s="31" customFormat="1" ht="15">
      <c r="A190" s="27"/>
      <c r="B190" s="39"/>
      <c r="C190" s="85"/>
      <c r="D190" s="84"/>
      <c r="E190" s="40" t="s">
        <v>5</v>
      </c>
      <c r="F190" s="28"/>
      <c r="G190" s="29">
        <f>TRUNC(SUM(G189:G189),2)</f>
        <v>17.04</v>
      </c>
      <c r="H190" s="29"/>
      <c r="I190" s="30"/>
      <c r="J190" s="26">
        <v>5836.3</v>
      </c>
    </row>
    <row r="191" spans="1:11" s="14" customFormat="1" ht="15.75">
      <c r="A191" s="23" t="s">
        <v>23</v>
      </c>
      <c r="B191" s="25"/>
      <c r="C191" s="24"/>
      <c r="D191" s="25"/>
      <c r="E191" s="25"/>
      <c r="F191" s="25"/>
      <c r="G191" s="25" t="s">
        <v>487</v>
      </c>
      <c r="H191" s="26">
        <f>H188+H174+H164+H161+H158+H155+H151</f>
        <v>5180.57</v>
      </c>
      <c r="I191" s="26">
        <f>I188+I174+I164+I161+I158+I155+I151</f>
        <v>6391.62</v>
      </c>
      <c r="J191" s="20"/>
      <c r="K191" s="14">
        <v>6391.62</v>
      </c>
    </row>
    <row r="192" spans="1:10" s="13" customFormat="1" ht="15.75">
      <c r="A192" s="13" t="s">
        <v>268</v>
      </c>
      <c r="B192" s="21"/>
      <c r="C192" s="22" t="s">
        <v>191</v>
      </c>
      <c r="D192" s="22"/>
      <c r="E192" s="22"/>
      <c r="F192" s="22"/>
      <c r="G192" s="22"/>
      <c r="H192" s="22"/>
      <c r="I192" s="20"/>
      <c r="J192" s="48">
        <v>4765.07</v>
      </c>
    </row>
    <row r="193" spans="1:10" s="49" customFormat="1" ht="45">
      <c r="A193" s="41" t="s">
        <v>269</v>
      </c>
      <c r="B193" s="42" t="s">
        <v>571</v>
      </c>
      <c r="C193" s="43" t="s">
        <v>141</v>
      </c>
      <c r="D193" s="44" t="s">
        <v>1</v>
      </c>
      <c r="E193" s="45">
        <v>73.14</v>
      </c>
      <c r="F193" s="46">
        <f>TRUNC(G195,2)</f>
        <v>57.95</v>
      </c>
      <c r="G193" s="47">
        <f>TRUNC(F193*1.2338,2)</f>
        <v>71.49</v>
      </c>
      <c r="H193" s="47">
        <f>TRUNC(F193*E193,2)</f>
        <v>4238.46</v>
      </c>
      <c r="I193" s="48">
        <f>TRUNC(E193*G193,2)</f>
        <v>5228.77</v>
      </c>
      <c r="J193" s="30"/>
    </row>
    <row r="194" spans="1:10" s="31" customFormat="1" ht="30">
      <c r="A194" s="27"/>
      <c r="B194" s="39" t="s">
        <v>32</v>
      </c>
      <c r="C194" s="85" t="s">
        <v>33</v>
      </c>
      <c r="D194" s="84" t="s">
        <v>4</v>
      </c>
      <c r="E194" s="40">
        <v>3.502</v>
      </c>
      <c r="F194" s="28">
        <f>TRUNC(16.55,2)</f>
        <v>16.55</v>
      </c>
      <c r="G194" s="29">
        <f>TRUNC(E194*F194,2)</f>
        <v>57.95</v>
      </c>
      <c r="H194" s="29"/>
      <c r="I194" s="30"/>
      <c r="J194" s="30"/>
    </row>
    <row r="195" spans="1:10" s="31" customFormat="1" ht="15">
      <c r="A195" s="27"/>
      <c r="B195" s="39"/>
      <c r="C195" s="85"/>
      <c r="D195" s="84"/>
      <c r="E195" s="40" t="s">
        <v>5</v>
      </c>
      <c r="F195" s="28"/>
      <c r="G195" s="29">
        <f>TRUNC(SUM(G194:G194),2)</f>
        <v>57.95</v>
      </c>
      <c r="H195" s="29"/>
      <c r="I195" s="30"/>
      <c r="J195" s="48">
        <v>241.38</v>
      </c>
    </row>
    <row r="196" spans="1:10" s="49" customFormat="1" ht="30">
      <c r="A196" s="41" t="s">
        <v>270</v>
      </c>
      <c r="B196" s="42" t="s">
        <v>599</v>
      </c>
      <c r="C196" s="43" t="s">
        <v>192</v>
      </c>
      <c r="D196" s="44" t="s">
        <v>2</v>
      </c>
      <c r="E196" s="45">
        <v>9</v>
      </c>
      <c r="F196" s="46">
        <f>TRUNC(G198,2)</f>
        <v>23.86</v>
      </c>
      <c r="G196" s="47">
        <f>TRUNC(F196*1.2338,2)</f>
        <v>29.43</v>
      </c>
      <c r="H196" s="47">
        <f>TRUNC(F196*E196,2)</f>
        <v>214.74</v>
      </c>
      <c r="I196" s="48">
        <f>TRUNC(E196*G196,2)</f>
        <v>264.87</v>
      </c>
      <c r="J196" s="30"/>
    </row>
    <row r="197" spans="1:10" s="31" customFormat="1" ht="30">
      <c r="A197" s="27"/>
      <c r="B197" s="39" t="s">
        <v>32</v>
      </c>
      <c r="C197" s="85" t="s">
        <v>33</v>
      </c>
      <c r="D197" s="84" t="s">
        <v>4</v>
      </c>
      <c r="E197" s="40">
        <v>1.442</v>
      </c>
      <c r="F197" s="28">
        <f>TRUNC(16.55,2)</f>
        <v>16.55</v>
      </c>
      <c r="G197" s="29">
        <f>TRUNC(E197*F197,2)</f>
        <v>23.86</v>
      </c>
      <c r="H197" s="29"/>
      <c r="I197" s="30"/>
      <c r="J197" s="30"/>
    </row>
    <row r="198" spans="1:10" s="31" customFormat="1" ht="15">
      <c r="A198" s="27"/>
      <c r="B198" s="39"/>
      <c r="C198" s="85"/>
      <c r="D198" s="84"/>
      <c r="E198" s="40" t="s">
        <v>5</v>
      </c>
      <c r="F198" s="28"/>
      <c r="G198" s="29">
        <f>TRUNC(SUM(G197:G197),2)</f>
        <v>23.86</v>
      </c>
      <c r="H198" s="29"/>
      <c r="I198" s="30"/>
      <c r="J198" s="48">
        <v>1035.08</v>
      </c>
    </row>
    <row r="199" spans="1:10" s="49" customFormat="1" ht="45">
      <c r="A199" s="41" t="s">
        <v>271</v>
      </c>
      <c r="B199" s="42" t="s">
        <v>572</v>
      </c>
      <c r="C199" s="43" t="s">
        <v>176</v>
      </c>
      <c r="D199" s="44" t="s">
        <v>1</v>
      </c>
      <c r="E199" s="45">
        <v>40.37</v>
      </c>
      <c r="F199" s="46">
        <f>TRUNC(G204,2)</f>
        <v>22.66</v>
      </c>
      <c r="G199" s="47">
        <f>TRUNC(F199*1.2338,2)</f>
        <v>27.95</v>
      </c>
      <c r="H199" s="47">
        <f>TRUNC(F199*E199,2)</f>
        <v>914.78</v>
      </c>
      <c r="I199" s="48">
        <f>TRUNC(E199*G199,2)</f>
        <v>1128.34</v>
      </c>
      <c r="J199" s="30"/>
    </row>
    <row r="200" spans="1:10" s="31" customFormat="1" ht="30">
      <c r="A200" s="27"/>
      <c r="B200" s="39" t="s">
        <v>32</v>
      </c>
      <c r="C200" s="85" t="s">
        <v>33</v>
      </c>
      <c r="D200" s="84" t="s">
        <v>4</v>
      </c>
      <c r="E200" s="40">
        <v>1.09901</v>
      </c>
      <c r="F200" s="28">
        <f>TRUNC(16.55,2)</f>
        <v>16.55</v>
      </c>
      <c r="G200" s="29">
        <f>TRUNC(E200*F200,2)</f>
        <v>18.18</v>
      </c>
      <c r="H200" s="29"/>
      <c r="I200" s="30"/>
      <c r="J200" s="30"/>
    </row>
    <row r="201" spans="1:10" s="31" customFormat="1" ht="30">
      <c r="A201" s="27"/>
      <c r="B201" s="39" t="s">
        <v>573</v>
      </c>
      <c r="C201" s="85" t="s">
        <v>574</v>
      </c>
      <c r="D201" s="84" t="s">
        <v>4</v>
      </c>
      <c r="E201" s="40">
        <v>0.13699</v>
      </c>
      <c r="F201" s="28">
        <f>TRUNC(25.68,2)</f>
        <v>25.68</v>
      </c>
      <c r="G201" s="29">
        <f>TRUNC(E201*F201,2)</f>
        <v>3.51</v>
      </c>
      <c r="H201" s="29"/>
      <c r="I201" s="30"/>
      <c r="J201" s="30"/>
    </row>
    <row r="202" spans="1:10" s="31" customFormat="1" ht="15">
      <c r="A202" s="27"/>
      <c r="B202" s="39" t="s">
        <v>575</v>
      </c>
      <c r="C202" s="85" t="s">
        <v>576</v>
      </c>
      <c r="D202" s="84" t="s">
        <v>4</v>
      </c>
      <c r="E202" s="40">
        <v>0.033</v>
      </c>
      <c r="F202" s="28">
        <f>TRUNC(2.083,2)</f>
        <v>2.08</v>
      </c>
      <c r="G202" s="29">
        <f>TRUNC(E202*F202,2)</f>
        <v>0.06</v>
      </c>
      <c r="H202" s="29"/>
      <c r="I202" s="30"/>
      <c r="J202" s="30"/>
    </row>
    <row r="203" spans="1:10" s="31" customFormat="1" ht="15">
      <c r="A203" s="27"/>
      <c r="B203" s="39" t="s">
        <v>577</v>
      </c>
      <c r="C203" s="85" t="s">
        <v>578</v>
      </c>
      <c r="D203" s="84" t="s">
        <v>4</v>
      </c>
      <c r="E203" s="40">
        <v>0.1</v>
      </c>
      <c r="F203" s="28">
        <f>TRUNC(9.1513,2)</f>
        <v>9.15</v>
      </c>
      <c r="G203" s="29">
        <f>TRUNC(E203*F203,2)</f>
        <v>0.91</v>
      </c>
      <c r="H203" s="29"/>
      <c r="I203" s="30"/>
      <c r="J203" s="30"/>
    </row>
    <row r="204" spans="1:10" s="31" customFormat="1" ht="15">
      <c r="A204" s="27"/>
      <c r="B204" s="39"/>
      <c r="C204" s="85"/>
      <c r="D204" s="84"/>
      <c r="E204" s="40" t="s">
        <v>5</v>
      </c>
      <c r="F204" s="28"/>
      <c r="G204" s="29">
        <f>TRUNC(SUM(G200:G203),2)</f>
        <v>22.66</v>
      </c>
      <c r="H204" s="29"/>
      <c r="I204" s="30"/>
      <c r="J204" s="48">
        <v>3226.62</v>
      </c>
    </row>
    <row r="205" spans="1:10" s="49" customFormat="1" ht="45">
      <c r="A205" s="41" t="s">
        <v>272</v>
      </c>
      <c r="B205" s="42" t="s">
        <v>600</v>
      </c>
      <c r="C205" s="43" t="s">
        <v>193</v>
      </c>
      <c r="D205" s="44" t="s">
        <v>1</v>
      </c>
      <c r="E205" s="45">
        <v>5.44</v>
      </c>
      <c r="F205" s="46">
        <f>TRUNC(G209,2)</f>
        <v>482.7</v>
      </c>
      <c r="G205" s="47">
        <f>TRUNC(F205*1.2338,2)</f>
        <v>595.55</v>
      </c>
      <c r="H205" s="47">
        <f>TRUNC(F205*E205,2)</f>
        <v>2625.88</v>
      </c>
      <c r="I205" s="48">
        <f>TRUNC(E205*G205,2)</f>
        <v>3239.79</v>
      </c>
      <c r="J205" s="30"/>
    </row>
    <row r="206" spans="1:10" s="31" customFormat="1" ht="15">
      <c r="A206" s="27"/>
      <c r="B206" s="39" t="s">
        <v>601</v>
      </c>
      <c r="C206" s="85" t="s">
        <v>602</v>
      </c>
      <c r="D206" s="84" t="s">
        <v>1</v>
      </c>
      <c r="E206" s="40">
        <v>1</v>
      </c>
      <c r="F206" s="28">
        <f>TRUNC(122.7432,2)</f>
        <v>122.74</v>
      </c>
      <c r="G206" s="29">
        <f>TRUNC(E206*F206,2)</f>
        <v>122.74</v>
      </c>
      <c r="H206" s="29"/>
      <c r="I206" s="30"/>
      <c r="J206" s="30"/>
    </row>
    <row r="207" spans="1:10" s="31" customFormat="1" ht="15">
      <c r="A207" s="27"/>
      <c r="B207" s="39" t="s">
        <v>558</v>
      </c>
      <c r="C207" s="85" t="s">
        <v>559</v>
      </c>
      <c r="D207" s="84" t="s">
        <v>1</v>
      </c>
      <c r="E207" s="40">
        <v>1</v>
      </c>
      <c r="F207" s="28">
        <f>TRUNC(82.5898,2)</f>
        <v>82.58</v>
      </c>
      <c r="G207" s="29">
        <f>TRUNC(E207*F207,2)</f>
        <v>82.58</v>
      </c>
      <c r="H207" s="29"/>
      <c r="I207" s="30"/>
      <c r="J207" s="30"/>
    </row>
    <row r="208" spans="1:10" s="31" customFormat="1" ht="15">
      <c r="A208" s="27"/>
      <c r="B208" s="39" t="s">
        <v>603</v>
      </c>
      <c r="C208" s="85" t="s">
        <v>604</v>
      </c>
      <c r="D208" s="84" t="s">
        <v>1</v>
      </c>
      <c r="E208" s="40">
        <v>1</v>
      </c>
      <c r="F208" s="28">
        <f>TRUNC(277.3833,2)</f>
        <v>277.38</v>
      </c>
      <c r="G208" s="29">
        <f>TRUNC(E208*F208,2)</f>
        <v>277.38</v>
      </c>
      <c r="H208" s="29"/>
      <c r="I208" s="30"/>
      <c r="J208" s="30"/>
    </row>
    <row r="209" spans="1:10" s="31" customFormat="1" ht="15">
      <c r="A209" s="27"/>
      <c r="B209" s="39"/>
      <c r="C209" s="85"/>
      <c r="D209" s="84"/>
      <c r="E209" s="40" t="s">
        <v>5</v>
      </c>
      <c r="F209" s="28"/>
      <c r="G209" s="29">
        <f>TRUNC(SUM(G206:G208),2)</f>
        <v>482.7</v>
      </c>
      <c r="H209" s="29"/>
      <c r="I209" s="30"/>
      <c r="J209" s="48">
        <v>24324.05</v>
      </c>
    </row>
    <row r="210" spans="1:10" s="49" customFormat="1" ht="45">
      <c r="A210" s="41" t="s">
        <v>273</v>
      </c>
      <c r="B210" s="42" t="s">
        <v>605</v>
      </c>
      <c r="C210" s="43" t="s">
        <v>194</v>
      </c>
      <c r="D210" s="44" t="s">
        <v>1</v>
      </c>
      <c r="E210" s="45">
        <v>37.95</v>
      </c>
      <c r="F210" s="46">
        <f>TRUNC(G216,2)</f>
        <v>519.55</v>
      </c>
      <c r="G210" s="47">
        <f>TRUNC(F210*1.2338,2)</f>
        <v>641.02</v>
      </c>
      <c r="H210" s="47">
        <f>TRUNC(F210*E210,2)</f>
        <v>19716.92</v>
      </c>
      <c r="I210" s="48">
        <f>TRUNC(E210*G210,2)</f>
        <v>24326.7</v>
      </c>
      <c r="J210" s="30"/>
    </row>
    <row r="211" spans="1:10" s="31" customFormat="1" ht="15">
      <c r="A211" s="27"/>
      <c r="B211" s="39" t="s">
        <v>195</v>
      </c>
      <c r="C211" s="85" t="s">
        <v>196</v>
      </c>
      <c r="D211" s="84" t="s">
        <v>21</v>
      </c>
      <c r="E211" s="40">
        <v>1.208865</v>
      </c>
      <c r="F211" s="28">
        <f>TRUNC(59.745,2)</f>
        <v>59.74</v>
      </c>
      <c r="G211" s="29">
        <f>TRUNC(E211*F211,2)</f>
        <v>72.21</v>
      </c>
      <c r="H211" s="29"/>
      <c r="I211" s="30"/>
      <c r="J211" s="30"/>
    </row>
    <row r="212" spans="1:10" s="31" customFormat="1" ht="15">
      <c r="A212" s="27"/>
      <c r="B212" s="39" t="s">
        <v>143</v>
      </c>
      <c r="C212" s="85" t="s">
        <v>144</v>
      </c>
      <c r="D212" s="84" t="s">
        <v>3</v>
      </c>
      <c r="E212" s="40">
        <v>409.5</v>
      </c>
      <c r="F212" s="28">
        <f>TRUNC(0.47,2)</f>
        <v>0.47</v>
      </c>
      <c r="G212" s="29">
        <f>TRUNC(E212*F212,2)</f>
        <v>192.46</v>
      </c>
      <c r="H212" s="29"/>
      <c r="I212" s="30"/>
      <c r="J212" s="30"/>
    </row>
    <row r="213" spans="1:10" s="31" customFormat="1" ht="15">
      <c r="A213" s="27"/>
      <c r="B213" s="39" t="s">
        <v>145</v>
      </c>
      <c r="C213" s="85" t="s">
        <v>146</v>
      </c>
      <c r="D213" s="84" t="s">
        <v>1</v>
      </c>
      <c r="E213" s="40">
        <v>0.6194999999999999</v>
      </c>
      <c r="F213" s="28">
        <f>TRUNC(80,2)</f>
        <v>80</v>
      </c>
      <c r="G213" s="29">
        <f>TRUNC(E213*F213,2)</f>
        <v>49.56</v>
      </c>
      <c r="H213" s="29"/>
      <c r="I213" s="30"/>
      <c r="J213" s="30"/>
    </row>
    <row r="214" spans="1:10" s="31" customFormat="1" ht="15">
      <c r="A214" s="27"/>
      <c r="B214" s="39" t="s">
        <v>601</v>
      </c>
      <c r="C214" s="85" t="s">
        <v>602</v>
      </c>
      <c r="D214" s="84" t="s">
        <v>1</v>
      </c>
      <c r="E214" s="40">
        <v>1</v>
      </c>
      <c r="F214" s="28">
        <f>TRUNC(122.7432,2)</f>
        <v>122.74</v>
      </c>
      <c r="G214" s="29">
        <f>TRUNC(E214*F214,2)</f>
        <v>122.74</v>
      </c>
      <c r="H214" s="29"/>
      <c r="I214" s="30"/>
      <c r="J214" s="30"/>
    </row>
    <row r="215" spans="1:10" s="31" customFormat="1" ht="15">
      <c r="A215" s="27"/>
      <c r="B215" s="39" t="s">
        <v>558</v>
      </c>
      <c r="C215" s="85" t="s">
        <v>559</v>
      </c>
      <c r="D215" s="84" t="s">
        <v>1</v>
      </c>
      <c r="E215" s="40">
        <v>1</v>
      </c>
      <c r="F215" s="28">
        <f>TRUNC(82.5898,2)</f>
        <v>82.58</v>
      </c>
      <c r="G215" s="29">
        <f>TRUNC(E215*F215,2)</f>
        <v>82.58</v>
      </c>
      <c r="H215" s="29"/>
      <c r="I215" s="30"/>
      <c r="J215" s="30"/>
    </row>
    <row r="216" spans="1:10" s="31" customFormat="1" ht="15">
      <c r="A216" s="27"/>
      <c r="B216" s="39"/>
      <c r="C216" s="85"/>
      <c r="D216" s="84"/>
      <c r="E216" s="40" t="s">
        <v>5</v>
      </c>
      <c r="F216" s="28"/>
      <c r="G216" s="29">
        <f>TRUNC(SUM(G211:G215),2)</f>
        <v>519.55</v>
      </c>
      <c r="H216" s="29"/>
      <c r="I216" s="30"/>
      <c r="J216" s="48">
        <v>4576.99</v>
      </c>
    </row>
    <row r="217" spans="1:10" s="49" customFormat="1" ht="60">
      <c r="A217" s="41" t="s">
        <v>274</v>
      </c>
      <c r="B217" s="42" t="s">
        <v>606</v>
      </c>
      <c r="C217" s="43" t="s">
        <v>197</v>
      </c>
      <c r="D217" s="44" t="s">
        <v>1</v>
      </c>
      <c r="E217" s="45">
        <v>6.77</v>
      </c>
      <c r="F217" s="46">
        <f>TRUNC(G224,2)</f>
        <v>546.61</v>
      </c>
      <c r="G217" s="47">
        <f>TRUNC(F217*1.2338,2)</f>
        <v>674.4</v>
      </c>
      <c r="H217" s="47">
        <f>TRUNC(F217*E217,2)</f>
        <v>3700.54</v>
      </c>
      <c r="I217" s="48">
        <f>TRUNC(E217*G217,2)</f>
        <v>4565.68</v>
      </c>
      <c r="J217" s="30"/>
    </row>
    <row r="218" spans="1:10" s="31" customFormat="1" ht="15">
      <c r="A218" s="27"/>
      <c r="B218" s="54" t="s">
        <v>157</v>
      </c>
      <c r="C218" s="85" t="s">
        <v>198</v>
      </c>
      <c r="D218" s="84" t="s">
        <v>3</v>
      </c>
      <c r="E218" s="40">
        <v>2.02</v>
      </c>
      <c r="F218" s="28">
        <v>13.4</v>
      </c>
      <c r="G218" s="29">
        <f aca="true" t="shared" si="7" ref="G218:G223">TRUNC(E218*F218,2)</f>
        <v>27.06</v>
      </c>
      <c r="H218" s="29"/>
      <c r="I218" s="30"/>
      <c r="J218" s="30"/>
    </row>
    <row r="219" spans="1:10" s="31" customFormat="1" ht="15">
      <c r="A219" s="27"/>
      <c r="B219" s="39" t="s">
        <v>195</v>
      </c>
      <c r="C219" s="85" t="s">
        <v>196</v>
      </c>
      <c r="D219" s="84" t="s">
        <v>21</v>
      </c>
      <c r="E219" s="40">
        <v>1.208865</v>
      </c>
      <c r="F219" s="28">
        <f>TRUNC(59.745,2)</f>
        <v>59.74</v>
      </c>
      <c r="G219" s="29">
        <f t="shared" si="7"/>
        <v>72.21</v>
      </c>
      <c r="H219" s="29"/>
      <c r="I219" s="30"/>
      <c r="J219" s="30"/>
    </row>
    <row r="220" spans="1:10" s="31" customFormat="1" ht="15">
      <c r="A220" s="27"/>
      <c r="B220" s="39" t="s">
        <v>143</v>
      </c>
      <c r="C220" s="85" t="s">
        <v>144</v>
      </c>
      <c r="D220" s="84" t="s">
        <v>3</v>
      </c>
      <c r="E220" s="40">
        <v>409.5</v>
      </c>
      <c r="F220" s="28">
        <f>TRUNC(0.47,2)</f>
        <v>0.47</v>
      </c>
      <c r="G220" s="29">
        <f t="shared" si="7"/>
        <v>192.46</v>
      </c>
      <c r="H220" s="29"/>
      <c r="I220" s="30"/>
      <c r="J220" s="30"/>
    </row>
    <row r="221" spans="1:10" s="31" customFormat="1" ht="15">
      <c r="A221" s="27"/>
      <c r="B221" s="39" t="s">
        <v>145</v>
      </c>
      <c r="C221" s="85" t="s">
        <v>146</v>
      </c>
      <c r="D221" s="84" t="s">
        <v>1</v>
      </c>
      <c r="E221" s="40">
        <v>0.6194999999999999</v>
      </c>
      <c r="F221" s="28">
        <f>TRUNC(80,2)</f>
        <v>80</v>
      </c>
      <c r="G221" s="29">
        <f t="shared" si="7"/>
        <v>49.56</v>
      </c>
      <c r="H221" s="29"/>
      <c r="I221" s="30"/>
      <c r="J221" s="30"/>
    </row>
    <row r="222" spans="1:10" s="31" customFormat="1" ht="15">
      <c r="A222" s="27"/>
      <c r="B222" s="39" t="s">
        <v>601</v>
      </c>
      <c r="C222" s="85" t="s">
        <v>602</v>
      </c>
      <c r="D222" s="84" t="s">
        <v>1</v>
      </c>
      <c r="E222" s="40">
        <v>1</v>
      </c>
      <c r="F222" s="28">
        <f>TRUNC(122.7432,2)</f>
        <v>122.74</v>
      </c>
      <c r="G222" s="29">
        <f t="shared" si="7"/>
        <v>122.74</v>
      </c>
      <c r="H222" s="29"/>
      <c r="I222" s="30"/>
      <c r="J222" s="30"/>
    </row>
    <row r="223" spans="1:10" s="31" customFormat="1" ht="15">
      <c r="A223" s="27"/>
      <c r="B223" s="39" t="s">
        <v>558</v>
      </c>
      <c r="C223" s="85" t="s">
        <v>559</v>
      </c>
      <c r="D223" s="84" t="s">
        <v>1</v>
      </c>
      <c r="E223" s="40">
        <v>1</v>
      </c>
      <c r="F223" s="28">
        <f>TRUNC(82.5898,2)</f>
        <v>82.58</v>
      </c>
      <c r="G223" s="29">
        <f t="shared" si="7"/>
        <v>82.58</v>
      </c>
      <c r="H223" s="29"/>
      <c r="I223" s="30"/>
      <c r="J223" s="30"/>
    </row>
    <row r="224" spans="1:10" s="31" customFormat="1" ht="15">
      <c r="A224" s="27"/>
      <c r="B224" s="39"/>
      <c r="C224" s="85"/>
      <c r="D224" s="84"/>
      <c r="E224" s="40" t="s">
        <v>5</v>
      </c>
      <c r="F224" s="28"/>
      <c r="G224" s="29">
        <f>TRUNC(SUM(G218:G223),2)</f>
        <v>546.61</v>
      </c>
      <c r="H224" s="29"/>
      <c r="I224" s="30"/>
      <c r="J224" s="48">
        <v>12520.05</v>
      </c>
    </row>
    <row r="225" spans="1:10" s="49" customFormat="1" ht="75">
      <c r="A225" s="41" t="s">
        <v>275</v>
      </c>
      <c r="B225" s="42" t="s">
        <v>607</v>
      </c>
      <c r="C225" s="43" t="s">
        <v>199</v>
      </c>
      <c r="D225" s="44" t="s">
        <v>0</v>
      </c>
      <c r="E225" s="45">
        <v>127.86</v>
      </c>
      <c r="F225" s="46">
        <f>TRUNC(G234,2)</f>
        <v>84.36</v>
      </c>
      <c r="G225" s="47">
        <f>TRUNC(F225*1.2338,2)</f>
        <v>104.08</v>
      </c>
      <c r="H225" s="47">
        <f>TRUNC(F225*E225,2)</f>
        <v>10786.26</v>
      </c>
      <c r="I225" s="48">
        <f>TRUNC(E225*G225,2)</f>
        <v>13307.66</v>
      </c>
      <c r="J225" s="30"/>
    </row>
    <row r="226" spans="1:10" s="31" customFormat="1" ht="30">
      <c r="A226" s="27"/>
      <c r="B226" s="39" t="s">
        <v>52</v>
      </c>
      <c r="C226" s="85" t="s">
        <v>53</v>
      </c>
      <c r="D226" s="84" t="s">
        <v>3</v>
      </c>
      <c r="E226" s="40">
        <v>0.2</v>
      </c>
      <c r="F226" s="28">
        <f>TRUNC(15.94,2)</f>
        <v>15.94</v>
      </c>
      <c r="G226" s="29">
        <f aca="true" t="shared" si="8" ref="G226:G233">TRUNC(E226*F226,2)</f>
        <v>3.18</v>
      </c>
      <c r="H226" s="29"/>
      <c r="I226" s="30"/>
      <c r="J226" s="30"/>
    </row>
    <row r="227" spans="1:10" s="31" customFormat="1" ht="15">
      <c r="A227" s="27"/>
      <c r="B227" s="39" t="s">
        <v>608</v>
      </c>
      <c r="C227" s="85" t="s">
        <v>609</v>
      </c>
      <c r="D227" s="84" t="s">
        <v>2</v>
      </c>
      <c r="E227" s="40">
        <v>0.32</v>
      </c>
      <c r="F227" s="28">
        <f>TRUNC(6.2736,2)</f>
        <v>6.27</v>
      </c>
      <c r="G227" s="29">
        <f t="shared" si="8"/>
        <v>2</v>
      </c>
      <c r="H227" s="29"/>
      <c r="I227" s="30"/>
      <c r="J227" s="30"/>
    </row>
    <row r="228" spans="1:10" s="31" customFormat="1" ht="15">
      <c r="A228" s="27"/>
      <c r="B228" s="39" t="s">
        <v>153</v>
      </c>
      <c r="C228" s="85" t="s">
        <v>154</v>
      </c>
      <c r="D228" s="84" t="s">
        <v>2</v>
      </c>
      <c r="E228" s="40">
        <v>0.23</v>
      </c>
      <c r="F228" s="28">
        <f>TRUNC(9.23,2)</f>
        <v>9.23</v>
      </c>
      <c r="G228" s="29">
        <f t="shared" si="8"/>
        <v>2.12</v>
      </c>
      <c r="H228" s="29"/>
      <c r="I228" s="30"/>
      <c r="J228" s="30"/>
    </row>
    <row r="229" spans="1:10" s="31" customFormat="1" ht="15">
      <c r="A229" s="27"/>
      <c r="B229" s="39" t="s">
        <v>200</v>
      </c>
      <c r="C229" s="85" t="s">
        <v>201</v>
      </c>
      <c r="D229" s="84" t="s">
        <v>0</v>
      </c>
      <c r="E229" s="40">
        <v>0.055</v>
      </c>
      <c r="F229" s="28">
        <f>TRUNC(37.1961,2)</f>
        <v>37.19</v>
      </c>
      <c r="G229" s="29">
        <f t="shared" si="8"/>
        <v>2.04</v>
      </c>
      <c r="H229" s="29"/>
      <c r="I229" s="30"/>
      <c r="J229" s="30"/>
    </row>
    <row r="230" spans="1:10" s="31" customFormat="1" ht="15">
      <c r="A230" s="27"/>
      <c r="B230" s="39" t="s">
        <v>202</v>
      </c>
      <c r="C230" s="85" t="s">
        <v>203</v>
      </c>
      <c r="D230" s="84" t="s">
        <v>0</v>
      </c>
      <c r="E230" s="40">
        <v>0.22</v>
      </c>
      <c r="F230" s="28">
        <f>TRUNC(33.4765,2)</f>
        <v>33.47</v>
      </c>
      <c r="G230" s="29">
        <f t="shared" si="8"/>
        <v>7.36</v>
      </c>
      <c r="H230" s="29"/>
      <c r="I230" s="30"/>
      <c r="J230" s="30"/>
    </row>
    <row r="231" spans="1:10" s="31" customFormat="1" ht="30">
      <c r="A231" s="27"/>
      <c r="B231" s="39" t="s">
        <v>32</v>
      </c>
      <c r="C231" s="85" t="s">
        <v>33</v>
      </c>
      <c r="D231" s="84" t="s">
        <v>4</v>
      </c>
      <c r="E231" s="40">
        <v>1.03</v>
      </c>
      <c r="F231" s="28">
        <f>TRUNC(16.55,2)</f>
        <v>16.55</v>
      </c>
      <c r="G231" s="29">
        <f t="shared" si="8"/>
        <v>17.04</v>
      </c>
      <c r="H231" s="29"/>
      <c r="I231" s="30"/>
      <c r="J231" s="30"/>
    </row>
    <row r="232" spans="1:10" s="31" customFormat="1" ht="30">
      <c r="A232" s="27"/>
      <c r="B232" s="39" t="s">
        <v>566</v>
      </c>
      <c r="C232" s="85" t="s">
        <v>567</v>
      </c>
      <c r="D232" s="84" t="s">
        <v>4</v>
      </c>
      <c r="E232" s="40">
        <v>2.06</v>
      </c>
      <c r="F232" s="28">
        <f>TRUNC(22.86,2)</f>
        <v>22.86</v>
      </c>
      <c r="G232" s="29">
        <f t="shared" si="8"/>
        <v>47.09</v>
      </c>
      <c r="H232" s="29"/>
      <c r="I232" s="30"/>
      <c r="J232" s="30"/>
    </row>
    <row r="233" spans="1:10" s="31" customFormat="1" ht="15">
      <c r="A233" s="27"/>
      <c r="B233" s="39" t="s">
        <v>610</v>
      </c>
      <c r="C233" s="85" t="s">
        <v>611</v>
      </c>
      <c r="D233" s="84" t="s">
        <v>0</v>
      </c>
      <c r="E233" s="40">
        <v>1</v>
      </c>
      <c r="F233" s="28">
        <f>TRUNC(3.5334,2)</f>
        <v>3.53</v>
      </c>
      <c r="G233" s="29">
        <f t="shared" si="8"/>
        <v>3.53</v>
      </c>
      <c r="H233" s="29"/>
      <c r="I233" s="30"/>
      <c r="J233" s="30"/>
    </row>
    <row r="234" spans="1:10" s="31" customFormat="1" ht="15">
      <c r="A234" s="27"/>
      <c r="B234" s="39"/>
      <c r="C234" s="85"/>
      <c r="D234" s="84"/>
      <c r="E234" s="40" t="s">
        <v>5</v>
      </c>
      <c r="F234" s="28"/>
      <c r="G234" s="29">
        <f>TRUNC(SUM(G226:G233),2)</f>
        <v>84.36</v>
      </c>
      <c r="H234" s="29"/>
      <c r="I234" s="30"/>
      <c r="J234" s="48">
        <v>19879.7</v>
      </c>
    </row>
    <row r="235" spans="1:10" s="49" customFormat="1" ht="30">
      <c r="A235" s="41" t="s">
        <v>276</v>
      </c>
      <c r="B235" s="42" t="s">
        <v>612</v>
      </c>
      <c r="C235" s="43" t="s">
        <v>204</v>
      </c>
      <c r="D235" s="44" t="s">
        <v>0</v>
      </c>
      <c r="E235" s="45">
        <v>205.03</v>
      </c>
      <c r="F235" s="46">
        <f>TRUNC(G246,2)</f>
        <v>79.67</v>
      </c>
      <c r="G235" s="47">
        <f>TRUNC(F235*1.2338,2)</f>
        <v>98.29</v>
      </c>
      <c r="H235" s="47">
        <f>TRUNC(F235*E235,2)</f>
        <v>16334.74</v>
      </c>
      <c r="I235" s="48">
        <f>TRUNC(E235*G235,2)</f>
        <v>20152.39</v>
      </c>
      <c r="J235" s="30"/>
    </row>
    <row r="236" spans="1:10" s="31" customFormat="1" ht="15">
      <c r="A236" s="27"/>
      <c r="B236" s="39" t="s">
        <v>613</v>
      </c>
      <c r="C236" s="85" t="s">
        <v>205</v>
      </c>
      <c r="D236" s="84" t="s">
        <v>3</v>
      </c>
      <c r="E236" s="40">
        <v>0.034</v>
      </c>
      <c r="F236" s="28">
        <f>TRUNC(18.61,2)</f>
        <v>18.61</v>
      </c>
      <c r="G236" s="29">
        <f aca="true" t="shared" si="9" ref="G236:G245">TRUNC(E236*F236,2)</f>
        <v>0.63</v>
      </c>
      <c r="H236" s="29"/>
      <c r="I236" s="30"/>
      <c r="J236" s="30"/>
    </row>
    <row r="237" spans="1:10" s="31" customFormat="1" ht="30">
      <c r="A237" s="27"/>
      <c r="B237" s="39" t="s">
        <v>614</v>
      </c>
      <c r="C237" s="85" t="s">
        <v>206</v>
      </c>
      <c r="D237" s="84" t="s">
        <v>2</v>
      </c>
      <c r="E237" s="40">
        <v>1.008</v>
      </c>
      <c r="F237" s="28">
        <f>TRUNC(26.6,2)</f>
        <v>26.6</v>
      </c>
      <c r="G237" s="29">
        <f t="shared" si="9"/>
        <v>26.81</v>
      </c>
      <c r="H237" s="29"/>
      <c r="I237" s="30"/>
      <c r="J237" s="30"/>
    </row>
    <row r="238" spans="1:10" s="31" customFormat="1" ht="15">
      <c r="A238" s="27"/>
      <c r="B238" s="39" t="s">
        <v>615</v>
      </c>
      <c r="C238" s="85" t="s">
        <v>207</v>
      </c>
      <c r="D238" s="84" t="s">
        <v>3</v>
      </c>
      <c r="E238" s="40">
        <v>0.026</v>
      </c>
      <c r="F238" s="28">
        <f>TRUNC(15.36,2)</f>
        <v>15.36</v>
      </c>
      <c r="G238" s="29">
        <f t="shared" si="9"/>
        <v>0.39</v>
      </c>
      <c r="H238" s="29"/>
      <c r="I238" s="30"/>
      <c r="J238" s="30"/>
    </row>
    <row r="239" spans="1:10" s="31" customFormat="1" ht="15">
      <c r="A239" s="27"/>
      <c r="B239" s="39" t="s">
        <v>616</v>
      </c>
      <c r="C239" s="85" t="s">
        <v>208</v>
      </c>
      <c r="D239" s="84" t="s">
        <v>2</v>
      </c>
      <c r="E239" s="40">
        <v>0.567</v>
      </c>
      <c r="F239" s="28">
        <f>TRUNC(2.14,2)</f>
        <v>2.14</v>
      </c>
      <c r="G239" s="29">
        <f t="shared" si="9"/>
        <v>1.21</v>
      </c>
      <c r="H239" s="29"/>
      <c r="I239" s="30"/>
      <c r="J239" s="30"/>
    </row>
    <row r="240" spans="1:10" s="31" customFormat="1" ht="15">
      <c r="A240" s="27"/>
      <c r="B240" s="39" t="s">
        <v>617</v>
      </c>
      <c r="C240" s="85" t="s">
        <v>209</v>
      </c>
      <c r="D240" s="84" t="s">
        <v>2</v>
      </c>
      <c r="E240" s="40">
        <v>0.605</v>
      </c>
      <c r="F240" s="28">
        <f>TRUNC(6.13,2)</f>
        <v>6.13</v>
      </c>
      <c r="G240" s="29">
        <f t="shared" si="9"/>
        <v>3.7</v>
      </c>
      <c r="H240" s="29"/>
      <c r="I240" s="30"/>
      <c r="J240" s="30"/>
    </row>
    <row r="241" spans="1:10" s="31" customFormat="1" ht="30">
      <c r="A241" s="27"/>
      <c r="B241" s="39" t="s">
        <v>618</v>
      </c>
      <c r="C241" s="85" t="s">
        <v>210</v>
      </c>
      <c r="D241" s="84" t="s">
        <v>137</v>
      </c>
      <c r="E241" s="40">
        <v>0.017</v>
      </c>
      <c r="F241" s="28">
        <f>TRUNC(5.8,2)</f>
        <v>5.8</v>
      </c>
      <c r="G241" s="29">
        <f t="shared" si="9"/>
        <v>0.09</v>
      </c>
      <c r="H241" s="29"/>
      <c r="I241" s="30"/>
      <c r="J241" s="30"/>
    </row>
    <row r="242" spans="1:10" s="31" customFormat="1" ht="15">
      <c r="A242" s="27"/>
      <c r="B242" s="39" t="s">
        <v>619</v>
      </c>
      <c r="C242" s="85" t="s">
        <v>138</v>
      </c>
      <c r="D242" s="84" t="s">
        <v>4</v>
      </c>
      <c r="E242" s="40">
        <v>1.145</v>
      </c>
      <c r="F242" s="28">
        <f>TRUNC(29.7,2)</f>
        <v>29.7</v>
      </c>
      <c r="G242" s="29">
        <f t="shared" si="9"/>
        <v>34</v>
      </c>
      <c r="H242" s="29"/>
      <c r="I242" s="30"/>
      <c r="J242" s="30"/>
    </row>
    <row r="243" spans="1:10" s="31" customFormat="1" ht="15">
      <c r="A243" s="27"/>
      <c r="B243" s="39" t="s">
        <v>620</v>
      </c>
      <c r="C243" s="85" t="s">
        <v>139</v>
      </c>
      <c r="D243" s="84" t="s">
        <v>4</v>
      </c>
      <c r="E243" s="40">
        <v>0.471</v>
      </c>
      <c r="F243" s="28">
        <f>TRUNC(24.91,2)</f>
        <v>24.91</v>
      </c>
      <c r="G243" s="29">
        <f t="shared" si="9"/>
        <v>11.73</v>
      </c>
      <c r="H243" s="29"/>
      <c r="I243" s="30"/>
      <c r="J243" s="30"/>
    </row>
    <row r="244" spans="1:10" s="31" customFormat="1" ht="30">
      <c r="A244" s="27"/>
      <c r="B244" s="39" t="s">
        <v>621</v>
      </c>
      <c r="C244" s="85" t="s">
        <v>622</v>
      </c>
      <c r="D244" s="84" t="s">
        <v>37</v>
      </c>
      <c r="E244" s="40">
        <v>0.014</v>
      </c>
      <c r="F244" s="28">
        <f>TRUNC(34.47,2)</f>
        <v>34.47</v>
      </c>
      <c r="G244" s="29">
        <f t="shared" si="9"/>
        <v>0.48</v>
      </c>
      <c r="H244" s="29"/>
      <c r="I244" s="30"/>
      <c r="J244" s="30"/>
    </row>
    <row r="245" spans="1:10" s="31" customFormat="1" ht="30">
      <c r="A245" s="27"/>
      <c r="B245" s="39" t="s">
        <v>623</v>
      </c>
      <c r="C245" s="85" t="s">
        <v>624</v>
      </c>
      <c r="D245" s="84" t="s">
        <v>22</v>
      </c>
      <c r="E245" s="40">
        <v>0.017</v>
      </c>
      <c r="F245" s="28">
        <f>TRUNC(37.4,2)</f>
        <v>37.4</v>
      </c>
      <c r="G245" s="29">
        <f t="shared" si="9"/>
        <v>0.63</v>
      </c>
      <c r="H245" s="29"/>
      <c r="I245" s="30"/>
      <c r="J245" s="30"/>
    </row>
    <row r="246" spans="1:10" s="31" customFormat="1" ht="15">
      <c r="A246" s="27"/>
      <c r="B246" s="39"/>
      <c r="C246" s="85"/>
      <c r="D246" s="84"/>
      <c r="E246" s="40" t="s">
        <v>5</v>
      </c>
      <c r="F246" s="28"/>
      <c r="G246" s="29">
        <f>TRUNC(SUM(G236:G245),2)</f>
        <v>79.67</v>
      </c>
      <c r="H246" s="29"/>
      <c r="I246" s="30"/>
      <c r="J246" s="48">
        <v>1121.84</v>
      </c>
    </row>
    <row r="247" spans="1:10" s="49" customFormat="1" ht="75">
      <c r="A247" s="41" t="s">
        <v>277</v>
      </c>
      <c r="B247" s="42" t="s">
        <v>627</v>
      </c>
      <c r="C247" s="43" t="s">
        <v>211</v>
      </c>
      <c r="D247" s="44" t="s">
        <v>3</v>
      </c>
      <c r="E247" s="45">
        <v>66.03</v>
      </c>
      <c r="F247" s="46">
        <f>TRUNC(G252+G256,2)</f>
        <v>13.7</v>
      </c>
      <c r="G247" s="47">
        <f>TRUNC(F247*1.2338,2)</f>
        <v>16.9</v>
      </c>
      <c r="H247" s="47">
        <f>TRUNC(F247*E247,2)</f>
        <v>904.61</v>
      </c>
      <c r="I247" s="48">
        <f>TRUNC(E247*G247,2)</f>
        <v>1115.9</v>
      </c>
      <c r="J247" s="30"/>
    </row>
    <row r="248" spans="1:10" s="31" customFormat="1" ht="75">
      <c r="A248" s="27"/>
      <c r="B248" s="39" t="s">
        <v>625</v>
      </c>
      <c r="C248" s="85" t="s">
        <v>212</v>
      </c>
      <c r="D248" s="84" t="s">
        <v>3</v>
      </c>
      <c r="E248" s="40">
        <v>1</v>
      </c>
      <c r="F248" s="28">
        <f>TRUNC(9.2505,2)</f>
        <v>9.25</v>
      </c>
      <c r="G248" s="29">
        <f>TRUNC(E248*F248,2)</f>
        <v>9.25</v>
      </c>
      <c r="H248" s="29"/>
      <c r="I248" s="30"/>
      <c r="J248" s="30"/>
    </row>
    <row r="249" spans="1:10" s="31" customFormat="1" ht="15">
      <c r="A249" s="27"/>
      <c r="B249" s="39" t="s">
        <v>213</v>
      </c>
      <c r="C249" s="85" t="s">
        <v>214</v>
      </c>
      <c r="D249" s="84" t="s">
        <v>3</v>
      </c>
      <c r="E249" s="40">
        <v>0.55</v>
      </c>
      <c r="F249" s="28">
        <f>TRUNC(8.04,2)</f>
        <v>8.04</v>
      </c>
      <c r="G249" s="29">
        <f>TRUNC(E249*F249,2)</f>
        <v>4.42</v>
      </c>
      <c r="H249" s="29"/>
      <c r="I249" s="30"/>
      <c r="J249" s="30"/>
    </row>
    <row r="250" spans="1:10" s="31" customFormat="1" ht="15">
      <c r="A250" s="27"/>
      <c r="B250" s="39" t="s">
        <v>215</v>
      </c>
      <c r="C250" s="85" t="s">
        <v>216</v>
      </c>
      <c r="D250" s="84" t="s">
        <v>3</v>
      </c>
      <c r="E250" s="40">
        <v>0.55</v>
      </c>
      <c r="F250" s="28">
        <f>TRUNC(8.13,2)</f>
        <v>8.13</v>
      </c>
      <c r="G250" s="29">
        <f>TRUNC(E250*F250,2)</f>
        <v>4.47</v>
      </c>
      <c r="H250" s="29"/>
      <c r="I250" s="30"/>
      <c r="J250" s="30"/>
    </row>
    <row r="251" spans="1:10" s="31" customFormat="1" ht="15">
      <c r="A251" s="27"/>
      <c r="B251" s="39" t="s">
        <v>171</v>
      </c>
      <c r="C251" s="85" t="s">
        <v>172</v>
      </c>
      <c r="D251" s="84" t="s">
        <v>3</v>
      </c>
      <c r="E251" s="40">
        <v>0.03</v>
      </c>
      <c r="F251" s="28">
        <f>TRUNC(11.9,2)</f>
        <v>11.9</v>
      </c>
      <c r="G251" s="29">
        <f>TRUNC(E251*F251,2)</f>
        <v>0.35</v>
      </c>
      <c r="H251" s="29"/>
      <c r="I251" s="30"/>
      <c r="J251" s="30"/>
    </row>
    <row r="252" spans="1:10" s="31" customFormat="1" ht="15">
      <c r="A252" s="27"/>
      <c r="B252" s="39"/>
      <c r="C252" s="85"/>
      <c r="D252" s="84"/>
      <c r="E252" s="40" t="s">
        <v>5</v>
      </c>
      <c r="F252" s="28"/>
      <c r="G252" s="29">
        <f>TRUNC(SUM(G249:G251),2)</f>
        <v>9.24</v>
      </c>
      <c r="H252" s="29"/>
      <c r="I252" s="30"/>
      <c r="J252" s="30"/>
    </row>
    <row r="253" spans="1:10" s="31" customFormat="1" ht="45">
      <c r="A253" s="27"/>
      <c r="B253" s="39" t="s">
        <v>626</v>
      </c>
      <c r="C253" s="85" t="s">
        <v>217</v>
      </c>
      <c r="D253" s="84" t="s">
        <v>3</v>
      </c>
      <c r="E253" s="40">
        <v>1</v>
      </c>
      <c r="F253" s="28">
        <f>TRUNC(4.465153,2)</f>
        <v>4.46</v>
      </c>
      <c r="G253" s="29">
        <f>TRUNC(E253*F253,2)</f>
        <v>4.46</v>
      </c>
      <c r="H253" s="29"/>
      <c r="I253" s="30"/>
      <c r="J253" s="30"/>
    </row>
    <row r="254" spans="1:10" s="31" customFormat="1" ht="30">
      <c r="A254" s="27"/>
      <c r="B254" s="39" t="s">
        <v>32</v>
      </c>
      <c r="C254" s="85" t="s">
        <v>33</v>
      </c>
      <c r="D254" s="84" t="s">
        <v>4</v>
      </c>
      <c r="E254" s="40">
        <v>0.1133</v>
      </c>
      <c r="F254" s="28">
        <f>TRUNC(16.55,2)</f>
        <v>16.55</v>
      </c>
      <c r="G254" s="29">
        <f>TRUNC(E254*F254,2)</f>
        <v>1.87</v>
      </c>
      <c r="H254" s="29"/>
      <c r="I254" s="30"/>
      <c r="J254" s="30"/>
    </row>
    <row r="255" spans="1:10" s="31" customFormat="1" ht="30">
      <c r="A255" s="27"/>
      <c r="B255" s="39" t="s">
        <v>628</v>
      </c>
      <c r="C255" s="85" t="s">
        <v>629</v>
      </c>
      <c r="D255" s="84" t="s">
        <v>4</v>
      </c>
      <c r="E255" s="40">
        <v>0.1133</v>
      </c>
      <c r="F255" s="28">
        <f>TRUNC(22.86,2)</f>
        <v>22.86</v>
      </c>
      <c r="G255" s="29">
        <f>TRUNC(E255*F255,2)</f>
        <v>2.59</v>
      </c>
      <c r="H255" s="29"/>
      <c r="I255" s="30"/>
      <c r="J255" s="30"/>
    </row>
    <row r="256" spans="1:10" s="31" customFormat="1" ht="15">
      <c r="A256" s="27"/>
      <c r="B256" s="39"/>
      <c r="C256" s="85"/>
      <c r="D256" s="84"/>
      <c r="E256" s="40" t="s">
        <v>5</v>
      </c>
      <c r="F256" s="28"/>
      <c r="G256" s="29">
        <f>TRUNC(SUM(G254:G255),2)</f>
        <v>4.46</v>
      </c>
      <c r="H256" s="29"/>
      <c r="I256" s="30"/>
      <c r="J256" s="48">
        <v>8536.83</v>
      </c>
    </row>
    <row r="257" spans="1:10" s="49" customFormat="1" ht="60">
      <c r="A257" s="41" t="s">
        <v>278</v>
      </c>
      <c r="B257" s="42" t="s">
        <v>630</v>
      </c>
      <c r="C257" s="43" t="s">
        <v>218</v>
      </c>
      <c r="D257" s="44" t="s">
        <v>3</v>
      </c>
      <c r="E257" s="45">
        <v>499.23</v>
      </c>
      <c r="F257" s="46">
        <f>TRUNC(G261+G265,2)</f>
        <v>13.83</v>
      </c>
      <c r="G257" s="47">
        <f>TRUNC(F257*1.2338,2)</f>
        <v>17.06</v>
      </c>
      <c r="H257" s="47">
        <f>TRUNC(F257*E257,2)</f>
        <v>6904.35</v>
      </c>
      <c r="I257" s="48">
        <f>TRUNC(E257*G257,2)</f>
        <v>8516.86</v>
      </c>
      <c r="J257" s="30"/>
    </row>
    <row r="258" spans="1:10" s="31" customFormat="1" ht="60">
      <c r="A258" s="27"/>
      <c r="B258" s="39" t="s">
        <v>631</v>
      </c>
      <c r="C258" s="85" t="s">
        <v>219</v>
      </c>
      <c r="D258" s="84" t="s">
        <v>3</v>
      </c>
      <c r="E258" s="40">
        <v>1</v>
      </c>
      <c r="F258" s="28">
        <f>TRUNC(8.99112,2)</f>
        <v>8.99</v>
      </c>
      <c r="G258" s="29">
        <f>TRUNC(E258*F258,2)</f>
        <v>8.99</v>
      </c>
      <c r="H258" s="29"/>
      <c r="I258" s="30"/>
      <c r="J258" s="30"/>
    </row>
    <row r="259" spans="1:10" s="31" customFormat="1" ht="15">
      <c r="A259" s="27"/>
      <c r="B259" s="39" t="s">
        <v>220</v>
      </c>
      <c r="C259" s="85" t="s">
        <v>221</v>
      </c>
      <c r="D259" s="84" t="s">
        <v>3</v>
      </c>
      <c r="E259" s="40">
        <v>1.1</v>
      </c>
      <c r="F259" s="28">
        <f>TRUNC(7.8492,2)</f>
        <v>7.84</v>
      </c>
      <c r="G259" s="29">
        <f>TRUNC(E259*F259,2)</f>
        <v>8.62</v>
      </c>
      <c r="H259" s="29"/>
      <c r="I259" s="30"/>
      <c r="J259" s="30"/>
    </row>
    <row r="260" spans="1:10" s="31" customFormat="1" ht="15">
      <c r="A260" s="27"/>
      <c r="B260" s="39" t="s">
        <v>171</v>
      </c>
      <c r="C260" s="85" t="s">
        <v>172</v>
      </c>
      <c r="D260" s="84" t="s">
        <v>3</v>
      </c>
      <c r="E260" s="40">
        <v>0.03</v>
      </c>
      <c r="F260" s="28">
        <f>TRUNC(11.9,2)</f>
        <v>11.9</v>
      </c>
      <c r="G260" s="29">
        <f>TRUNC(E260*F260,2)</f>
        <v>0.35</v>
      </c>
      <c r="H260" s="29"/>
      <c r="I260" s="30"/>
      <c r="J260" s="30"/>
    </row>
    <row r="261" spans="1:10" s="31" customFormat="1" ht="15">
      <c r="A261" s="27"/>
      <c r="B261" s="39"/>
      <c r="C261" s="85"/>
      <c r="D261" s="84"/>
      <c r="E261" s="40" t="s">
        <v>5</v>
      </c>
      <c r="F261" s="28"/>
      <c r="G261" s="29">
        <f>TRUNC(SUM(G259:G260),2)</f>
        <v>8.97</v>
      </c>
      <c r="H261" s="29"/>
      <c r="I261" s="30"/>
      <c r="J261" s="30"/>
    </row>
    <row r="262" spans="1:10" s="31" customFormat="1" ht="45">
      <c r="A262" s="27"/>
      <c r="B262" s="39" t="s">
        <v>632</v>
      </c>
      <c r="C262" s="85" t="s">
        <v>222</v>
      </c>
      <c r="D262" s="84" t="s">
        <v>3</v>
      </c>
      <c r="E262" s="40">
        <v>1</v>
      </c>
      <c r="F262" s="28">
        <f>TRUNC(4.871076,2)</f>
        <v>4.87</v>
      </c>
      <c r="G262" s="29">
        <f>TRUNC(E262*F262,2)</f>
        <v>4.87</v>
      </c>
      <c r="H262" s="29"/>
      <c r="I262" s="30"/>
      <c r="J262" s="30"/>
    </row>
    <row r="263" spans="1:10" s="31" customFormat="1" ht="30">
      <c r="A263" s="27"/>
      <c r="B263" s="39" t="s">
        <v>32</v>
      </c>
      <c r="C263" s="85" t="s">
        <v>33</v>
      </c>
      <c r="D263" s="84" t="s">
        <v>4</v>
      </c>
      <c r="E263" s="40">
        <v>0.1236</v>
      </c>
      <c r="F263" s="28">
        <f>TRUNC(16.55,2)</f>
        <v>16.55</v>
      </c>
      <c r="G263" s="29">
        <f>TRUNC(E263*F263,2)</f>
        <v>2.04</v>
      </c>
      <c r="H263" s="29"/>
      <c r="I263" s="30"/>
      <c r="J263" s="30"/>
    </row>
    <row r="264" spans="1:10" s="31" customFormat="1" ht="30">
      <c r="A264" s="27"/>
      <c r="B264" s="39" t="s">
        <v>628</v>
      </c>
      <c r="C264" s="85" t="s">
        <v>629</v>
      </c>
      <c r="D264" s="84" t="s">
        <v>4</v>
      </c>
      <c r="E264" s="40">
        <v>0.1236</v>
      </c>
      <c r="F264" s="28">
        <f>TRUNC(22.86,2)</f>
        <v>22.86</v>
      </c>
      <c r="G264" s="29">
        <f>TRUNC(E264*F264,2)</f>
        <v>2.82</v>
      </c>
      <c r="H264" s="29"/>
      <c r="I264" s="30"/>
      <c r="J264" s="30"/>
    </row>
    <row r="265" spans="1:10" s="31" customFormat="1" ht="15">
      <c r="A265" s="27"/>
      <c r="B265" s="39"/>
      <c r="C265" s="85"/>
      <c r="D265" s="84"/>
      <c r="E265" s="40" t="s">
        <v>5</v>
      </c>
      <c r="F265" s="28"/>
      <c r="G265" s="29">
        <f>TRUNC(SUM(G263:G264),2)</f>
        <v>4.86</v>
      </c>
      <c r="H265" s="29"/>
      <c r="I265" s="30"/>
      <c r="J265" s="48">
        <v>45271.79</v>
      </c>
    </row>
    <row r="266" spans="1:10" s="49" customFormat="1" ht="60.75" thickBot="1">
      <c r="A266" s="41" t="s">
        <v>279</v>
      </c>
      <c r="B266" s="42" t="s">
        <v>633</v>
      </c>
      <c r="C266" s="43" t="s">
        <v>223</v>
      </c>
      <c r="D266" s="44" t="s">
        <v>3</v>
      </c>
      <c r="E266" s="45">
        <v>2827.72</v>
      </c>
      <c r="F266" s="46">
        <f>TRUNC(G272+G276,2)</f>
        <v>12.9</v>
      </c>
      <c r="G266" s="47">
        <f>TRUNC(F266*1.2338,2)</f>
        <v>15.91</v>
      </c>
      <c r="H266" s="47">
        <f>TRUNC(F266*E266,2)</f>
        <v>36477.58</v>
      </c>
      <c r="I266" s="48">
        <f>TRUNC(E266*G266,2)</f>
        <v>44989.02</v>
      </c>
      <c r="J266" s="30"/>
    </row>
    <row r="267" spans="1:10" s="31" customFormat="1" ht="60">
      <c r="A267" s="27"/>
      <c r="B267" s="68" t="s">
        <v>634</v>
      </c>
      <c r="C267" s="85" t="s">
        <v>224</v>
      </c>
      <c r="D267" s="84" t="s">
        <v>3</v>
      </c>
      <c r="E267" s="40">
        <v>1</v>
      </c>
      <c r="F267" s="28">
        <f>TRUNC(8.673564,2)</f>
        <v>8.67</v>
      </c>
      <c r="G267" s="29">
        <f>TRUNC(E267*F267,2)</f>
        <v>8.67</v>
      </c>
      <c r="H267" s="29"/>
      <c r="I267" s="30"/>
      <c r="J267" s="30"/>
    </row>
    <row r="268" spans="1:10" s="31" customFormat="1" ht="15">
      <c r="A268" s="27"/>
      <c r="B268" s="67" t="s">
        <v>225</v>
      </c>
      <c r="C268" s="85" t="s">
        <v>226</v>
      </c>
      <c r="D268" s="84" t="s">
        <v>3</v>
      </c>
      <c r="E268" s="40">
        <v>0.37</v>
      </c>
      <c r="F268" s="28">
        <f>TRUNC(7.1356,2)</f>
        <v>7.13</v>
      </c>
      <c r="G268" s="29">
        <f>TRUNC(E268*F268,2)</f>
        <v>2.63</v>
      </c>
      <c r="H268" s="29"/>
      <c r="I268" s="30"/>
      <c r="J268" s="30"/>
    </row>
    <row r="269" spans="1:10" s="31" customFormat="1" ht="15">
      <c r="A269" s="27"/>
      <c r="B269" s="67" t="s">
        <v>227</v>
      </c>
      <c r="C269" s="85" t="s">
        <v>228</v>
      </c>
      <c r="D269" s="84" t="s">
        <v>3</v>
      </c>
      <c r="E269" s="40">
        <v>0.37</v>
      </c>
      <c r="F269" s="28">
        <f>TRUNC(7.4924,2)</f>
        <v>7.49</v>
      </c>
      <c r="G269" s="29">
        <f>TRUNC(E269*F269,2)</f>
        <v>2.77</v>
      </c>
      <c r="H269" s="29"/>
      <c r="I269" s="30"/>
      <c r="J269" s="30"/>
    </row>
    <row r="270" spans="1:10" s="31" customFormat="1" ht="15">
      <c r="A270" s="27"/>
      <c r="B270" s="67" t="s">
        <v>229</v>
      </c>
      <c r="C270" s="85" t="s">
        <v>230</v>
      </c>
      <c r="D270" s="84" t="s">
        <v>3</v>
      </c>
      <c r="E270" s="40">
        <v>0.37</v>
      </c>
      <c r="F270" s="28">
        <f>TRUNC(7.8492,2)</f>
        <v>7.84</v>
      </c>
      <c r="G270" s="29">
        <f>TRUNC(E270*F270,2)</f>
        <v>2.9</v>
      </c>
      <c r="H270" s="29"/>
      <c r="I270" s="30"/>
      <c r="J270" s="30"/>
    </row>
    <row r="271" spans="1:10" s="31" customFormat="1" ht="15">
      <c r="A271" s="27"/>
      <c r="B271" s="67" t="s">
        <v>171</v>
      </c>
      <c r="C271" s="85" t="s">
        <v>172</v>
      </c>
      <c r="D271" s="84" t="s">
        <v>3</v>
      </c>
      <c r="E271" s="40">
        <v>0.03</v>
      </c>
      <c r="F271" s="28">
        <f>TRUNC(11.9,2)</f>
        <v>11.9</v>
      </c>
      <c r="G271" s="29">
        <f>TRUNC(E271*F271,2)</f>
        <v>0.35</v>
      </c>
      <c r="H271" s="29"/>
      <c r="I271" s="30"/>
      <c r="J271" s="30"/>
    </row>
    <row r="272" spans="1:10" s="31" customFormat="1" ht="15">
      <c r="A272" s="27"/>
      <c r="B272" s="67"/>
      <c r="C272" s="85"/>
      <c r="D272" s="84"/>
      <c r="E272" s="40" t="s">
        <v>5</v>
      </c>
      <c r="F272" s="28"/>
      <c r="G272" s="29">
        <f>TRUNC(SUM(G268:G271),2)</f>
        <v>8.65</v>
      </c>
      <c r="H272" s="29"/>
      <c r="I272" s="30"/>
      <c r="J272" s="30"/>
    </row>
    <row r="273" spans="1:10" s="31" customFormat="1" ht="45">
      <c r="A273" s="27"/>
      <c r="B273" s="39" t="s">
        <v>635</v>
      </c>
      <c r="C273" s="85" t="s">
        <v>231</v>
      </c>
      <c r="D273" s="84" t="s">
        <v>3</v>
      </c>
      <c r="E273" s="40">
        <v>1</v>
      </c>
      <c r="F273" s="28">
        <f>TRUNC(4.2621915,2)</f>
        <v>4.26</v>
      </c>
      <c r="G273" s="29">
        <f>TRUNC(E273*F273,2)</f>
        <v>4.26</v>
      </c>
      <c r="H273" s="29"/>
      <c r="I273" s="30"/>
      <c r="J273" s="30"/>
    </row>
    <row r="274" spans="1:10" s="31" customFormat="1" ht="30">
      <c r="A274" s="27"/>
      <c r="B274" s="39" t="s">
        <v>32</v>
      </c>
      <c r="C274" s="85" t="s">
        <v>33</v>
      </c>
      <c r="D274" s="84" t="s">
        <v>4</v>
      </c>
      <c r="E274" s="40">
        <v>0.10815</v>
      </c>
      <c r="F274" s="28">
        <f>TRUNC(16.55,2)</f>
        <v>16.55</v>
      </c>
      <c r="G274" s="29">
        <f>TRUNC(E274*F274,2)</f>
        <v>1.78</v>
      </c>
      <c r="H274" s="29"/>
      <c r="I274" s="30"/>
      <c r="J274" s="30"/>
    </row>
    <row r="275" spans="1:10" s="31" customFormat="1" ht="30">
      <c r="A275" s="27"/>
      <c r="B275" s="39" t="s">
        <v>628</v>
      </c>
      <c r="C275" s="85" t="s">
        <v>629</v>
      </c>
      <c r="D275" s="84" t="s">
        <v>4</v>
      </c>
      <c r="E275" s="40">
        <v>0.10815</v>
      </c>
      <c r="F275" s="28">
        <f>TRUNC(22.86,2)</f>
        <v>22.86</v>
      </c>
      <c r="G275" s="29">
        <f>TRUNC(E275*F275,2)</f>
        <v>2.47</v>
      </c>
      <c r="H275" s="29"/>
      <c r="I275" s="30"/>
      <c r="J275" s="30"/>
    </row>
    <row r="276" spans="1:10" s="31" customFormat="1" ht="15">
      <c r="A276" s="27"/>
      <c r="B276" s="39"/>
      <c r="C276" s="85"/>
      <c r="D276" s="84"/>
      <c r="E276" s="40" t="s">
        <v>5</v>
      </c>
      <c r="F276" s="28"/>
      <c r="G276" s="29">
        <f>TRUNC(SUM(G274:G275),2)</f>
        <v>4.25</v>
      </c>
      <c r="H276" s="29"/>
      <c r="I276" s="30"/>
      <c r="J276" s="48">
        <v>73785.81</v>
      </c>
    </row>
    <row r="277" spans="1:10" s="49" customFormat="1" ht="30">
      <c r="A277" s="41" t="s">
        <v>280</v>
      </c>
      <c r="B277" s="42" t="s">
        <v>812</v>
      </c>
      <c r="C277" s="43" t="s">
        <v>232</v>
      </c>
      <c r="D277" s="44" t="s">
        <v>0</v>
      </c>
      <c r="E277" s="45">
        <v>280.8</v>
      </c>
      <c r="F277" s="46">
        <f>TRUNC(G280,2)</f>
        <v>13.2</v>
      </c>
      <c r="G277" s="47">
        <f>TRUNC(F277*1.2338,2)</f>
        <v>16.28</v>
      </c>
      <c r="H277" s="47">
        <f>TRUNC(F277*E277,2)</f>
        <v>3706.56</v>
      </c>
      <c r="I277" s="48">
        <f>TRUNC(E277*G277,2)</f>
        <v>4571.42</v>
      </c>
      <c r="J277" s="30"/>
    </row>
    <row r="278" spans="1:10" s="31" customFormat="1" ht="30">
      <c r="A278" s="27"/>
      <c r="B278" s="69" t="s">
        <v>636</v>
      </c>
      <c r="C278" s="85" t="s">
        <v>233</v>
      </c>
      <c r="D278" s="84" t="s">
        <v>137</v>
      </c>
      <c r="E278" s="40">
        <v>0.4</v>
      </c>
      <c r="F278" s="28">
        <v>9.62</v>
      </c>
      <c r="G278" s="29">
        <f>TRUNC(E278*F278,2)</f>
        <v>3.84</v>
      </c>
      <c r="H278" s="29"/>
      <c r="I278" s="30"/>
      <c r="J278" s="30"/>
    </row>
    <row r="279" spans="1:10" s="31" customFormat="1" ht="15">
      <c r="A279" s="27"/>
      <c r="B279" s="69" t="s">
        <v>41</v>
      </c>
      <c r="C279" s="85" t="s">
        <v>31</v>
      </c>
      <c r="D279" s="84" t="s">
        <v>4</v>
      </c>
      <c r="E279" s="40">
        <v>0.4</v>
      </c>
      <c r="F279" s="28">
        <f>TRUNC(23.42,2)</f>
        <v>23.42</v>
      </c>
      <c r="G279" s="29">
        <f>TRUNC(E279*F279,2)</f>
        <v>9.36</v>
      </c>
      <c r="H279" s="29"/>
      <c r="I279" s="30"/>
      <c r="J279" s="30"/>
    </row>
    <row r="280" spans="1:10" s="31" customFormat="1" ht="15">
      <c r="A280" s="27"/>
      <c r="B280" s="39"/>
      <c r="C280" s="85"/>
      <c r="D280" s="84"/>
      <c r="E280" s="40" t="s">
        <v>5</v>
      </c>
      <c r="F280" s="28"/>
      <c r="G280" s="29">
        <f>TRUNC(SUM(G278:G279),2)</f>
        <v>13.2</v>
      </c>
      <c r="H280" s="29"/>
      <c r="I280" s="30"/>
      <c r="J280" s="48">
        <v>3162.34</v>
      </c>
    </row>
    <row r="281" spans="1:10" s="49" customFormat="1" ht="30">
      <c r="A281" s="41" t="s">
        <v>281</v>
      </c>
      <c r="B281" s="42" t="s">
        <v>638</v>
      </c>
      <c r="C281" s="43" t="s">
        <v>234</v>
      </c>
      <c r="D281" s="44" t="s">
        <v>0</v>
      </c>
      <c r="E281" s="45">
        <v>176.47</v>
      </c>
      <c r="F281" s="46">
        <f>TRUNC(G286,2)</f>
        <v>13.87</v>
      </c>
      <c r="G281" s="47">
        <f>TRUNC(F281*1.2338,2)</f>
        <v>17.11</v>
      </c>
      <c r="H281" s="47">
        <f>TRUNC(F281*E281,2)</f>
        <v>2447.63</v>
      </c>
      <c r="I281" s="48">
        <f>TRUNC(E281*G281,2)</f>
        <v>3019.4</v>
      </c>
      <c r="J281" s="30"/>
    </row>
    <row r="282" spans="1:10" s="31" customFormat="1" ht="45">
      <c r="A282" s="27"/>
      <c r="B282" s="66" t="s">
        <v>238</v>
      </c>
      <c r="C282" s="85" t="s">
        <v>237</v>
      </c>
      <c r="D282" s="84" t="s">
        <v>3</v>
      </c>
      <c r="E282" s="40">
        <v>1</v>
      </c>
      <c r="F282" s="28">
        <v>13.02</v>
      </c>
      <c r="G282" s="29">
        <f>TRUNC(E282*F282,2)</f>
        <v>13.02</v>
      </c>
      <c r="H282" s="29"/>
      <c r="I282" s="30"/>
      <c r="J282" s="30"/>
    </row>
    <row r="283" spans="1:10" s="31" customFormat="1" ht="15">
      <c r="A283" s="27"/>
      <c r="B283" s="69" t="s">
        <v>639</v>
      </c>
      <c r="C283" s="85" t="s">
        <v>235</v>
      </c>
      <c r="D283" s="84" t="s">
        <v>3</v>
      </c>
      <c r="E283" s="70">
        <v>0.0103</v>
      </c>
      <c r="F283" s="28">
        <v>12.9</v>
      </c>
      <c r="G283" s="29">
        <f>TRUNC(E283*F283,2)</f>
        <v>0.13</v>
      </c>
      <c r="H283" s="29"/>
      <c r="I283" s="30"/>
      <c r="J283" s="30"/>
    </row>
    <row r="284" spans="1:10" s="31" customFormat="1" ht="15">
      <c r="A284" s="27"/>
      <c r="B284" s="69" t="s">
        <v>41</v>
      </c>
      <c r="C284" s="85" t="s">
        <v>31</v>
      </c>
      <c r="D284" s="84" t="s">
        <v>4</v>
      </c>
      <c r="E284" s="70">
        <v>0.04</v>
      </c>
      <c r="F284" s="28">
        <f>TRUNC(23.42,2)</f>
        <v>23.42</v>
      </c>
      <c r="G284" s="29">
        <f>TRUNC(SUM(G283:G283),2)</f>
        <v>0.13</v>
      </c>
      <c r="H284" s="29"/>
      <c r="I284" s="30"/>
      <c r="J284" s="30"/>
    </row>
    <row r="285" spans="1:10" s="31" customFormat="1" ht="15">
      <c r="A285" s="27"/>
      <c r="B285" s="69" t="s">
        <v>640</v>
      </c>
      <c r="C285" s="85" t="s">
        <v>236</v>
      </c>
      <c r="D285" s="84" t="s">
        <v>4</v>
      </c>
      <c r="E285" s="70">
        <v>0.02</v>
      </c>
      <c r="F285" s="28">
        <f>TRUNC(29.8,2)</f>
        <v>29.8</v>
      </c>
      <c r="G285" s="29">
        <f>TRUNC(E285*F285,2)</f>
        <v>0.59</v>
      </c>
      <c r="H285" s="29"/>
      <c r="I285" s="30"/>
      <c r="J285" s="30"/>
    </row>
    <row r="286" spans="1:10" s="31" customFormat="1" ht="15">
      <c r="A286" s="27"/>
      <c r="B286" s="39"/>
      <c r="C286" s="85"/>
      <c r="D286" s="84"/>
      <c r="E286" s="40" t="s">
        <v>5</v>
      </c>
      <c r="F286" s="28"/>
      <c r="G286" s="29">
        <f>TRUNC(SUM(G282:G285),2)</f>
        <v>13.87</v>
      </c>
      <c r="H286" s="29"/>
      <c r="I286" s="30"/>
      <c r="J286" s="48">
        <v>2152.95</v>
      </c>
    </row>
    <row r="287" spans="1:10" s="49" customFormat="1" ht="30">
      <c r="A287" s="41" t="s">
        <v>282</v>
      </c>
      <c r="B287" s="42" t="s">
        <v>637</v>
      </c>
      <c r="C287" s="43" t="s">
        <v>239</v>
      </c>
      <c r="D287" s="44" t="s">
        <v>1</v>
      </c>
      <c r="E287" s="45">
        <v>12.55</v>
      </c>
      <c r="F287" s="46">
        <f>TRUNC(G290,2)</f>
        <v>137.89</v>
      </c>
      <c r="G287" s="47">
        <f>TRUNC(F287*1.2338,2)</f>
        <v>170.12</v>
      </c>
      <c r="H287" s="47">
        <f>TRUNC(F287*E287,2)</f>
        <v>1730.51</v>
      </c>
      <c r="I287" s="48">
        <f>TRUNC(E287*G287,2)</f>
        <v>2135</v>
      </c>
      <c r="J287" s="30"/>
    </row>
    <row r="288" spans="1:10" s="31" customFormat="1" ht="15">
      <c r="A288" s="27"/>
      <c r="B288" s="39" t="s">
        <v>195</v>
      </c>
      <c r="C288" s="85" t="s">
        <v>196</v>
      </c>
      <c r="D288" s="84" t="s">
        <v>21</v>
      </c>
      <c r="E288" s="40">
        <v>1.595</v>
      </c>
      <c r="F288" s="28">
        <f>TRUNC(59.745,2)</f>
        <v>59.74</v>
      </c>
      <c r="G288" s="29">
        <f>TRUNC(E288*F288,2)</f>
        <v>95.28</v>
      </c>
      <c r="H288" s="29"/>
      <c r="I288" s="30"/>
      <c r="J288" s="30"/>
    </row>
    <row r="289" spans="1:10" s="31" customFormat="1" ht="30">
      <c r="A289" s="27"/>
      <c r="B289" s="39" t="s">
        <v>32</v>
      </c>
      <c r="C289" s="85" t="s">
        <v>33</v>
      </c>
      <c r="D289" s="84" t="s">
        <v>4</v>
      </c>
      <c r="E289" s="40">
        <v>2.575</v>
      </c>
      <c r="F289" s="28">
        <f>TRUNC(16.55,2)</f>
        <v>16.55</v>
      </c>
      <c r="G289" s="29">
        <f>TRUNC(E289*F289,2)</f>
        <v>42.61</v>
      </c>
      <c r="H289" s="29"/>
      <c r="I289" s="30"/>
      <c r="J289" s="30"/>
    </row>
    <row r="290" spans="1:10" s="31" customFormat="1" ht="15">
      <c r="A290" s="27"/>
      <c r="B290" s="39"/>
      <c r="C290" s="85"/>
      <c r="D290" s="84"/>
      <c r="E290" s="40" t="s">
        <v>5</v>
      </c>
      <c r="F290" s="28"/>
      <c r="G290" s="29">
        <f>TRUNC(SUM(G288:G289),2)</f>
        <v>137.89</v>
      </c>
      <c r="H290" s="29"/>
      <c r="I290" s="30"/>
      <c r="J290" s="48">
        <v>291.95</v>
      </c>
    </row>
    <row r="291" spans="1:10" s="49" customFormat="1" ht="30">
      <c r="A291" s="41" t="s">
        <v>283</v>
      </c>
      <c r="B291" s="42" t="s">
        <v>641</v>
      </c>
      <c r="C291" s="43" t="s">
        <v>240</v>
      </c>
      <c r="D291" s="44" t="s">
        <v>2</v>
      </c>
      <c r="E291" s="45">
        <v>14.07</v>
      </c>
      <c r="F291" s="46">
        <f>TRUNC(G295,2)</f>
        <v>17.13</v>
      </c>
      <c r="G291" s="47">
        <f>TRUNC(F291*1.2338,2)</f>
        <v>21.13</v>
      </c>
      <c r="H291" s="47">
        <f>TRUNC(F291*E291,2)</f>
        <v>241.01</v>
      </c>
      <c r="I291" s="48">
        <f>TRUNC(E291*G291,2)</f>
        <v>297.29</v>
      </c>
      <c r="J291" s="30"/>
    </row>
    <row r="292" spans="1:10" s="31" customFormat="1" ht="15">
      <c r="A292" s="27"/>
      <c r="B292" s="39" t="s">
        <v>241</v>
      </c>
      <c r="C292" s="85" t="s">
        <v>242</v>
      </c>
      <c r="D292" s="84" t="s">
        <v>21</v>
      </c>
      <c r="E292" s="40">
        <v>0.00145</v>
      </c>
      <c r="F292" s="28">
        <f>TRUNC(62,2)</f>
        <v>62</v>
      </c>
      <c r="G292" s="29">
        <f>TRUNC(E292*F292,2)</f>
        <v>0.08</v>
      </c>
      <c r="H292" s="29"/>
      <c r="I292" s="30"/>
      <c r="J292" s="30"/>
    </row>
    <row r="293" spans="1:10" s="31" customFormat="1" ht="15">
      <c r="A293" s="27"/>
      <c r="B293" s="39" t="s">
        <v>243</v>
      </c>
      <c r="C293" s="85" t="s">
        <v>244</v>
      </c>
      <c r="D293" s="84" t="s">
        <v>10</v>
      </c>
      <c r="E293" s="40">
        <v>0.175</v>
      </c>
      <c r="F293" s="28">
        <f>TRUNC(48.76,2)</f>
        <v>48.76</v>
      </c>
      <c r="G293" s="29">
        <f>TRUNC(E293*F293,2)</f>
        <v>8.53</v>
      </c>
      <c r="H293" s="29"/>
      <c r="I293" s="30"/>
      <c r="J293" s="30"/>
    </row>
    <row r="294" spans="1:10" s="31" customFormat="1" ht="30">
      <c r="A294" s="27"/>
      <c r="B294" s="39" t="s">
        <v>32</v>
      </c>
      <c r="C294" s="85" t="s">
        <v>33</v>
      </c>
      <c r="D294" s="84" t="s">
        <v>4</v>
      </c>
      <c r="E294" s="40">
        <v>0.515</v>
      </c>
      <c r="F294" s="28">
        <f>TRUNC(16.55,2)</f>
        <v>16.55</v>
      </c>
      <c r="G294" s="29">
        <f>TRUNC(E294*F294,2)</f>
        <v>8.52</v>
      </c>
      <c r="H294" s="29"/>
      <c r="I294" s="30"/>
      <c r="J294" s="30"/>
    </row>
    <row r="295" spans="1:10" s="31" customFormat="1" ht="15">
      <c r="A295" s="27"/>
      <c r="B295" s="39"/>
      <c r="C295" s="85"/>
      <c r="D295" s="84"/>
      <c r="E295" s="40" t="s">
        <v>5</v>
      </c>
      <c r="F295" s="28"/>
      <c r="G295" s="29">
        <f>TRUNC(SUM(G292:G294),2)</f>
        <v>17.13</v>
      </c>
      <c r="H295" s="29"/>
      <c r="I295" s="30"/>
      <c r="J295" s="48">
        <v>3732.22</v>
      </c>
    </row>
    <row r="296" spans="1:10" s="49" customFormat="1" ht="45" customHeight="1">
      <c r="A296" s="41" t="s">
        <v>284</v>
      </c>
      <c r="B296" s="42" t="s">
        <v>642</v>
      </c>
      <c r="C296" s="43" t="s">
        <v>245</v>
      </c>
      <c r="D296" s="44" t="s">
        <v>0</v>
      </c>
      <c r="E296" s="45">
        <v>30.96</v>
      </c>
      <c r="F296" s="46">
        <f>TRUNC(G303,2)</f>
        <v>97.49</v>
      </c>
      <c r="G296" s="47">
        <f>TRUNC(F296*1.2338,2)</f>
        <v>120.28</v>
      </c>
      <c r="H296" s="47">
        <f>TRUNC(F296*E296,2)</f>
        <v>3018.29</v>
      </c>
      <c r="I296" s="48">
        <f>TRUNC(E296*G296,2)</f>
        <v>3723.86</v>
      </c>
      <c r="J296" s="30"/>
    </row>
    <row r="297" spans="1:10" s="31" customFormat="1" ht="15">
      <c r="A297" s="27"/>
      <c r="B297" s="39" t="s">
        <v>643</v>
      </c>
      <c r="C297" s="85" t="s">
        <v>246</v>
      </c>
      <c r="D297" s="84" t="s">
        <v>247</v>
      </c>
      <c r="E297" s="40">
        <v>0.01</v>
      </c>
      <c r="F297" s="28">
        <f>TRUNC(42.14,2)</f>
        <v>42.14</v>
      </c>
      <c r="G297" s="29">
        <f aca="true" t="shared" si="10" ref="G297:G302">TRUNC(E297*F297,2)</f>
        <v>0.42</v>
      </c>
      <c r="H297" s="29"/>
      <c r="I297" s="30"/>
      <c r="J297" s="30"/>
    </row>
    <row r="298" spans="1:10" s="31" customFormat="1" ht="15">
      <c r="A298" s="27"/>
      <c r="B298" s="39" t="s">
        <v>644</v>
      </c>
      <c r="C298" s="85" t="s">
        <v>249</v>
      </c>
      <c r="D298" s="84" t="s">
        <v>10</v>
      </c>
      <c r="E298" s="40">
        <v>13.35</v>
      </c>
      <c r="F298" s="28">
        <f>TRUNC(3.36,2)</f>
        <v>3.36</v>
      </c>
      <c r="G298" s="29">
        <f t="shared" si="10"/>
        <v>44.85</v>
      </c>
      <c r="H298" s="29"/>
      <c r="I298" s="30"/>
      <c r="J298" s="30"/>
    </row>
    <row r="299" spans="1:10" s="31" customFormat="1" ht="30">
      <c r="A299" s="27"/>
      <c r="B299" s="39" t="s">
        <v>645</v>
      </c>
      <c r="C299" s="85" t="s">
        <v>248</v>
      </c>
      <c r="D299" s="84" t="s">
        <v>2</v>
      </c>
      <c r="E299" s="40">
        <v>0.42</v>
      </c>
      <c r="F299" s="28">
        <f>TRUNC(9.35,2)</f>
        <v>9.35</v>
      </c>
      <c r="G299" s="29">
        <f t="shared" si="10"/>
        <v>3.92</v>
      </c>
      <c r="H299" s="29"/>
      <c r="I299" s="30"/>
      <c r="J299" s="30"/>
    </row>
    <row r="300" spans="1:10" s="31" customFormat="1" ht="15">
      <c r="A300" s="27"/>
      <c r="B300" s="39" t="s">
        <v>41</v>
      </c>
      <c r="C300" s="85" t="s">
        <v>31</v>
      </c>
      <c r="D300" s="84" t="s">
        <v>4</v>
      </c>
      <c r="E300" s="40">
        <v>0.51</v>
      </c>
      <c r="F300" s="28">
        <f>TRUNC(23.42,2)</f>
        <v>23.42</v>
      </c>
      <c r="G300" s="29">
        <f t="shared" si="10"/>
        <v>11.94</v>
      </c>
      <c r="H300" s="29"/>
      <c r="I300" s="30"/>
      <c r="J300" s="30"/>
    </row>
    <row r="301" spans="1:10" s="31" customFormat="1" ht="15">
      <c r="A301" s="27"/>
      <c r="B301" s="39" t="s">
        <v>646</v>
      </c>
      <c r="C301" s="85" t="s">
        <v>142</v>
      </c>
      <c r="D301" s="84" t="s">
        <v>4</v>
      </c>
      <c r="E301" s="40">
        <v>1.02</v>
      </c>
      <c r="F301" s="28">
        <f>TRUNC(29.96,2)</f>
        <v>29.96</v>
      </c>
      <c r="G301" s="29">
        <f t="shared" si="10"/>
        <v>30.55</v>
      </c>
      <c r="H301" s="29"/>
      <c r="I301" s="30"/>
      <c r="J301" s="30"/>
    </row>
    <row r="302" spans="1:10" s="31" customFormat="1" ht="45">
      <c r="A302" s="27"/>
      <c r="B302" s="39" t="s">
        <v>647</v>
      </c>
      <c r="C302" s="85" t="s">
        <v>648</v>
      </c>
      <c r="D302" s="84" t="s">
        <v>1</v>
      </c>
      <c r="E302" s="40">
        <v>0.0129</v>
      </c>
      <c r="F302" s="28">
        <f>TRUNC(450.79,2)</f>
        <v>450.79</v>
      </c>
      <c r="G302" s="29">
        <f t="shared" si="10"/>
        <v>5.81</v>
      </c>
      <c r="H302" s="29"/>
      <c r="I302" s="30"/>
      <c r="J302" s="30"/>
    </row>
    <row r="303" spans="1:10" s="31" customFormat="1" ht="15">
      <c r="A303" s="27"/>
      <c r="B303" s="39"/>
      <c r="C303" s="85"/>
      <c r="D303" s="84"/>
      <c r="E303" s="40" t="s">
        <v>5</v>
      </c>
      <c r="F303" s="28"/>
      <c r="G303" s="29">
        <f>TRUNC(SUM(G297:G302),2)</f>
        <v>97.49</v>
      </c>
      <c r="H303" s="29"/>
      <c r="I303" s="30"/>
      <c r="J303" s="26">
        <v>208624.66999999995</v>
      </c>
    </row>
    <row r="304" spans="1:10" s="14" customFormat="1" ht="15.75">
      <c r="A304" s="23" t="s">
        <v>23</v>
      </c>
      <c r="B304" s="25"/>
      <c r="C304" s="24"/>
      <c r="D304" s="25"/>
      <c r="E304" s="25"/>
      <c r="F304" s="25"/>
      <c r="G304" s="25" t="s">
        <v>522</v>
      </c>
      <c r="H304" s="26">
        <f>H296+H291+H287+H281+H277+H266+H257+H247+H235+H225+H217+H210+H205+H199+H196+H193</f>
        <v>113962.86</v>
      </c>
      <c r="I304" s="26">
        <f>I296+I291+I287+I281+I277+I266+I257+I247+I235+I225+I217+I210+I205+I199+I196+I193</f>
        <v>140582.94999999998</v>
      </c>
      <c r="J304" s="20"/>
    </row>
    <row r="305" spans="1:10" s="13" customFormat="1" ht="15.75">
      <c r="A305" s="13" t="s">
        <v>285</v>
      </c>
      <c r="B305" s="21"/>
      <c r="C305" s="22" t="s">
        <v>250</v>
      </c>
      <c r="D305" s="22"/>
      <c r="E305" s="22"/>
      <c r="F305" s="22"/>
      <c r="G305" s="22"/>
      <c r="H305" s="22"/>
      <c r="I305" s="20"/>
      <c r="J305" s="48">
        <v>5926.4</v>
      </c>
    </row>
    <row r="306" spans="1:10" s="49" customFormat="1" ht="75">
      <c r="A306" s="41" t="s">
        <v>792</v>
      </c>
      <c r="B306" s="42" t="s">
        <v>795</v>
      </c>
      <c r="C306" s="43" t="s">
        <v>788</v>
      </c>
      <c r="D306" s="44" t="s">
        <v>10</v>
      </c>
      <c r="E306" s="45">
        <v>8</v>
      </c>
      <c r="F306" s="46">
        <f>TRUNC(G323,2)</f>
        <v>619.64</v>
      </c>
      <c r="G306" s="47">
        <f>TRUNC(F306*1.2338,2)</f>
        <v>764.51</v>
      </c>
      <c r="H306" s="47">
        <f>TRUNC(F306*E306,2)</f>
        <v>4957.12</v>
      </c>
      <c r="I306" s="48">
        <f>TRUNC(E306*G306,2)</f>
        <v>6116.08</v>
      </c>
      <c r="J306" s="30"/>
    </row>
    <row r="307" spans="1:10" s="31" customFormat="1" ht="15">
      <c r="A307" s="27"/>
      <c r="B307" s="39" t="s">
        <v>220</v>
      </c>
      <c r="C307" s="85" t="s">
        <v>221</v>
      </c>
      <c r="D307" s="84" t="s">
        <v>3</v>
      </c>
      <c r="E307" s="40">
        <v>9</v>
      </c>
      <c r="F307" s="28">
        <f>TRUNC(7.8492,2)</f>
        <v>7.84</v>
      </c>
      <c r="G307" s="29">
        <f aca="true" t="shared" si="11" ref="G307:G322">TRUNC(E307*F307,2)</f>
        <v>70.56</v>
      </c>
      <c r="H307" s="29"/>
      <c r="I307" s="30"/>
      <c r="J307" s="30"/>
    </row>
    <row r="308" spans="1:10" s="31" customFormat="1" ht="15">
      <c r="A308" s="27"/>
      <c r="B308" s="39" t="s">
        <v>383</v>
      </c>
      <c r="C308" s="85" t="s">
        <v>384</v>
      </c>
      <c r="D308" s="84" t="s">
        <v>3</v>
      </c>
      <c r="E308" s="40">
        <v>2.1</v>
      </c>
      <c r="F308" s="28">
        <f>TRUNC(8.6,2)</f>
        <v>8.6</v>
      </c>
      <c r="G308" s="29">
        <f t="shared" si="11"/>
        <v>18.06</v>
      </c>
      <c r="H308" s="29"/>
      <c r="I308" s="30"/>
      <c r="J308" s="30"/>
    </row>
    <row r="309" spans="1:10" s="31" customFormat="1" ht="45">
      <c r="A309" s="27"/>
      <c r="B309" s="39" t="s">
        <v>789</v>
      </c>
      <c r="C309" s="85" t="s">
        <v>790</v>
      </c>
      <c r="D309" s="84" t="s">
        <v>3</v>
      </c>
      <c r="E309" s="40">
        <v>0.60375</v>
      </c>
      <c r="F309" s="28">
        <f>TRUNC(12.683,2)</f>
        <v>12.68</v>
      </c>
      <c r="G309" s="29">
        <f t="shared" si="11"/>
        <v>7.65</v>
      </c>
      <c r="H309" s="29"/>
      <c r="I309" s="30"/>
      <c r="J309" s="30"/>
    </row>
    <row r="310" spans="1:10" s="31" customFormat="1" ht="15">
      <c r="A310" s="27"/>
      <c r="B310" s="39" t="s">
        <v>171</v>
      </c>
      <c r="C310" s="85" t="s">
        <v>172</v>
      </c>
      <c r="D310" s="84" t="s">
        <v>3</v>
      </c>
      <c r="E310" s="40">
        <v>1.165</v>
      </c>
      <c r="F310" s="28">
        <f>TRUNC(11.9,2)</f>
        <v>11.9</v>
      </c>
      <c r="G310" s="29">
        <f t="shared" si="11"/>
        <v>13.86</v>
      </c>
      <c r="H310" s="29"/>
      <c r="I310" s="30"/>
      <c r="J310" s="30"/>
    </row>
    <row r="311" spans="1:10" s="31" customFormat="1" ht="15">
      <c r="A311" s="27"/>
      <c r="B311" s="39" t="s">
        <v>34</v>
      </c>
      <c r="C311" s="85" t="s">
        <v>35</v>
      </c>
      <c r="D311" s="84" t="s">
        <v>4</v>
      </c>
      <c r="E311" s="40">
        <v>2.06</v>
      </c>
      <c r="F311" s="28">
        <f>TRUNC(22.86,2)</f>
        <v>22.86</v>
      </c>
      <c r="G311" s="29">
        <f t="shared" si="11"/>
        <v>47.09</v>
      </c>
      <c r="H311" s="29"/>
      <c r="I311" s="30"/>
      <c r="J311" s="30"/>
    </row>
    <row r="312" spans="1:10" s="31" customFormat="1" ht="30">
      <c r="A312" s="27"/>
      <c r="B312" s="39" t="s">
        <v>32</v>
      </c>
      <c r="C312" s="85" t="s">
        <v>33</v>
      </c>
      <c r="D312" s="84" t="s">
        <v>4</v>
      </c>
      <c r="E312" s="40">
        <v>4.12</v>
      </c>
      <c r="F312" s="28">
        <f>TRUNC(16.55,2)</f>
        <v>16.55</v>
      </c>
      <c r="G312" s="29">
        <f t="shared" si="11"/>
        <v>68.18</v>
      </c>
      <c r="H312" s="29"/>
      <c r="I312" s="30"/>
      <c r="J312" s="30"/>
    </row>
    <row r="313" spans="1:10" s="31" customFormat="1" ht="30">
      <c r="A313" s="27"/>
      <c r="B313" s="39" t="s">
        <v>628</v>
      </c>
      <c r="C313" s="85" t="s">
        <v>629</v>
      </c>
      <c r="D313" s="84" t="s">
        <v>4</v>
      </c>
      <c r="E313" s="40">
        <v>2.2660000000000005</v>
      </c>
      <c r="F313" s="28">
        <f>TRUNC(22.86,2)</f>
        <v>22.86</v>
      </c>
      <c r="G313" s="29">
        <f t="shared" si="11"/>
        <v>51.8</v>
      </c>
      <c r="H313" s="29"/>
      <c r="I313" s="30"/>
      <c r="J313" s="30"/>
    </row>
    <row r="314" spans="1:10" s="31" customFormat="1" ht="30">
      <c r="A314" s="27"/>
      <c r="B314" s="39" t="s">
        <v>765</v>
      </c>
      <c r="C314" s="85" t="s">
        <v>766</v>
      </c>
      <c r="D314" s="84" t="s">
        <v>4</v>
      </c>
      <c r="E314" s="40">
        <v>2.3999</v>
      </c>
      <c r="F314" s="28">
        <f>TRUNC(24.61,2)</f>
        <v>24.61</v>
      </c>
      <c r="G314" s="29">
        <f t="shared" si="11"/>
        <v>59.06</v>
      </c>
      <c r="H314" s="29"/>
      <c r="I314" s="30"/>
      <c r="J314" s="30"/>
    </row>
    <row r="315" spans="1:10" s="31" customFormat="1" ht="15">
      <c r="A315" s="27"/>
      <c r="B315" s="39" t="s">
        <v>48</v>
      </c>
      <c r="C315" s="85" t="s">
        <v>49</v>
      </c>
      <c r="D315" s="84" t="s">
        <v>4</v>
      </c>
      <c r="E315" s="40">
        <v>0.5</v>
      </c>
      <c r="F315" s="28">
        <f>TRUNC(144.2693,2)</f>
        <v>144.26</v>
      </c>
      <c r="G315" s="29">
        <f t="shared" si="11"/>
        <v>72.13</v>
      </c>
      <c r="H315" s="29"/>
      <c r="I315" s="30"/>
      <c r="J315" s="30"/>
    </row>
    <row r="316" spans="1:10" s="31" customFormat="1" ht="15">
      <c r="A316" s="27"/>
      <c r="B316" s="39" t="s">
        <v>46</v>
      </c>
      <c r="C316" s="85" t="s">
        <v>47</v>
      </c>
      <c r="D316" s="84" t="s">
        <v>4</v>
      </c>
      <c r="E316" s="40">
        <v>1</v>
      </c>
      <c r="F316" s="28">
        <f>TRUNC(46.5926,2)</f>
        <v>46.59</v>
      </c>
      <c r="G316" s="29">
        <f t="shared" si="11"/>
        <v>46.59</v>
      </c>
      <c r="H316" s="29"/>
      <c r="I316" s="30"/>
      <c r="J316" s="30"/>
    </row>
    <row r="317" spans="1:10" s="31" customFormat="1" ht="15">
      <c r="A317" s="27"/>
      <c r="B317" s="39" t="s">
        <v>603</v>
      </c>
      <c r="C317" s="85" t="s">
        <v>604</v>
      </c>
      <c r="D317" s="84" t="s">
        <v>1</v>
      </c>
      <c r="E317" s="40">
        <v>0.13</v>
      </c>
      <c r="F317" s="28">
        <f>TRUNC(277.3833,2)</f>
        <v>277.38</v>
      </c>
      <c r="G317" s="29">
        <f t="shared" si="11"/>
        <v>36.05</v>
      </c>
      <c r="H317" s="29"/>
      <c r="I317" s="30"/>
      <c r="J317" s="30"/>
    </row>
    <row r="318" spans="1:10" s="31" customFormat="1" ht="15">
      <c r="A318" s="27"/>
      <c r="B318" s="39" t="s">
        <v>797</v>
      </c>
      <c r="C318" s="85" t="s">
        <v>798</v>
      </c>
      <c r="D318" s="84" t="s">
        <v>1</v>
      </c>
      <c r="E318" s="40">
        <v>0.13</v>
      </c>
      <c r="F318" s="28">
        <f>TRUNC(180.042,2)</f>
        <v>180.04</v>
      </c>
      <c r="G318" s="29">
        <f t="shared" si="11"/>
        <v>23.4</v>
      </c>
      <c r="H318" s="29"/>
      <c r="I318" s="30"/>
      <c r="J318" s="30"/>
    </row>
    <row r="319" spans="1:10" s="31" customFormat="1" ht="15">
      <c r="A319" s="27"/>
      <c r="B319" s="39" t="s">
        <v>697</v>
      </c>
      <c r="C319" s="85" t="s">
        <v>698</v>
      </c>
      <c r="D319" s="84" t="s">
        <v>4</v>
      </c>
      <c r="E319" s="40">
        <v>0.5</v>
      </c>
      <c r="F319" s="28">
        <f>TRUNC(47.4827,2)</f>
        <v>47.48</v>
      </c>
      <c r="G319" s="29">
        <f t="shared" si="11"/>
        <v>23.74</v>
      </c>
      <c r="H319" s="29"/>
      <c r="I319" s="30"/>
      <c r="J319" s="30"/>
    </row>
    <row r="320" spans="1:10" s="31" customFormat="1" ht="15">
      <c r="A320" s="27"/>
      <c r="B320" s="39" t="s">
        <v>799</v>
      </c>
      <c r="C320" s="85" t="s">
        <v>800</v>
      </c>
      <c r="D320" s="84" t="s">
        <v>4</v>
      </c>
      <c r="E320" s="40">
        <v>1</v>
      </c>
      <c r="F320" s="28">
        <f>TRUNC(41.4045,2)</f>
        <v>41.4</v>
      </c>
      <c r="G320" s="29">
        <f t="shared" si="11"/>
        <v>41.4</v>
      </c>
      <c r="H320" s="29"/>
      <c r="I320" s="30"/>
      <c r="J320" s="30"/>
    </row>
    <row r="321" spans="1:10" s="31" customFormat="1" ht="15">
      <c r="A321" s="27"/>
      <c r="B321" s="39" t="s">
        <v>801</v>
      </c>
      <c r="C321" s="85" t="s">
        <v>802</v>
      </c>
      <c r="D321" s="84" t="s">
        <v>0</v>
      </c>
      <c r="E321" s="40">
        <v>0.9</v>
      </c>
      <c r="F321" s="28">
        <f>TRUNC(28.0612,2)</f>
        <v>28.06</v>
      </c>
      <c r="G321" s="29">
        <f t="shared" si="11"/>
        <v>25.25</v>
      </c>
      <c r="H321" s="29"/>
      <c r="I321" s="30"/>
      <c r="J321" s="30"/>
    </row>
    <row r="322" spans="1:10" s="31" customFormat="1" ht="15">
      <c r="A322" s="27"/>
      <c r="B322" s="39" t="s">
        <v>649</v>
      </c>
      <c r="C322" s="85" t="s">
        <v>650</v>
      </c>
      <c r="D322" s="84" t="s">
        <v>1</v>
      </c>
      <c r="E322" s="40">
        <v>0.13</v>
      </c>
      <c r="F322" s="28">
        <f>TRUNC(114.0402,2)</f>
        <v>114.04</v>
      </c>
      <c r="G322" s="29">
        <f t="shared" si="11"/>
        <v>14.82</v>
      </c>
      <c r="H322" s="29"/>
      <c r="I322" s="30"/>
      <c r="J322" s="30"/>
    </row>
    <row r="323" spans="1:10" s="31" customFormat="1" ht="15">
      <c r="A323" s="27"/>
      <c r="B323" s="39"/>
      <c r="C323" s="85"/>
      <c r="D323" s="84"/>
      <c r="E323" s="40" t="s">
        <v>5</v>
      </c>
      <c r="F323" s="28"/>
      <c r="G323" s="29">
        <f>TRUNC(SUM(G307:G322),2)</f>
        <v>619.64</v>
      </c>
      <c r="H323" s="29"/>
      <c r="I323" s="30"/>
      <c r="J323" s="48">
        <v>3927.39</v>
      </c>
    </row>
    <row r="324" spans="1:10" s="49" customFormat="1" ht="60">
      <c r="A324" s="41" t="s">
        <v>793</v>
      </c>
      <c r="B324" s="42" t="s">
        <v>813</v>
      </c>
      <c r="C324" s="43" t="s">
        <v>814</v>
      </c>
      <c r="D324" s="44" t="s">
        <v>10</v>
      </c>
      <c r="E324" s="45">
        <v>3</v>
      </c>
      <c r="F324" s="46">
        <f>TRUNC(G351,2)</f>
        <v>1502.62</v>
      </c>
      <c r="G324" s="47">
        <f>TRUNC(F324*1.2338,2)</f>
        <v>1853.93</v>
      </c>
      <c r="H324" s="47">
        <f>TRUNC(F324*E324,2)</f>
        <v>4507.86</v>
      </c>
      <c r="I324" s="48">
        <f>TRUNC(E324*G324,2)</f>
        <v>5561.79</v>
      </c>
      <c r="J324" s="30"/>
    </row>
    <row r="325" spans="1:10" s="31" customFormat="1" ht="15">
      <c r="A325" s="27"/>
      <c r="B325" s="39" t="s">
        <v>200</v>
      </c>
      <c r="C325" s="85" t="s">
        <v>201</v>
      </c>
      <c r="D325" s="84" t="s">
        <v>0</v>
      </c>
      <c r="E325" s="40">
        <v>5.31</v>
      </c>
      <c r="F325" s="28">
        <f>TRUNC(37.1961,2)</f>
        <v>37.19</v>
      </c>
      <c r="G325" s="29">
        <f aca="true" t="shared" si="12" ref="G325:G350">TRUNC(E325*F325,2)</f>
        <v>197.47</v>
      </c>
      <c r="H325" s="29"/>
      <c r="I325" s="30"/>
      <c r="J325" s="30"/>
    </row>
    <row r="326" spans="1:10" s="31" customFormat="1" ht="15">
      <c r="A326" s="27"/>
      <c r="B326" s="39" t="s">
        <v>815</v>
      </c>
      <c r="C326" s="85" t="s">
        <v>816</v>
      </c>
      <c r="D326" s="84" t="s">
        <v>3</v>
      </c>
      <c r="E326" s="40">
        <v>44.34</v>
      </c>
      <c r="F326" s="28">
        <f>TRUNC(0.58,2)</f>
        <v>0.58</v>
      </c>
      <c r="G326" s="29">
        <f t="shared" si="12"/>
        <v>25.71</v>
      </c>
      <c r="H326" s="29"/>
      <c r="I326" s="30"/>
      <c r="J326" s="30"/>
    </row>
    <row r="327" spans="1:10" s="31" customFormat="1" ht="15">
      <c r="A327" s="27"/>
      <c r="B327" s="39" t="s">
        <v>54</v>
      </c>
      <c r="C327" s="85" t="s">
        <v>55</v>
      </c>
      <c r="D327" s="84" t="s">
        <v>2</v>
      </c>
      <c r="E327" s="40">
        <v>0.8</v>
      </c>
      <c r="F327" s="28">
        <f>TRUNC(5.45,2)</f>
        <v>5.45</v>
      </c>
      <c r="G327" s="29">
        <f t="shared" si="12"/>
        <v>4.36</v>
      </c>
      <c r="H327" s="29"/>
      <c r="I327" s="30"/>
      <c r="J327" s="30"/>
    </row>
    <row r="328" spans="1:10" s="31" customFormat="1" ht="15">
      <c r="A328" s="27"/>
      <c r="B328" s="39" t="s">
        <v>143</v>
      </c>
      <c r="C328" s="85" t="s">
        <v>144</v>
      </c>
      <c r="D328" s="84" t="s">
        <v>3</v>
      </c>
      <c r="E328" s="40">
        <v>38.63</v>
      </c>
      <c r="F328" s="28">
        <f>TRUNC(0.47,2)</f>
        <v>0.47</v>
      </c>
      <c r="G328" s="29">
        <f t="shared" si="12"/>
        <v>18.15</v>
      </c>
      <c r="H328" s="29"/>
      <c r="I328" s="30"/>
      <c r="J328" s="30"/>
    </row>
    <row r="329" spans="1:10" s="31" customFormat="1" ht="15">
      <c r="A329" s="27"/>
      <c r="B329" s="39" t="s">
        <v>608</v>
      </c>
      <c r="C329" s="85" t="s">
        <v>609</v>
      </c>
      <c r="D329" s="84" t="s">
        <v>2</v>
      </c>
      <c r="E329" s="40">
        <v>1.168</v>
      </c>
      <c r="F329" s="28">
        <f>TRUNC(6.2736,2)</f>
        <v>6.27</v>
      </c>
      <c r="G329" s="29">
        <f t="shared" si="12"/>
        <v>7.32</v>
      </c>
      <c r="H329" s="29"/>
      <c r="I329" s="30"/>
      <c r="J329" s="30"/>
    </row>
    <row r="330" spans="1:10" s="31" customFormat="1" ht="15">
      <c r="A330" s="27"/>
      <c r="B330" s="39" t="s">
        <v>817</v>
      </c>
      <c r="C330" s="85" t="s">
        <v>818</v>
      </c>
      <c r="D330" s="84" t="s">
        <v>10</v>
      </c>
      <c r="E330" s="40">
        <v>0.2</v>
      </c>
      <c r="F330" s="28">
        <f>TRUNC(5.33,2)</f>
        <v>5.33</v>
      </c>
      <c r="G330" s="29">
        <f t="shared" si="12"/>
        <v>1.06</v>
      </c>
      <c r="H330" s="29"/>
      <c r="I330" s="30"/>
      <c r="J330" s="30"/>
    </row>
    <row r="331" spans="1:10" s="31" customFormat="1" ht="15">
      <c r="A331" s="27"/>
      <c r="B331" s="39" t="s">
        <v>153</v>
      </c>
      <c r="C331" s="85" t="s">
        <v>154</v>
      </c>
      <c r="D331" s="84" t="s">
        <v>2</v>
      </c>
      <c r="E331" s="40">
        <v>0.5</v>
      </c>
      <c r="F331" s="28">
        <f>TRUNC(9.23,2)</f>
        <v>9.23</v>
      </c>
      <c r="G331" s="29">
        <f t="shared" si="12"/>
        <v>4.61</v>
      </c>
      <c r="H331" s="29"/>
      <c r="I331" s="30"/>
      <c r="J331" s="30"/>
    </row>
    <row r="332" spans="1:10" s="31" customFormat="1" ht="30">
      <c r="A332" s="27"/>
      <c r="B332" s="39" t="s">
        <v>52</v>
      </c>
      <c r="C332" s="85" t="s">
        <v>53</v>
      </c>
      <c r="D332" s="84" t="s">
        <v>3</v>
      </c>
      <c r="E332" s="40">
        <v>0.46</v>
      </c>
      <c r="F332" s="28">
        <f>TRUNC(15.94,2)</f>
        <v>15.94</v>
      </c>
      <c r="G332" s="29">
        <f t="shared" si="12"/>
        <v>7.33</v>
      </c>
      <c r="H332" s="29"/>
      <c r="I332" s="30"/>
      <c r="J332" s="30"/>
    </row>
    <row r="333" spans="1:10" s="31" customFormat="1" ht="15">
      <c r="A333" s="27"/>
      <c r="B333" s="39" t="s">
        <v>819</v>
      </c>
      <c r="C333" s="85" t="s">
        <v>820</v>
      </c>
      <c r="D333" s="84" t="s">
        <v>2</v>
      </c>
      <c r="E333" s="40">
        <v>18</v>
      </c>
      <c r="F333" s="28">
        <f>TRUNC(0.7,2)</f>
        <v>0.7</v>
      </c>
      <c r="G333" s="29">
        <f t="shared" si="12"/>
        <v>12.6</v>
      </c>
      <c r="H333" s="29"/>
      <c r="I333" s="30"/>
      <c r="J333" s="30"/>
    </row>
    <row r="334" spans="1:10" s="31" customFormat="1" ht="15">
      <c r="A334" s="27"/>
      <c r="B334" s="39" t="s">
        <v>417</v>
      </c>
      <c r="C334" s="85" t="s">
        <v>418</v>
      </c>
      <c r="D334" s="84" t="s">
        <v>3</v>
      </c>
      <c r="E334" s="40">
        <v>3.55</v>
      </c>
      <c r="F334" s="28">
        <f>TRUNC(1.4,2)</f>
        <v>1.4</v>
      </c>
      <c r="G334" s="29">
        <f t="shared" si="12"/>
        <v>4.97</v>
      </c>
      <c r="H334" s="29"/>
      <c r="I334" s="30"/>
      <c r="J334" s="30"/>
    </row>
    <row r="335" spans="1:10" s="31" customFormat="1" ht="15">
      <c r="A335" s="27"/>
      <c r="B335" s="39" t="s">
        <v>416</v>
      </c>
      <c r="C335" s="85" t="s">
        <v>502</v>
      </c>
      <c r="D335" s="84" t="s">
        <v>3</v>
      </c>
      <c r="E335" s="40">
        <v>1</v>
      </c>
      <c r="F335" s="28">
        <f>TRUNC(32.88,2)</f>
        <v>32.88</v>
      </c>
      <c r="G335" s="29">
        <f t="shared" si="12"/>
        <v>32.88</v>
      </c>
      <c r="H335" s="29"/>
      <c r="I335" s="30"/>
      <c r="J335" s="30"/>
    </row>
    <row r="336" spans="1:10" s="31" customFormat="1" ht="15">
      <c r="A336" s="27"/>
      <c r="B336" s="39" t="s">
        <v>821</v>
      </c>
      <c r="C336" s="85" t="s">
        <v>822</v>
      </c>
      <c r="D336" s="84" t="s">
        <v>3</v>
      </c>
      <c r="E336" s="40">
        <v>4.08</v>
      </c>
      <c r="F336" s="28">
        <f>TRUNC(0.65,2)</f>
        <v>0.65</v>
      </c>
      <c r="G336" s="29">
        <f t="shared" si="12"/>
        <v>2.65</v>
      </c>
      <c r="H336" s="29"/>
      <c r="I336" s="30"/>
      <c r="J336" s="30"/>
    </row>
    <row r="337" spans="1:10" s="31" customFormat="1" ht="30">
      <c r="A337" s="27"/>
      <c r="B337" s="39" t="s">
        <v>823</v>
      </c>
      <c r="C337" s="85" t="s">
        <v>824</v>
      </c>
      <c r="D337" s="84" t="s">
        <v>4</v>
      </c>
      <c r="E337" s="40">
        <v>3.09</v>
      </c>
      <c r="F337" s="28">
        <f>TRUNC(22.86,2)</f>
        <v>22.86</v>
      </c>
      <c r="G337" s="29">
        <f t="shared" si="12"/>
        <v>70.63</v>
      </c>
      <c r="H337" s="29"/>
      <c r="I337" s="30"/>
      <c r="J337" s="30"/>
    </row>
    <row r="338" spans="1:10" s="31" customFormat="1" ht="15">
      <c r="A338" s="27"/>
      <c r="B338" s="39" t="s">
        <v>825</v>
      </c>
      <c r="C338" s="85" t="s">
        <v>826</v>
      </c>
      <c r="D338" s="84" t="s">
        <v>4</v>
      </c>
      <c r="E338" s="40">
        <v>4.7379999999999995</v>
      </c>
      <c r="F338" s="28">
        <f>TRUNC(22.86,2)</f>
        <v>22.86</v>
      </c>
      <c r="G338" s="29">
        <f t="shared" si="12"/>
        <v>108.31</v>
      </c>
      <c r="H338" s="29"/>
      <c r="I338" s="30"/>
      <c r="J338" s="30"/>
    </row>
    <row r="339" spans="1:10" s="31" customFormat="1" ht="30">
      <c r="A339" s="27"/>
      <c r="B339" s="39" t="s">
        <v>566</v>
      </c>
      <c r="C339" s="85" t="s">
        <v>567</v>
      </c>
      <c r="D339" s="84" t="s">
        <v>4</v>
      </c>
      <c r="E339" s="40">
        <v>4.4702</v>
      </c>
      <c r="F339" s="28">
        <f>TRUNC(22.86,2)</f>
        <v>22.86</v>
      </c>
      <c r="G339" s="29">
        <f t="shared" si="12"/>
        <v>102.18</v>
      </c>
      <c r="H339" s="29"/>
      <c r="I339" s="30"/>
      <c r="J339" s="30"/>
    </row>
    <row r="340" spans="1:10" s="31" customFormat="1" ht="30">
      <c r="A340" s="27"/>
      <c r="B340" s="39" t="s">
        <v>32</v>
      </c>
      <c r="C340" s="85" t="s">
        <v>33</v>
      </c>
      <c r="D340" s="84" t="s">
        <v>4</v>
      </c>
      <c r="E340" s="40">
        <v>8.291500000000001</v>
      </c>
      <c r="F340" s="28">
        <f>TRUNC(16.55,2)</f>
        <v>16.55</v>
      </c>
      <c r="G340" s="29">
        <f t="shared" si="12"/>
        <v>137.22</v>
      </c>
      <c r="H340" s="29"/>
      <c r="I340" s="30"/>
      <c r="J340" s="30"/>
    </row>
    <row r="341" spans="1:10" s="31" customFormat="1" ht="15">
      <c r="A341" s="27"/>
      <c r="B341" s="39" t="s">
        <v>34</v>
      </c>
      <c r="C341" s="85" t="s">
        <v>35</v>
      </c>
      <c r="D341" s="84" t="s">
        <v>4</v>
      </c>
      <c r="E341" s="40">
        <v>1.9261000000000001</v>
      </c>
      <c r="F341" s="28">
        <f>TRUNC(22.86,2)</f>
        <v>22.86</v>
      </c>
      <c r="G341" s="29">
        <f t="shared" si="12"/>
        <v>44.03</v>
      </c>
      <c r="H341" s="29"/>
      <c r="I341" s="30"/>
      <c r="J341" s="30"/>
    </row>
    <row r="342" spans="1:10" s="31" customFormat="1" ht="30">
      <c r="A342" s="27"/>
      <c r="B342" s="39" t="s">
        <v>827</v>
      </c>
      <c r="C342" s="85" t="s">
        <v>828</v>
      </c>
      <c r="D342" s="84" t="s">
        <v>4</v>
      </c>
      <c r="E342" s="40">
        <v>2</v>
      </c>
      <c r="F342" s="28">
        <f>TRUNC(89.665,2)</f>
        <v>89.66</v>
      </c>
      <c r="G342" s="29">
        <f t="shared" si="12"/>
        <v>179.32</v>
      </c>
      <c r="H342" s="29"/>
      <c r="I342" s="30"/>
      <c r="J342" s="30"/>
    </row>
    <row r="343" spans="1:10" s="31" customFormat="1" ht="15">
      <c r="A343" s="27"/>
      <c r="B343" s="39" t="s">
        <v>48</v>
      </c>
      <c r="C343" s="85" t="s">
        <v>49</v>
      </c>
      <c r="D343" s="84" t="s">
        <v>4</v>
      </c>
      <c r="E343" s="40">
        <v>0.1724</v>
      </c>
      <c r="F343" s="28">
        <f>TRUNC(144.2693,2)</f>
        <v>144.26</v>
      </c>
      <c r="G343" s="29">
        <f t="shared" si="12"/>
        <v>24.87</v>
      </c>
      <c r="H343" s="29"/>
      <c r="I343" s="30"/>
      <c r="J343" s="30"/>
    </row>
    <row r="344" spans="1:10" s="31" customFormat="1" ht="15">
      <c r="A344" s="27"/>
      <c r="B344" s="39" t="s">
        <v>603</v>
      </c>
      <c r="C344" s="85" t="s">
        <v>604</v>
      </c>
      <c r="D344" s="84" t="s">
        <v>1</v>
      </c>
      <c r="E344" s="40">
        <v>0.269</v>
      </c>
      <c r="F344" s="28">
        <f>TRUNC(277.3833,2)</f>
        <v>277.38</v>
      </c>
      <c r="G344" s="29">
        <f t="shared" si="12"/>
        <v>74.61</v>
      </c>
      <c r="H344" s="29"/>
      <c r="I344" s="30"/>
      <c r="J344" s="30"/>
    </row>
    <row r="345" spans="1:10" s="31" customFormat="1" ht="30">
      <c r="A345" s="27"/>
      <c r="B345" s="39" t="s">
        <v>829</v>
      </c>
      <c r="C345" s="85" t="s">
        <v>830</v>
      </c>
      <c r="D345" s="84" t="s">
        <v>4</v>
      </c>
      <c r="E345" s="40">
        <v>1</v>
      </c>
      <c r="F345" s="28">
        <f>TRUNC(30.4206,2)</f>
        <v>30.42</v>
      </c>
      <c r="G345" s="29">
        <f t="shared" si="12"/>
        <v>30.42</v>
      </c>
      <c r="H345" s="29"/>
      <c r="I345" s="30"/>
      <c r="J345" s="30"/>
    </row>
    <row r="346" spans="1:10" s="31" customFormat="1" ht="15">
      <c r="A346" s="27"/>
      <c r="B346" s="39" t="s">
        <v>649</v>
      </c>
      <c r="C346" s="85" t="s">
        <v>650</v>
      </c>
      <c r="D346" s="84" t="s">
        <v>1</v>
      </c>
      <c r="E346" s="40">
        <v>0.269</v>
      </c>
      <c r="F346" s="28">
        <f>TRUNC(114.0402,2)</f>
        <v>114.04</v>
      </c>
      <c r="G346" s="29">
        <f t="shared" si="12"/>
        <v>30.67</v>
      </c>
      <c r="H346" s="29"/>
      <c r="I346" s="30"/>
      <c r="J346" s="30"/>
    </row>
    <row r="347" spans="1:10" s="31" customFormat="1" ht="15">
      <c r="A347" s="27"/>
      <c r="B347" s="39" t="s">
        <v>831</v>
      </c>
      <c r="C347" s="85" t="s">
        <v>832</v>
      </c>
      <c r="D347" s="84" t="s">
        <v>1</v>
      </c>
      <c r="E347" s="40">
        <v>0.269</v>
      </c>
      <c r="F347" s="28">
        <f>TRUNC(85.1253,2)</f>
        <v>85.12</v>
      </c>
      <c r="G347" s="29">
        <f t="shared" si="12"/>
        <v>22.89</v>
      </c>
      <c r="H347" s="29"/>
      <c r="I347" s="30"/>
      <c r="J347" s="30"/>
    </row>
    <row r="348" spans="1:10" s="31" customFormat="1" ht="15">
      <c r="A348" s="27"/>
      <c r="B348" s="39" t="s">
        <v>833</v>
      </c>
      <c r="C348" s="85" t="s">
        <v>834</v>
      </c>
      <c r="D348" s="84" t="s">
        <v>1</v>
      </c>
      <c r="E348" s="40">
        <v>0.131</v>
      </c>
      <c r="F348" s="28">
        <f>TRUNC(2593.8951,2)</f>
        <v>2593.89</v>
      </c>
      <c r="G348" s="29">
        <f t="shared" si="12"/>
        <v>339.79</v>
      </c>
      <c r="H348" s="29"/>
      <c r="I348" s="30"/>
      <c r="J348" s="30"/>
    </row>
    <row r="349" spans="1:10" s="31" customFormat="1" ht="15">
      <c r="A349" s="27"/>
      <c r="B349" s="39" t="s">
        <v>46</v>
      </c>
      <c r="C349" s="85" t="s">
        <v>47</v>
      </c>
      <c r="D349" s="84" t="s">
        <v>4</v>
      </c>
      <c r="E349" s="40">
        <v>0.36</v>
      </c>
      <c r="F349" s="28">
        <f>TRUNC(46.5926,2)</f>
        <v>46.59</v>
      </c>
      <c r="G349" s="29">
        <f t="shared" si="12"/>
        <v>16.77</v>
      </c>
      <c r="H349" s="29"/>
      <c r="I349" s="30"/>
      <c r="J349" s="30"/>
    </row>
    <row r="350" spans="1:10" s="31" customFormat="1" ht="15">
      <c r="A350" s="27"/>
      <c r="B350" s="39" t="s">
        <v>835</v>
      </c>
      <c r="C350" s="85" t="s">
        <v>836</v>
      </c>
      <c r="D350" s="84" t="s">
        <v>837</v>
      </c>
      <c r="E350" s="40">
        <v>2</v>
      </c>
      <c r="F350" s="28">
        <f>TRUNC(0.9084,2)</f>
        <v>0.9</v>
      </c>
      <c r="G350" s="29">
        <f t="shared" si="12"/>
        <v>1.8</v>
      </c>
      <c r="H350" s="29"/>
      <c r="I350" s="30"/>
      <c r="J350" s="30"/>
    </row>
    <row r="351" spans="1:10" s="31" customFormat="1" ht="15">
      <c r="A351" s="27"/>
      <c r="B351" s="39"/>
      <c r="C351" s="85"/>
      <c r="D351" s="84"/>
      <c r="E351" s="40" t="s">
        <v>5</v>
      </c>
      <c r="F351" s="28"/>
      <c r="G351" s="29">
        <f>TRUNC(SUM(G325:G350),2)</f>
        <v>1502.62</v>
      </c>
      <c r="H351" s="29"/>
      <c r="I351" s="30"/>
      <c r="J351" s="30"/>
    </row>
    <row r="352" spans="1:11" s="49" customFormat="1" ht="60">
      <c r="A352" s="41" t="s">
        <v>794</v>
      </c>
      <c r="B352" s="83" t="s">
        <v>157</v>
      </c>
      <c r="C352" s="43" t="s">
        <v>520</v>
      </c>
      <c r="D352" s="44" t="s">
        <v>10</v>
      </c>
      <c r="E352" s="44">
        <v>3</v>
      </c>
      <c r="F352" s="45">
        <v>8422</v>
      </c>
      <c r="G352" s="47">
        <f>TRUNC(F352*1.2338,2)</f>
        <v>10391.06</v>
      </c>
      <c r="H352" s="47">
        <f>TRUNC(F352*E352,2)</f>
        <v>25266</v>
      </c>
      <c r="I352" s="48">
        <f>TRUNC(E352*G352,2)</f>
        <v>31173.18</v>
      </c>
      <c r="J352" s="26">
        <v>42641.450000000004</v>
      </c>
      <c r="K352" s="49" t="e">
        <f>#REF!*3.788</f>
        <v>#REF!</v>
      </c>
    </row>
    <row r="353" spans="1:10" s="14" customFormat="1" ht="15.75">
      <c r="A353" s="23" t="s">
        <v>23</v>
      </c>
      <c r="B353" s="25"/>
      <c r="C353" s="24"/>
      <c r="D353" s="25"/>
      <c r="E353" s="25"/>
      <c r="F353" s="25"/>
      <c r="G353" s="25" t="s">
        <v>521</v>
      </c>
      <c r="H353" s="26">
        <f>H352+H324+H306</f>
        <v>34730.98</v>
      </c>
      <c r="I353" s="26">
        <f>I352+I324+I306</f>
        <v>42851.05</v>
      </c>
      <c r="J353" s="20"/>
    </row>
    <row r="354" spans="1:10" s="13" customFormat="1" ht="15.75">
      <c r="A354" s="13" t="s">
        <v>286</v>
      </c>
      <c r="B354" s="21"/>
      <c r="C354" s="22" t="s">
        <v>148</v>
      </c>
      <c r="D354" s="22"/>
      <c r="E354" s="22"/>
      <c r="F354" s="22"/>
      <c r="G354" s="22"/>
      <c r="H354" s="22"/>
      <c r="I354" s="20"/>
      <c r="J354" s="48">
        <v>917.15</v>
      </c>
    </row>
    <row r="355" spans="1:10" s="49" customFormat="1" ht="30" customHeight="1">
      <c r="A355" s="41" t="s">
        <v>287</v>
      </c>
      <c r="B355" s="42" t="s">
        <v>651</v>
      </c>
      <c r="C355" s="43" t="s">
        <v>302</v>
      </c>
      <c r="D355" s="44" t="s">
        <v>10</v>
      </c>
      <c r="E355" s="45">
        <v>13</v>
      </c>
      <c r="F355" s="46">
        <f>TRUNC(G361,2)</f>
        <v>57.64</v>
      </c>
      <c r="G355" s="47">
        <f>TRUNC(F355*1.2338,2)</f>
        <v>71.11</v>
      </c>
      <c r="H355" s="47">
        <f>TRUNC(F355*E355,2)</f>
        <v>749.32</v>
      </c>
      <c r="I355" s="48">
        <f>TRUNC(E355*G355,2)</f>
        <v>924.43</v>
      </c>
      <c r="J355" s="30"/>
    </row>
    <row r="356" spans="1:10" s="31" customFormat="1" ht="30">
      <c r="A356" s="27"/>
      <c r="B356" s="39" t="s">
        <v>251</v>
      </c>
      <c r="C356" s="85" t="s">
        <v>252</v>
      </c>
      <c r="D356" s="84" t="s">
        <v>10</v>
      </c>
      <c r="E356" s="40">
        <v>0</v>
      </c>
      <c r="F356" s="28">
        <f>TRUNC(3.39,2)</f>
        <v>3.39</v>
      </c>
      <c r="G356" s="29">
        <f>TRUNC(E356*F356,2)</f>
        <v>0</v>
      </c>
      <c r="H356" s="29"/>
      <c r="I356" s="30"/>
      <c r="J356" s="53"/>
    </row>
    <row r="357" spans="1:10" s="74" customFormat="1" ht="15">
      <c r="A357" s="77"/>
      <c r="B357" s="54" t="s">
        <v>157</v>
      </c>
      <c r="C357" s="79" t="s">
        <v>488</v>
      </c>
      <c r="D357" s="75" t="s">
        <v>10</v>
      </c>
      <c r="E357" s="73">
        <v>1</v>
      </c>
      <c r="F357" s="72">
        <f>G365</f>
        <v>25.2</v>
      </c>
      <c r="G357" s="52">
        <f>TRUNC(E357*F357,2)</f>
        <v>25.2</v>
      </c>
      <c r="H357" s="52"/>
      <c r="I357" s="53"/>
      <c r="J357" s="30"/>
    </row>
    <row r="358" spans="1:10" s="31" customFormat="1" ht="15">
      <c r="A358" s="27"/>
      <c r="B358" s="39" t="s">
        <v>652</v>
      </c>
      <c r="C358" s="85" t="s">
        <v>149</v>
      </c>
      <c r="D358" s="84" t="s">
        <v>4</v>
      </c>
      <c r="E358" s="40">
        <v>0.596</v>
      </c>
      <c r="F358" s="28">
        <f>TRUNC(30.08,2)</f>
        <v>30.08</v>
      </c>
      <c r="G358" s="29">
        <f>TRUNC(E358*F358,2)</f>
        <v>17.92</v>
      </c>
      <c r="H358" s="29"/>
      <c r="I358" s="30"/>
      <c r="J358" s="30"/>
    </row>
    <row r="359" spans="1:10" s="31" customFormat="1" ht="15">
      <c r="A359" s="27"/>
      <c r="B359" s="39" t="s">
        <v>653</v>
      </c>
      <c r="C359" s="85" t="s">
        <v>150</v>
      </c>
      <c r="D359" s="84" t="s">
        <v>4</v>
      </c>
      <c r="E359" s="40">
        <v>0.596</v>
      </c>
      <c r="F359" s="28">
        <f>TRUNC(23.24,2)</f>
        <v>23.24</v>
      </c>
      <c r="G359" s="29">
        <f>TRUNC(E359*F359,2)</f>
        <v>13.85</v>
      </c>
      <c r="H359" s="29"/>
      <c r="I359" s="30"/>
      <c r="J359" s="30"/>
    </row>
    <row r="360" spans="1:10" s="31" customFormat="1" ht="30">
      <c r="A360" s="27"/>
      <c r="B360" s="39" t="s">
        <v>654</v>
      </c>
      <c r="C360" s="85" t="s">
        <v>655</v>
      </c>
      <c r="D360" s="84" t="s">
        <v>1</v>
      </c>
      <c r="E360" s="40">
        <v>0.0012</v>
      </c>
      <c r="F360" s="28">
        <f>TRUNC(562.8816,2)</f>
        <v>562.88</v>
      </c>
      <c r="G360" s="29">
        <f>TRUNC(E360*F360,2)</f>
        <v>0.67</v>
      </c>
      <c r="H360" s="29"/>
      <c r="I360" s="30"/>
      <c r="J360" s="30"/>
    </row>
    <row r="361" spans="1:10" s="31" customFormat="1" ht="15">
      <c r="A361" s="27"/>
      <c r="B361" s="39"/>
      <c r="C361" s="85"/>
      <c r="D361" s="84"/>
      <c r="E361" s="40" t="s">
        <v>5</v>
      </c>
      <c r="F361" s="28"/>
      <c r="G361" s="29">
        <f>TRUNC(SUM(G356:G360),2)</f>
        <v>57.64</v>
      </c>
      <c r="H361" s="29"/>
      <c r="I361" s="30"/>
      <c r="J361" s="30"/>
    </row>
    <row r="362" spans="1:10" s="31" customFormat="1" ht="30">
      <c r="A362" s="27"/>
      <c r="B362" s="54" t="s">
        <v>157</v>
      </c>
      <c r="C362" s="85" t="s">
        <v>533</v>
      </c>
      <c r="D362" s="84" t="s">
        <v>10</v>
      </c>
      <c r="E362" s="40">
        <v>1</v>
      </c>
      <c r="F362" s="28">
        <v>21.4</v>
      </c>
      <c r="G362" s="29">
        <f>TRUNC(E362*F362,2)</f>
        <v>21.4</v>
      </c>
      <c r="H362" s="29"/>
      <c r="I362" s="30"/>
      <c r="J362" s="30"/>
    </row>
    <row r="363" spans="1:10" s="31" customFormat="1" ht="30">
      <c r="A363" s="27"/>
      <c r="B363" s="54" t="s">
        <v>157</v>
      </c>
      <c r="C363" s="85" t="s">
        <v>535</v>
      </c>
      <c r="D363" s="84" t="s">
        <v>10</v>
      </c>
      <c r="E363" s="40">
        <v>1</v>
      </c>
      <c r="F363" s="28">
        <v>61.76</v>
      </c>
      <c r="G363" s="29">
        <f>TRUNC(E363*F363,2)</f>
        <v>61.76</v>
      </c>
      <c r="H363" s="29"/>
      <c r="I363" s="30"/>
      <c r="J363" s="30"/>
    </row>
    <row r="364" spans="1:10" s="31" customFormat="1" ht="30">
      <c r="A364" s="27"/>
      <c r="B364" s="54" t="s">
        <v>157</v>
      </c>
      <c r="C364" s="85" t="s">
        <v>534</v>
      </c>
      <c r="D364" s="84" t="s">
        <v>10</v>
      </c>
      <c r="E364" s="40">
        <v>1</v>
      </c>
      <c r="F364" s="28">
        <v>25.2</v>
      </c>
      <c r="G364" s="29">
        <f>TRUNC(E364*F364,2)</f>
        <v>25.2</v>
      </c>
      <c r="H364" s="29"/>
      <c r="I364" s="30"/>
      <c r="J364" s="30"/>
    </row>
    <row r="365" spans="1:10" s="31" customFormat="1" ht="15">
      <c r="A365" s="27"/>
      <c r="B365" s="39"/>
      <c r="C365" s="85"/>
      <c r="D365" s="84"/>
      <c r="E365" s="40"/>
      <c r="F365" s="28" t="s">
        <v>527</v>
      </c>
      <c r="G365" s="29">
        <f>G364</f>
        <v>25.2</v>
      </c>
      <c r="H365" s="29"/>
      <c r="I365" s="30"/>
      <c r="J365" s="48">
        <v>43.74</v>
      </c>
    </row>
    <row r="366" spans="1:10" s="49" customFormat="1" ht="30">
      <c r="A366" s="41" t="s">
        <v>288</v>
      </c>
      <c r="B366" s="42" t="s">
        <v>656</v>
      </c>
      <c r="C366" s="43" t="s">
        <v>303</v>
      </c>
      <c r="D366" s="44" t="s">
        <v>10</v>
      </c>
      <c r="E366" s="45">
        <v>3</v>
      </c>
      <c r="F366" s="46">
        <f>TRUNC(G370,2)</f>
        <v>12.02</v>
      </c>
      <c r="G366" s="47">
        <f>TRUNC(F366*1.2338,2)</f>
        <v>14.83</v>
      </c>
      <c r="H366" s="47">
        <f>TRUNC(F366*E366,2)</f>
        <v>36.06</v>
      </c>
      <c r="I366" s="48">
        <f>TRUNC(E366*G366,2)</f>
        <v>44.49</v>
      </c>
      <c r="J366" s="30"/>
    </row>
    <row r="367" spans="1:10" s="31" customFormat="1" ht="30">
      <c r="A367" s="27"/>
      <c r="B367" s="39" t="s">
        <v>657</v>
      </c>
      <c r="C367" s="85" t="s">
        <v>304</v>
      </c>
      <c r="D367" s="84" t="s">
        <v>10</v>
      </c>
      <c r="E367" s="40">
        <v>1</v>
      </c>
      <c r="F367" s="28">
        <f>TRUNC(4.4,2)</f>
        <v>4.4</v>
      </c>
      <c r="G367" s="29">
        <f>TRUNC(E367*F367,2)</f>
        <v>4.4</v>
      </c>
      <c r="H367" s="29"/>
      <c r="I367" s="30"/>
      <c r="J367" s="30"/>
    </row>
    <row r="368" spans="1:10" s="31" customFormat="1" ht="15">
      <c r="A368" s="27"/>
      <c r="B368" s="39" t="s">
        <v>652</v>
      </c>
      <c r="C368" s="85" t="s">
        <v>149</v>
      </c>
      <c r="D368" s="84" t="s">
        <v>4</v>
      </c>
      <c r="E368" s="40">
        <v>0.143</v>
      </c>
      <c r="F368" s="28">
        <f>TRUNC(30.08,2)</f>
        <v>30.08</v>
      </c>
      <c r="G368" s="29">
        <f>TRUNC(E368*F368,2)</f>
        <v>4.3</v>
      </c>
      <c r="H368" s="29"/>
      <c r="I368" s="30"/>
      <c r="J368" s="30"/>
    </row>
    <row r="369" spans="1:10" s="31" customFormat="1" ht="15">
      <c r="A369" s="27"/>
      <c r="B369" s="39" t="s">
        <v>653</v>
      </c>
      <c r="C369" s="85" t="s">
        <v>150</v>
      </c>
      <c r="D369" s="84" t="s">
        <v>4</v>
      </c>
      <c r="E369" s="40">
        <v>0.143</v>
      </c>
      <c r="F369" s="28">
        <f>TRUNC(23.24,2)</f>
        <v>23.24</v>
      </c>
      <c r="G369" s="29">
        <f>TRUNC(E369*F369,2)</f>
        <v>3.32</v>
      </c>
      <c r="H369" s="29"/>
      <c r="I369" s="30"/>
      <c r="J369" s="30"/>
    </row>
    <row r="370" spans="1:10" s="31" customFormat="1" ht="15">
      <c r="A370" s="27"/>
      <c r="B370" s="39"/>
      <c r="C370" s="85"/>
      <c r="D370" s="84"/>
      <c r="E370" s="40" t="s">
        <v>5</v>
      </c>
      <c r="F370" s="28"/>
      <c r="G370" s="29">
        <f>TRUNC(SUM(G367:G369),2)</f>
        <v>12.02</v>
      </c>
      <c r="H370" s="29"/>
      <c r="I370" s="30"/>
      <c r="J370" s="48">
        <v>802.62</v>
      </c>
    </row>
    <row r="371" spans="1:10" s="49" customFormat="1" ht="45">
      <c r="A371" s="41" t="s">
        <v>289</v>
      </c>
      <c r="B371" s="42" t="s">
        <v>658</v>
      </c>
      <c r="C371" s="43" t="s">
        <v>307</v>
      </c>
      <c r="D371" s="44" t="s">
        <v>10</v>
      </c>
      <c r="E371" s="45">
        <v>3</v>
      </c>
      <c r="F371" s="46">
        <f>TRUNC(G376,2)</f>
        <v>211.58</v>
      </c>
      <c r="G371" s="47">
        <f>TRUNC(F371*1.2338,2)</f>
        <v>261.04</v>
      </c>
      <c r="H371" s="47">
        <f>TRUNC(F371*E371,2)</f>
        <v>634.74</v>
      </c>
      <c r="I371" s="48">
        <f>TRUNC(E371*G371,2)</f>
        <v>783.12</v>
      </c>
      <c r="J371" s="30"/>
    </row>
    <row r="372" spans="1:10" s="31" customFormat="1" ht="15">
      <c r="A372" s="27"/>
      <c r="B372" s="39" t="s">
        <v>305</v>
      </c>
      <c r="C372" s="85" t="s">
        <v>306</v>
      </c>
      <c r="D372" s="84" t="s">
        <v>10</v>
      </c>
      <c r="E372" s="40">
        <v>0</v>
      </c>
      <c r="F372" s="28">
        <f>TRUNC(12.15,2)</f>
        <v>12.15</v>
      </c>
      <c r="G372" s="29">
        <f>TRUNC(E372*F372,2)</f>
        <v>0</v>
      </c>
      <c r="H372" s="29"/>
      <c r="I372" s="30"/>
      <c r="J372" s="53"/>
    </row>
    <row r="373" spans="1:10" s="74" customFormat="1" ht="28.5">
      <c r="A373" s="77"/>
      <c r="B373" s="54" t="s">
        <v>157</v>
      </c>
      <c r="C373" s="82" t="s">
        <v>489</v>
      </c>
      <c r="D373" s="86" t="s">
        <v>10</v>
      </c>
      <c r="E373" s="87">
        <v>1</v>
      </c>
      <c r="F373" s="72">
        <f>G380</f>
        <v>171</v>
      </c>
      <c r="G373" s="52">
        <f>TRUNC(E373*F373,2)</f>
        <v>171</v>
      </c>
      <c r="H373" s="52"/>
      <c r="I373" s="53"/>
      <c r="J373" s="30"/>
    </row>
    <row r="374" spans="1:10" s="31" customFormat="1" ht="30">
      <c r="A374" s="27"/>
      <c r="B374" s="39" t="s">
        <v>32</v>
      </c>
      <c r="C374" s="85" t="s">
        <v>33</v>
      </c>
      <c r="D374" s="84" t="s">
        <v>4</v>
      </c>
      <c r="E374" s="40">
        <v>1.03</v>
      </c>
      <c r="F374" s="28">
        <f>TRUNC(16.55,2)</f>
        <v>16.55</v>
      </c>
      <c r="G374" s="29">
        <f>TRUNC(E374*F374,2)</f>
        <v>17.04</v>
      </c>
      <c r="H374" s="29"/>
      <c r="I374" s="30"/>
      <c r="J374" s="30"/>
    </row>
    <row r="375" spans="1:10" s="31" customFormat="1" ht="30">
      <c r="A375" s="27"/>
      <c r="B375" s="39" t="s">
        <v>545</v>
      </c>
      <c r="C375" s="85" t="s">
        <v>546</v>
      </c>
      <c r="D375" s="84" t="s">
        <v>4</v>
      </c>
      <c r="E375" s="40">
        <v>1.03</v>
      </c>
      <c r="F375" s="28">
        <f>TRUNC(22.86,2)</f>
        <v>22.86</v>
      </c>
      <c r="G375" s="29">
        <f>TRUNC(E375*F375,2)</f>
        <v>23.54</v>
      </c>
      <c r="H375" s="29"/>
      <c r="I375" s="30"/>
      <c r="J375" s="30"/>
    </row>
    <row r="376" spans="1:10" s="31" customFormat="1" ht="15">
      <c r="A376" s="27"/>
      <c r="B376" s="39"/>
      <c r="C376" s="85"/>
      <c r="D376" s="84"/>
      <c r="E376" s="40" t="s">
        <v>5</v>
      </c>
      <c r="F376" s="28"/>
      <c r="G376" s="29">
        <f>TRUNC(SUM(G372:G375),2)</f>
        <v>211.58</v>
      </c>
      <c r="H376" s="29"/>
      <c r="I376" s="30"/>
      <c r="J376" s="30"/>
    </row>
    <row r="377" spans="1:10" s="31" customFormat="1" ht="30">
      <c r="A377" s="27"/>
      <c r="B377" s="54" t="s">
        <v>157</v>
      </c>
      <c r="C377" s="85" t="s">
        <v>530</v>
      </c>
      <c r="D377" s="84" t="s">
        <v>10</v>
      </c>
      <c r="E377" s="40">
        <v>1</v>
      </c>
      <c r="F377" s="28">
        <v>150.1</v>
      </c>
      <c r="G377" s="29">
        <f>TRUNC(E377*F377,2)</f>
        <v>150.1</v>
      </c>
      <c r="H377" s="29"/>
      <c r="I377" s="30"/>
      <c r="J377" s="30"/>
    </row>
    <row r="378" spans="1:10" s="31" customFormat="1" ht="30">
      <c r="A378" s="27"/>
      <c r="B378" s="54" t="s">
        <v>157</v>
      </c>
      <c r="C378" s="85" t="s">
        <v>531</v>
      </c>
      <c r="D378" s="84" t="s">
        <v>10</v>
      </c>
      <c r="E378" s="40">
        <v>1</v>
      </c>
      <c r="F378" s="28">
        <v>185.9</v>
      </c>
      <c r="G378" s="29">
        <f>TRUNC(E378*F378,2)</f>
        <v>185.9</v>
      </c>
      <c r="H378" s="29"/>
      <c r="I378" s="30"/>
      <c r="J378" s="30"/>
    </row>
    <row r="379" spans="1:10" s="31" customFormat="1" ht="30">
      <c r="A379" s="27"/>
      <c r="B379" s="54" t="s">
        <v>157</v>
      </c>
      <c r="C379" s="85" t="s">
        <v>532</v>
      </c>
      <c r="D379" s="84" t="s">
        <v>10</v>
      </c>
      <c r="E379" s="40">
        <v>1</v>
      </c>
      <c r="F379" s="28">
        <v>171</v>
      </c>
      <c r="G379" s="29">
        <f>TRUNC(E379*F379,2)</f>
        <v>171</v>
      </c>
      <c r="H379" s="29"/>
      <c r="I379" s="30"/>
      <c r="J379" s="30"/>
    </row>
    <row r="380" spans="1:10" s="31" customFormat="1" ht="15">
      <c r="A380" s="27"/>
      <c r="B380" s="39"/>
      <c r="C380" s="85"/>
      <c r="D380" s="84"/>
      <c r="E380" s="40"/>
      <c r="F380" s="28" t="s">
        <v>527</v>
      </c>
      <c r="G380" s="29">
        <f>G379</f>
        <v>171</v>
      </c>
      <c r="H380" s="29"/>
      <c r="I380" s="30"/>
      <c r="J380" s="48">
        <v>6220.7</v>
      </c>
    </row>
    <row r="381" spans="1:10" s="49" customFormat="1" ht="60">
      <c r="A381" s="41" t="s">
        <v>290</v>
      </c>
      <c r="B381" s="42" t="s">
        <v>659</v>
      </c>
      <c r="C381" s="43" t="s">
        <v>311</v>
      </c>
      <c r="D381" s="44" t="s">
        <v>10</v>
      </c>
      <c r="E381" s="45">
        <v>10</v>
      </c>
      <c r="F381" s="46">
        <f>TRUNC(G391,2)</f>
        <v>485.56</v>
      </c>
      <c r="G381" s="47">
        <f>TRUNC(F381*1.2338,2)</f>
        <v>599.08</v>
      </c>
      <c r="H381" s="47">
        <f>TRUNC(F381*E381,2)</f>
        <v>4855.6</v>
      </c>
      <c r="I381" s="48">
        <f>TRUNC(E381*G381,2)</f>
        <v>5990.8</v>
      </c>
      <c r="J381" s="30"/>
    </row>
    <row r="382" spans="1:10" s="31" customFormat="1" ht="15">
      <c r="A382" s="27"/>
      <c r="B382" s="39" t="s">
        <v>660</v>
      </c>
      <c r="C382" s="85" t="s">
        <v>151</v>
      </c>
      <c r="D382" s="84" t="s">
        <v>10</v>
      </c>
      <c r="E382" s="40">
        <v>0.042</v>
      </c>
      <c r="F382" s="28">
        <f>TRUNC(7.37,2)</f>
        <v>7.37</v>
      </c>
      <c r="G382" s="29">
        <f aca="true" t="shared" si="13" ref="G382:G390">TRUNC(E382*F382,2)</f>
        <v>0.3</v>
      </c>
      <c r="H382" s="29"/>
      <c r="I382" s="30"/>
      <c r="J382" s="30"/>
    </row>
    <row r="383" spans="1:10" s="31" customFormat="1" ht="30">
      <c r="A383" s="27"/>
      <c r="B383" s="39" t="s">
        <v>661</v>
      </c>
      <c r="C383" s="85" t="s">
        <v>308</v>
      </c>
      <c r="D383" s="84" t="s">
        <v>10</v>
      </c>
      <c r="E383" s="40">
        <v>0</v>
      </c>
      <c r="F383" s="28">
        <f>TRUNC(371.8,2)</f>
        <v>371.8</v>
      </c>
      <c r="G383" s="29">
        <f t="shared" si="13"/>
        <v>0</v>
      </c>
      <c r="H383" s="29"/>
      <c r="I383" s="30"/>
      <c r="J383" s="30"/>
    </row>
    <row r="384" spans="1:10" s="31" customFormat="1" ht="15">
      <c r="A384" s="27"/>
      <c r="B384" s="39" t="s">
        <v>662</v>
      </c>
      <c r="C384" s="85" t="s">
        <v>309</v>
      </c>
      <c r="D384" s="84" t="s">
        <v>10</v>
      </c>
      <c r="E384" s="40">
        <v>0</v>
      </c>
      <c r="F384" s="28">
        <f>TRUNC(127.55,2)</f>
        <v>127.55</v>
      </c>
      <c r="G384" s="29">
        <f t="shared" si="13"/>
        <v>0</v>
      </c>
      <c r="H384" s="29"/>
      <c r="I384" s="30"/>
      <c r="J384" s="30"/>
    </row>
    <row r="385" spans="1:10" s="31" customFormat="1" ht="15">
      <c r="A385" s="27"/>
      <c r="B385" s="39" t="s">
        <v>663</v>
      </c>
      <c r="C385" s="85" t="s">
        <v>310</v>
      </c>
      <c r="D385" s="84" t="s">
        <v>10</v>
      </c>
      <c r="E385" s="40">
        <v>0</v>
      </c>
      <c r="F385" s="28">
        <f>TRUNC(46.09,2)</f>
        <v>46.09</v>
      </c>
      <c r="G385" s="29">
        <f t="shared" si="13"/>
        <v>0</v>
      </c>
      <c r="H385" s="29"/>
      <c r="I385" s="30"/>
      <c r="J385" s="53"/>
    </row>
    <row r="386" spans="1:10" s="74" customFormat="1" ht="15">
      <c r="A386" s="77"/>
      <c r="B386" s="54" t="s">
        <v>157</v>
      </c>
      <c r="C386" s="82" t="s">
        <v>312</v>
      </c>
      <c r="D386" s="75" t="s">
        <v>10</v>
      </c>
      <c r="E386" s="73">
        <v>1</v>
      </c>
      <c r="F386" s="72">
        <v>155.92</v>
      </c>
      <c r="G386" s="52">
        <f t="shared" si="13"/>
        <v>155.92</v>
      </c>
      <c r="H386" s="52"/>
      <c r="I386" s="53"/>
      <c r="J386" s="30"/>
    </row>
    <row r="387" spans="1:10" s="31" customFormat="1" ht="15">
      <c r="A387" s="27"/>
      <c r="B387" s="54" t="s">
        <v>157</v>
      </c>
      <c r="C387" s="86" t="s">
        <v>313</v>
      </c>
      <c r="D387" s="84" t="s">
        <v>10</v>
      </c>
      <c r="E387" s="40">
        <v>1</v>
      </c>
      <c r="F387" s="28">
        <f>G395</f>
        <v>229.9</v>
      </c>
      <c r="G387" s="29">
        <f t="shared" si="13"/>
        <v>229.9</v>
      </c>
      <c r="H387" s="29"/>
      <c r="I387" s="30"/>
      <c r="J387" s="30"/>
    </row>
    <row r="388" spans="1:10" s="31" customFormat="1" ht="15">
      <c r="A388" s="27"/>
      <c r="B388" s="39" t="s">
        <v>652</v>
      </c>
      <c r="C388" s="85" t="s">
        <v>149</v>
      </c>
      <c r="D388" s="84" t="s">
        <v>4</v>
      </c>
      <c r="E388" s="40">
        <v>1.0324</v>
      </c>
      <c r="F388" s="28">
        <f>TRUNC(30.08,2)</f>
        <v>30.08</v>
      </c>
      <c r="G388" s="29">
        <f t="shared" si="13"/>
        <v>31.05</v>
      </c>
      <c r="H388" s="29"/>
      <c r="I388" s="30"/>
      <c r="J388" s="30"/>
    </row>
    <row r="389" spans="1:10" s="31" customFormat="1" ht="15">
      <c r="A389" s="27"/>
      <c r="B389" s="39" t="s">
        <v>653</v>
      </c>
      <c r="C389" s="85" t="s">
        <v>150</v>
      </c>
      <c r="D389" s="84" t="s">
        <v>4</v>
      </c>
      <c r="E389" s="40">
        <v>1.0324</v>
      </c>
      <c r="F389" s="28">
        <f>TRUNC(23.24,2)</f>
        <v>23.24</v>
      </c>
      <c r="G389" s="29">
        <f t="shared" si="13"/>
        <v>23.99</v>
      </c>
      <c r="H389" s="29"/>
      <c r="I389" s="30"/>
      <c r="J389" s="30"/>
    </row>
    <row r="390" spans="1:10" s="31" customFormat="1" ht="60">
      <c r="A390" s="27"/>
      <c r="B390" s="39" t="s">
        <v>664</v>
      </c>
      <c r="C390" s="85" t="s">
        <v>665</v>
      </c>
      <c r="D390" s="84" t="s">
        <v>22</v>
      </c>
      <c r="E390" s="40">
        <v>0.2388</v>
      </c>
      <c r="F390" s="28">
        <f>TRUNC(185.93,2)</f>
        <v>185.93</v>
      </c>
      <c r="G390" s="29">
        <f t="shared" si="13"/>
        <v>44.4</v>
      </c>
      <c r="H390" s="29"/>
      <c r="I390" s="30"/>
      <c r="J390" s="30"/>
    </row>
    <row r="391" spans="1:10" s="31" customFormat="1" ht="15">
      <c r="A391" s="27"/>
      <c r="B391" s="39"/>
      <c r="C391" s="85"/>
      <c r="D391" s="84"/>
      <c r="E391" s="40" t="s">
        <v>5</v>
      </c>
      <c r="F391" s="28"/>
      <c r="G391" s="29">
        <f>TRUNC(SUM(G382:G390),2)</f>
        <v>485.56</v>
      </c>
      <c r="H391" s="29"/>
      <c r="I391" s="30"/>
      <c r="J391" s="30"/>
    </row>
    <row r="392" spans="1:10" s="31" customFormat="1" ht="15">
      <c r="A392" s="27"/>
      <c r="B392" s="54" t="s">
        <v>157</v>
      </c>
      <c r="C392" s="85" t="s">
        <v>528</v>
      </c>
      <c r="D392" s="84" t="s">
        <v>10</v>
      </c>
      <c r="E392" s="40">
        <v>1</v>
      </c>
      <c r="F392" s="28">
        <v>133.27</v>
      </c>
      <c r="G392" s="29">
        <f>TRUNC(E392*F392,2)</f>
        <v>133.27</v>
      </c>
      <c r="H392" s="29"/>
      <c r="I392" s="30"/>
      <c r="J392" s="30"/>
    </row>
    <row r="393" spans="1:10" s="31" customFormat="1" ht="15">
      <c r="A393" s="27"/>
      <c r="B393" s="54" t="s">
        <v>157</v>
      </c>
      <c r="C393" s="85" t="s">
        <v>529</v>
      </c>
      <c r="D393" s="84" t="s">
        <v>10</v>
      </c>
      <c r="E393" s="40">
        <v>1</v>
      </c>
      <c r="F393" s="28">
        <v>229.9</v>
      </c>
      <c r="G393" s="29">
        <f>TRUNC(E393*F393,2)</f>
        <v>229.9</v>
      </c>
      <c r="H393" s="29"/>
      <c r="I393" s="30"/>
      <c r="J393" s="30"/>
    </row>
    <row r="394" spans="1:10" s="31" customFormat="1" ht="17.25" customHeight="1">
      <c r="A394" s="27"/>
      <c r="B394" s="54" t="s">
        <v>157</v>
      </c>
      <c r="C394" s="85" t="s">
        <v>528</v>
      </c>
      <c r="D394" s="84" t="s">
        <v>10</v>
      </c>
      <c r="E394" s="40">
        <v>1</v>
      </c>
      <c r="F394" s="28">
        <v>516.15</v>
      </c>
      <c r="G394" s="29">
        <f>TRUNC(E394*F394,2)</f>
        <v>516.15</v>
      </c>
      <c r="H394" s="29"/>
      <c r="I394" s="30"/>
      <c r="J394" s="30"/>
    </row>
    <row r="395" spans="1:10" s="31" customFormat="1" ht="15">
      <c r="A395" s="27"/>
      <c r="B395" s="39"/>
      <c r="C395" s="85"/>
      <c r="D395" s="84"/>
      <c r="E395" s="40"/>
      <c r="F395" s="28" t="s">
        <v>527</v>
      </c>
      <c r="G395" s="29">
        <f>G393</f>
        <v>229.9</v>
      </c>
      <c r="H395" s="29"/>
      <c r="I395" s="30"/>
      <c r="J395" s="30"/>
    </row>
    <row r="396" spans="1:10" s="31" customFormat="1" ht="15">
      <c r="A396" s="27"/>
      <c r="B396" s="39"/>
      <c r="C396" s="85"/>
      <c r="D396" s="84"/>
      <c r="E396" s="40"/>
      <c r="F396" s="28"/>
      <c r="G396" s="29"/>
      <c r="H396" s="29"/>
      <c r="I396" s="30"/>
      <c r="J396" s="48">
        <v>723.45</v>
      </c>
    </row>
    <row r="397" spans="1:10" s="49" customFormat="1" ht="45">
      <c r="A397" s="41" t="s">
        <v>291</v>
      </c>
      <c r="B397" s="42" t="s">
        <v>666</v>
      </c>
      <c r="C397" s="43" t="s">
        <v>523</v>
      </c>
      <c r="D397" s="44" t="s">
        <v>10</v>
      </c>
      <c r="E397" s="45">
        <v>3</v>
      </c>
      <c r="F397" s="46">
        <f>TRUNC(G404,2)</f>
        <v>187.55</v>
      </c>
      <c r="G397" s="47">
        <f>TRUNC(F397*1.2338,2)</f>
        <v>231.39</v>
      </c>
      <c r="H397" s="47">
        <f>TRUNC(F397*E397,2)</f>
        <v>562.65</v>
      </c>
      <c r="I397" s="48">
        <f>TRUNC(E397*G397,2)</f>
        <v>694.17</v>
      </c>
      <c r="J397" s="30"/>
    </row>
    <row r="398" spans="1:10" s="31" customFormat="1" ht="30">
      <c r="A398" s="27"/>
      <c r="B398" s="39" t="s">
        <v>667</v>
      </c>
      <c r="C398" s="85" t="s">
        <v>314</v>
      </c>
      <c r="D398" s="84" t="s">
        <v>10</v>
      </c>
      <c r="E398" s="40">
        <v>0</v>
      </c>
      <c r="F398" s="28">
        <v>165</v>
      </c>
      <c r="G398" s="29">
        <f aca="true" t="shared" si="14" ref="G398:G407">TRUNC(E398*F398,2)</f>
        <v>0</v>
      </c>
      <c r="H398" s="29"/>
      <c r="I398" s="30"/>
      <c r="J398" s="30"/>
    </row>
    <row r="399" spans="1:10" s="31" customFormat="1" ht="45">
      <c r="A399" s="27"/>
      <c r="B399" s="39" t="s">
        <v>668</v>
      </c>
      <c r="C399" s="85" t="s">
        <v>315</v>
      </c>
      <c r="D399" s="84" t="s">
        <v>10</v>
      </c>
      <c r="E399" s="40">
        <v>0</v>
      </c>
      <c r="F399" s="28">
        <v>134.99</v>
      </c>
      <c r="G399" s="29">
        <f t="shared" si="14"/>
        <v>0</v>
      </c>
      <c r="H399" s="29"/>
      <c r="I399" s="30"/>
      <c r="J399" s="30"/>
    </row>
    <row r="400" spans="1:10" s="31" customFormat="1" ht="15">
      <c r="A400" s="27"/>
      <c r="B400" s="39" t="s">
        <v>663</v>
      </c>
      <c r="C400" s="85" t="s">
        <v>310</v>
      </c>
      <c r="D400" s="84" t="s">
        <v>10</v>
      </c>
      <c r="E400" s="40">
        <v>0</v>
      </c>
      <c r="F400" s="28">
        <v>46.09</v>
      </c>
      <c r="G400" s="29">
        <f t="shared" si="14"/>
        <v>0</v>
      </c>
      <c r="H400" s="29"/>
      <c r="I400" s="30"/>
      <c r="J400" s="53"/>
    </row>
    <row r="401" spans="1:10" s="74" customFormat="1" ht="15">
      <c r="A401" s="77"/>
      <c r="B401" s="54" t="s">
        <v>157</v>
      </c>
      <c r="C401" s="79" t="s">
        <v>316</v>
      </c>
      <c r="D401" s="75" t="s">
        <v>10</v>
      </c>
      <c r="E401" s="73">
        <v>1</v>
      </c>
      <c r="F401" s="72">
        <f>G408</f>
        <v>171</v>
      </c>
      <c r="G401" s="52">
        <f t="shared" si="14"/>
        <v>171</v>
      </c>
      <c r="H401" s="52"/>
      <c r="I401" s="53"/>
      <c r="J401" s="30"/>
    </row>
    <row r="402" spans="1:10" s="31" customFormat="1" ht="15">
      <c r="A402" s="27"/>
      <c r="B402" s="39" t="s">
        <v>652</v>
      </c>
      <c r="C402" s="85" t="s">
        <v>149</v>
      </c>
      <c r="D402" s="84" t="s">
        <v>4</v>
      </c>
      <c r="E402" s="40">
        <v>0.4165</v>
      </c>
      <c r="F402" s="28">
        <f>TRUNC(30.08,2)</f>
        <v>30.08</v>
      </c>
      <c r="G402" s="29">
        <f t="shared" si="14"/>
        <v>12.52</v>
      </c>
      <c r="H402" s="29"/>
      <c r="I402" s="30"/>
      <c r="J402" s="30"/>
    </row>
    <row r="403" spans="1:10" s="31" customFormat="1" ht="15">
      <c r="A403" s="27"/>
      <c r="B403" s="39" t="s">
        <v>653</v>
      </c>
      <c r="C403" s="85" t="s">
        <v>150</v>
      </c>
      <c r="D403" s="84" t="s">
        <v>4</v>
      </c>
      <c r="E403" s="40">
        <v>0.1735</v>
      </c>
      <c r="F403" s="28">
        <f>TRUNC(23.24,2)</f>
        <v>23.24</v>
      </c>
      <c r="G403" s="29">
        <f t="shared" si="14"/>
        <v>4.03</v>
      </c>
      <c r="H403" s="29"/>
      <c r="I403" s="30"/>
      <c r="J403" s="30"/>
    </row>
    <row r="404" spans="1:10" s="31" customFormat="1" ht="15">
      <c r="A404" s="27"/>
      <c r="B404" s="39"/>
      <c r="C404" s="85"/>
      <c r="D404" s="84"/>
      <c r="E404" s="40" t="s">
        <v>5</v>
      </c>
      <c r="F404" s="28"/>
      <c r="G404" s="29">
        <f>TRUNC(SUM(G398:G403),2)</f>
        <v>187.55</v>
      </c>
      <c r="H404" s="29"/>
      <c r="I404" s="30"/>
      <c r="J404" s="30"/>
    </row>
    <row r="405" spans="1:10" s="31" customFormat="1" ht="30">
      <c r="A405" s="27"/>
      <c r="B405" s="54" t="s">
        <v>157</v>
      </c>
      <c r="C405" s="85" t="s">
        <v>524</v>
      </c>
      <c r="D405" s="84" t="s">
        <v>10</v>
      </c>
      <c r="E405" s="40">
        <v>1</v>
      </c>
      <c r="F405" s="28">
        <v>171</v>
      </c>
      <c r="G405" s="29">
        <f t="shared" si="14"/>
        <v>171</v>
      </c>
      <c r="H405" s="29"/>
      <c r="I405" s="30"/>
      <c r="J405" s="30"/>
    </row>
    <row r="406" spans="1:10" s="31" customFormat="1" ht="30">
      <c r="A406" s="27"/>
      <c r="B406" s="54" t="s">
        <v>157</v>
      </c>
      <c r="C406" s="85" t="s">
        <v>525</v>
      </c>
      <c r="D406" s="84" t="s">
        <v>10</v>
      </c>
      <c r="E406" s="40">
        <v>1</v>
      </c>
      <c r="F406" s="28">
        <v>106.71</v>
      </c>
      <c r="G406" s="29">
        <f t="shared" si="14"/>
        <v>106.71</v>
      </c>
      <c r="H406" s="29"/>
      <c r="I406" s="30"/>
      <c r="J406" s="30"/>
    </row>
    <row r="407" spans="1:10" s="31" customFormat="1" ht="30">
      <c r="A407" s="27"/>
      <c r="B407" s="54" t="s">
        <v>157</v>
      </c>
      <c r="C407" s="85" t="s">
        <v>526</v>
      </c>
      <c r="D407" s="84" t="s">
        <v>10</v>
      </c>
      <c r="E407" s="40">
        <v>1</v>
      </c>
      <c r="F407" s="28">
        <v>264.9</v>
      </c>
      <c r="G407" s="29">
        <f t="shared" si="14"/>
        <v>264.9</v>
      </c>
      <c r="H407" s="29"/>
      <c r="I407" s="30"/>
      <c r="J407" s="30"/>
    </row>
    <row r="408" spans="1:10" s="31" customFormat="1" ht="15">
      <c r="A408" s="27"/>
      <c r="B408" s="39"/>
      <c r="C408" s="85"/>
      <c r="D408" s="84"/>
      <c r="E408" s="40"/>
      <c r="F408" s="28" t="s">
        <v>527</v>
      </c>
      <c r="G408" s="29">
        <f>G405</f>
        <v>171</v>
      </c>
      <c r="H408" s="29"/>
      <c r="I408" s="30"/>
      <c r="J408" s="48">
        <v>36121.2</v>
      </c>
    </row>
    <row r="409" spans="1:10" s="49" customFormat="1" ht="89.25">
      <c r="A409" s="41" t="s">
        <v>292</v>
      </c>
      <c r="B409" s="42" t="s">
        <v>669</v>
      </c>
      <c r="C409" s="43" t="s">
        <v>326</v>
      </c>
      <c r="D409" s="44" t="s">
        <v>10</v>
      </c>
      <c r="E409" s="45">
        <v>10</v>
      </c>
      <c r="F409" s="46">
        <f>TRUNC(G412+G415+G420+G424+G432,2)</f>
        <v>2814.02</v>
      </c>
      <c r="G409" s="47">
        <f>TRUNC(F409*1.2338,2)</f>
        <v>3471.93</v>
      </c>
      <c r="H409" s="47">
        <f>TRUNC(F409*E409,2)</f>
        <v>28140.2</v>
      </c>
      <c r="I409" s="48">
        <f>TRUNC(E409*G409,2)</f>
        <v>34719.3</v>
      </c>
      <c r="J409" s="30"/>
    </row>
    <row r="410" spans="1:10" s="31" customFormat="1" ht="30">
      <c r="A410" s="27"/>
      <c r="B410" s="39" t="s">
        <v>670</v>
      </c>
      <c r="C410" s="85" t="s">
        <v>317</v>
      </c>
      <c r="D410" s="84" t="s">
        <v>10</v>
      </c>
      <c r="E410" s="40">
        <v>1</v>
      </c>
      <c r="F410" s="28">
        <f>TRUNC(1920,2)</f>
        <v>1920</v>
      </c>
      <c r="G410" s="29">
        <f>TRUNC(E410*F410,2)</f>
        <v>1920</v>
      </c>
      <c r="H410" s="29"/>
      <c r="I410" s="30"/>
      <c r="J410" s="30"/>
    </row>
    <row r="411" spans="1:10" s="31" customFormat="1" ht="30">
      <c r="A411" s="27"/>
      <c r="B411" s="39" t="s">
        <v>318</v>
      </c>
      <c r="C411" s="85" t="s">
        <v>319</v>
      </c>
      <c r="D411" s="84" t="s">
        <v>10</v>
      </c>
      <c r="E411" s="40">
        <v>1</v>
      </c>
      <c r="F411" s="28">
        <f>TRUNC(1920,2)</f>
        <v>1920</v>
      </c>
      <c r="G411" s="29">
        <f>TRUNC(E411*F411,2)</f>
        <v>1920</v>
      </c>
      <c r="H411" s="29"/>
      <c r="I411" s="30"/>
      <c r="J411" s="30"/>
    </row>
    <row r="412" spans="1:10" s="31" customFormat="1" ht="15">
      <c r="A412" s="27"/>
      <c r="B412" s="39"/>
      <c r="C412" s="85"/>
      <c r="D412" s="84"/>
      <c r="E412" s="40" t="s">
        <v>5</v>
      </c>
      <c r="F412" s="28"/>
      <c r="G412" s="29">
        <f>TRUNC(SUM(G411:G411),2)</f>
        <v>1920</v>
      </c>
      <c r="H412" s="29"/>
      <c r="I412" s="30"/>
      <c r="J412" s="30"/>
    </row>
    <row r="413" spans="1:10" s="31" customFormat="1" ht="60">
      <c r="A413" s="27"/>
      <c r="B413" s="39" t="s">
        <v>671</v>
      </c>
      <c r="C413" s="85" t="s">
        <v>320</v>
      </c>
      <c r="D413" s="84" t="s">
        <v>10</v>
      </c>
      <c r="E413" s="40">
        <v>1</v>
      </c>
      <c r="F413" s="28">
        <f>TRUNC(132.149,2)</f>
        <v>132.14</v>
      </c>
      <c r="G413" s="29">
        <f>TRUNC(E413*F413,2)</f>
        <v>132.14</v>
      </c>
      <c r="H413" s="29"/>
      <c r="I413" s="30"/>
      <c r="J413" s="30"/>
    </row>
    <row r="414" spans="1:10" s="31" customFormat="1" ht="30">
      <c r="A414" s="27"/>
      <c r="B414" s="39" t="s">
        <v>672</v>
      </c>
      <c r="C414" s="85" t="s">
        <v>673</v>
      </c>
      <c r="D414" s="84" t="s">
        <v>4</v>
      </c>
      <c r="E414" s="40">
        <v>10.3</v>
      </c>
      <c r="F414" s="28">
        <f>TRUNC(12.83,2)</f>
        <v>12.83</v>
      </c>
      <c r="G414" s="29">
        <f>TRUNC(E414*F414,2)</f>
        <v>132.14</v>
      </c>
      <c r="H414" s="29"/>
      <c r="I414" s="30"/>
      <c r="J414" s="30"/>
    </row>
    <row r="415" spans="1:10" s="31" customFormat="1" ht="15">
      <c r="A415" s="27"/>
      <c r="B415" s="39"/>
      <c r="C415" s="85"/>
      <c r="D415" s="84"/>
      <c r="E415" s="40" t="s">
        <v>5</v>
      </c>
      <c r="F415" s="28"/>
      <c r="G415" s="29">
        <f>TRUNC(SUM(G414:G414),2)</f>
        <v>132.14</v>
      </c>
      <c r="H415" s="29"/>
      <c r="I415" s="30"/>
      <c r="J415" s="30"/>
    </row>
    <row r="416" spans="1:10" s="31" customFormat="1" ht="60">
      <c r="A416" s="27"/>
      <c r="B416" s="39" t="s">
        <v>674</v>
      </c>
      <c r="C416" s="85" t="s">
        <v>321</v>
      </c>
      <c r="D416" s="84" t="s">
        <v>10</v>
      </c>
      <c r="E416" s="40">
        <v>1</v>
      </c>
      <c r="F416" s="28">
        <f>TRUNC(150.836218,2)</f>
        <v>150.83</v>
      </c>
      <c r="G416" s="29">
        <f>TRUNC(E416*F416,2)</f>
        <v>150.83</v>
      </c>
      <c r="H416" s="29"/>
      <c r="I416" s="30"/>
      <c r="J416" s="30"/>
    </row>
    <row r="417" spans="1:10" s="31" customFormat="1" ht="15">
      <c r="A417" s="27"/>
      <c r="B417" s="39" t="s">
        <v>322</v>
      </c>
      <c r="C417" s="85" t="s">
        <v>323</v>
      </c>
      <c r="D417" s="84" t="s">
        <v>10</v>
      </c>
      <c r="E417" s="40">
        <v>4</v>
      </c>
      <c r="F417" s="28">
        <f>TRUNC(140,2)</f>
        <v>140</v>
      </c>
      <c r="G417" s="29">
        <f>TRUNC(E417*F417,2)</f>
        <v>560</v>
      </c>
      <c r="H417" s="29"/>
      <c r="I417" s="30"/>
      <c r="J417" s="30"/>
    </row>
    <row r="418" spans="1:10" s="31" customFormat="1" ht="30">
      <c r="A418" s="27"/>
      <c r="B418" s="39" t="s">
        <v>324</v>
      </c>
      <c r="C418" s="85" t="s">
        <v>325</v>
      </c>
      <c r="D418" s="84" t="s">
        <v>3</v>
      </c>
      <c r="E418" s="40">
        <v>6.97</v>
      </c>
      <c r="F418" s="28">
        <v>11.2938</v>
      </c>
      <c r="G418" s="29">
        <f>TRUNC(E418*F418,2)</f>
        <v>78.71</v>
      </c>
      <c r="H418" s="29"/>
      <c r="I418" s="30"/>
      <c r="J418" s="30"/>
    </row>
    <row r="419" spans="1:10" s="31" customFormat="1" ht="30">
      <c r="A419" s="27"/>
      <c r="B419" s="39" t="s">
        <v>672</v>
      </c>
      <c r="C419" s="85" t="s">
        <v>673</v>
      </c>
      <c r="D419" s="84" t="s">
        <v>4</v>
      </c>
      <c r="E419" s="40">
        <v>6</v>
      </c>
      <c r="F419" s="28">
        <f>TRUNC(12.83,2)</f>
        <v>12.83</v>
      </c>
      <c r="G419" s="29">
        <f>TRUNC(E419*F419,2)</f>
        <v>76.98</v>
      </c>
      <c r="H419" s="29"/>
      <c r="I419" s="30"/>
      <c r="J419" s="30"/>
    </row>
    <row r="420" spans="1:10" s="31" customFormat="1" ht="15">
      <c r="A420" s="27"/>
      <c r="B420" s="39"/>
      <c r="C420" s="85"/>
      <c r="D420" s="84"/>
      <c r="E420" s="40" t="s">
        <v>5</v>
      </c>
      <c r="F420" s="28"/>
      <c r="G420" s="29">
        <f>TRUNC(SUM(G417:G419),2)</f>
        <v>715.69</v>
      </c>
      <c r="H420" s="29"/>
      <c r="I420" s="30"/>
      <c r="J420" s="30"/>
    </row>
    <row r="421" spans="1:10" s="31" customFormat="1" ht="45">
      <c r="A421" s="27"/>
      <c r="B421" s="39" t="s">
        <v>571</v>
      </c>
      <c r="C421" s="85" t="s">
        <v>141</v>
      </c>
      <c r="D421" s="84" t="s">
        <v>1</v>
      </c>
      <c r="E421" s="40">
        <v>1</v>
      </c>
      <c r="F421" s="28">
        <f>TRUNC(57.9581,2)</f>
        <v>57.95</v>
      </c>
      <c r="G421" s="29">
        <f>TRUNC(E421*F421,2)</f>
        <v>57.95</v>
      </c>
      <c r="H421" s="29"/>
      <c r="I421" s="30"/>
      <c r="J421" s="30"/>
    </row>
    <row r="422" spans="1:10" s="31" customFormat="1" ht="30">
      <c r="A422" s="27"/>
      <c r="B422" s="39" t="s">
        <v>32</v>
      </c>
      <c r="C422" s="85" t="s">
        <v>33</v>
      </c>
      <c r="D422" s="84" t="s">
        <v>4</v>
      </c>
      <c r="E422" s="40">
        <v>3.502</v>
      </c>
      <c r="F422" s="28">
        <f>TRUNC(16.55,2)</f>
        <v>16.55</v>
      </c>
      <c r="G422" s="29">
        <f>TRUNC(E422*F422,2)</f>
        <v>57.95</v>
      </c>
      <c r="H422" s="29"/>
      <c r="I422" s="30"/>
      <c r="J422" s="30"/>
    </row>
    <row r="423" spans="1:10" s="31" customFormat="1" ht="15">
      <c r="A423" s="27"/>
      <c r="B423" s="39"/>
      <c r="C423" s="85"/>
      <c r="D423" s="84"/>
      <c r="E423" s="40" t="s">
        <v>5</v>
      </c>
      <c r="F423" s="28"/>
      <c r="G423" s="29">
        <f>TRUNC(SUM(G422:G422),2)</f>
        <v>57.95</v>
      </c>
      <c r="H423" s="29"/>
      <c r="I423" s="30"/>
      <c r="J423" s="30"/>
    </row>
    <row r="424" spans="1:10" s="31" customFormat="1" ht="15">
      <c r="A424" s="27"/>
      <c r="B424" s="39"/>
      <c r="C424" s="85" t="s">
        <v>490</v>
      </c>
      <c r="D424" s="84"/>
      <c r="E424" s="40"/>
      <c r="F424" s="28"/>
      <c r="G424" s="29">
        <v>4.63</v>
      </c>
      <c r="H424" s="29"/>
      <c r="I424" s="30"/>
      <c r="J424" s="30"/>
    </row>
    <row r="425" spans="1:10" s="31" customFormat="1" ht="45">
      <c r="A425" s="27"/>
      <c r="B425" s="39" t="s">
        <v>605</v>
      </c>
      <c r="C425" s="85" t="s">
        <v>194</v>
      </c>
      <c r="D425" s="84" t="s">
        <v>1</v>
      </c>
      <c r="E425" s="40">
        <v>1</v>
      </c>
      <c r="F425" s="28">
        <f>TRUNC(519.581639425,2)</f>
        <v>519.58</v>
      </c>
      <c r="G425" s="29">
        <f aca="true" t="shared" si="15" ref="G425:G430">TRUNC(E425*F425,2)</f>
        <v>519.58</v>
      </c>
      <c r="H425" s="29"/>
      <c r="I425" s="30"/>
      <c r="J425" s="30"/>
    </row>
    <row r="426" spans="1:10" s="31" customFormat="1" ht="15">
      <c r="A426" s="27"/>
      <c r="B426" s="39" t="s">
        <v>195</v>
      </c>
      <c r="C426" s="85" t="s">
        <v>196</v>
      </c>
      <c r="D426" s="84" t="s">
        <v>21</v>
      </c>
      <c r="E426" s="40">
        <v>1.208865</v>
      </c>
      <c r="F426" s="28">
        <f>TRUNC(59.745,2)</f>
        <v>59.74</v>
      </c>
      <c r="G426" s="29">
        <f t="shared" si="15"/>
        <v>72.21</v>
      </c>
      <c r="H426" s="29"/>
      <c r="I426" s="30"/>
      <c r="J426" s="30"/>
    </row>
    <row r="427" spans="1:10" s="31" customFormat="1" ht="15">
      <c r="A427" s="27"/>
      <c r="B427" s="39" t="s">
        <v>143</v>
      </c>
      <c r="C427" s="85" t="s">
        <v>144</v>
      </c>
      <c r="D427" s="84" t="s">
        <v>3</v>
      </c>
      <c r="E427" s="40">
        <v>409.5</v>
      </c>
      <c r="F427" s="28">
        <f>TRUNC(0.47,2)</f>
        <v>0.47</v>
      </c>
      <c r="G427" s="29">
        <f t="shared" si="15"/>
        <v>192.46</v>
      </c>
      <c r="H427" s="29"/>
      <c r="I427" s="30"/>
      <c r="J427" s="30"/>
    </row>
    <row r="428" spans="1:10" s="31" customFormat="1" ht="15">
      <c r="A428" s="27"/>
      <c r="B428" s="39" t="s">
        <v>145</v>
      </c>
      <c r="C428" s="85" t="s">
        <v>146</v>
      </c>
      <c r="D428" s="84" t="s">
        <v>1</v>
      </c>
      <c r="E428" s="40">
        <v>0.6194999999999999</v>
      </c>
      <c r="F428" s="28">
        <f>TRUNC(80,2)</f>
        <v>80</v>
      </c>
      <c r="G428" s="29">
        <f t="shared" si="15"/>
        <v>49.56</v>
      </c>
      <c r="H428" s="29"/>
      <c r="I428" s="30"/>
      <c r="J428" s="30"/>
    </row>
    <row r="429" spans="1:10" s="31" customFormat="1" ht="15">
      <c r="A429" s="27"/>
      <c r="B429" s="39" t="s">
        <v>601</v>
      </c>
      <c r="C429" s="85" t="s">
        <v>602</v>
      </c>
      <c r="D429" s="84" t="s">
        <v>1</v>
      </c>
      <c r="E429" s="40">
        <v>1</v>
      </c>
      <c r="F429" s="28">
        <f>TRUNC(122.7432,2)</f>
        <v>122.74</v>
      </c>
      <c r="G429" s="29">
        <f t="shared" si="15"/>
        <v>122.74</v>
      </c>
      <c r="H429" s="29"/>
      <c r="I429" s="30"/>
      <c r="J429" s="30"/>
    </row>
    <row r="430" spans="1:10" s="31" customFormat="1" ht="15">
      <c r="A430" s="27"/>
      <c r="B430" s="39" t="s">
        <v>558</v>
      </c>
      <c r="C430" s="85" t="s">
        <v>559</v>
      </c>
      <c r="D430" s="84" t="s">
        <v>1</v>
      </c>
      <c r="E430" s="40">
        <v>1</v>
      </c>
      <c r="F430" s="28">
        <f>TRUNC(82.5898,2)</f>
        <v>82.58</v>
      </c>
      <c r="G430" s="29">
        <f t="shared" si="15"/>
        <v>82.58</v>
      </c>
      <c r="H430" s="29"/>
      <c r="I430" s="30"/>
      <c r="J430" s="30"/>
    </row>
    <row r="431" spans="1:10" s="31" customFormat="1" ht="14.25" customHeight="1">
      <c r="A431" s="27"/>
      <c r="B431" s="39"/>
      <c r="C431" s="85"/>
      <c r="D431" s="84"/>
      <c r="E431" s="40" t="s">
        <v>5</v>
      </c>
      <c r="F431" s="28"/>
      <c r="G431" s="29">
        <f>TRUNC(SUM(G426:G430),2)</f>
        <v>519.55</v>
      </c>
      <c r="H431" s="29"/>
      <c r="I431" s="30"/>
      <c r="J431" s="30"/>
    </row>
    <row r="432" spans="1:10" s="31" customFormat="1" ht="15">
      <c r="A432" s="27"/>
      <c r="B432" s="39"/>
      <c r="C432" s="85" t="s">
        <v>675</v>
      </c>
      <c r="D432" s="84"/>
      <c r="E432" s="40"/>
      <c r="F432" s="28"/>
      <c r="G432" s="29">
        <v>41.56</v>
      </c>
      <c r="H432" s="29"/>
      <c r="I432" s="30"/>
      <c r="J432" s="48">
        <v>4989.3</v>
      </c>
    </row>
    <row r="433" spans="1:10" s="49" customFormat="1" ht="74.25">
      <c r="A433" s="41" t="s">
        <v>293</v>
      </c>
      <c r="B433" s="42" t="s">
        <v>676</v>
      </c>
      <c r="C433" s="43" t="s">
        <v>327</v>
      </c>
      <c r="D433" s="44" t="s">
        <v>10</v>
      </c>
      <c r="E433" s="45">
        <v>3</v>
      </c>
      <c r="F433" s="46">
        <f>TRUNC(G436+G439+G443+G451,2)</f>
        <v>1304.53</v>
      </c>
      <c r="G433" s="47">
        <f>TRUNC(F433*1.2338,2)</f>
        <v>1609.52</v>
      </c>
      <c r="H433" s="47">
        <f>TRUNC(F433*E433,2)</f>
        <v>3913.59</v>
      </c>
      <c r="I433" s="48">
        <f>TRUNC(E433*G433,2)</f>
        <v>4828.56</v>
      </c>
      <c r="J433" s="30"/>
    </row>
    <row r="434" spans="1:10" s="31" customFormat="1" ht="30">
      <c r="A434" s="27"/>
      <c r="B434" s="39" t="s">
        <v>677</v>
      </c>
      <c r="C434" s="85" t="s">
        <v>328</v>
      </c>
      <c r="D434" s="84" t="s">
        <v>10</v>
      </c>
      <c r="E434" s="40">
        <v>1</v>
      </c>
      <c r="F434" s="28">
        <f>TRUNC(1080,2)</f>
        <v>1080</v>
      </c>
      <c r="G434" s="29">
        <f>TRUNC(E434*F434,2)</f>
        <v>1080</v>
      </c>
      <c r="H434" s="29"/>
      <c r="I434" s="30"/>
      <c r="J434" s="30"/>
    </row>
    <row r="435" spans="1:10" s="31" customFormat="1" ht="15">
      <c r="A435" s="27"/>
      <c r="B435" s="39" t="s">
        <v>329</v>
      </c>
      <c r="C435" s="85" t="s">
        <v>330</v>
      </c>
      <c r="D435" s="84" t="s">
        <v>10</v>
      </c>
      <c r="E435" s="40">
        <v>1</v>
      </c>
      <c r="F435" s="28">
        <f>TRUNC(1080,2)</f>
        <v>1080</v>
      </c>
      <c r="G435" s="29">
        <f>TRUNC(E435*F435,2)</f>
        <v>1080</v>
      </c>
      <c r="H435" s="29"/>
      <c r="I435" s="30"/>
      <c r="J435" s="30"/>
    </row>
    <row r="436" spans="1:10" s="31" customFormat="1" ht="15">
      <c r="A436" s="27"/>
      <c r="B436" s="39"/>
      <c r="C436" s="85"/>
      <c r="D436" s="84"/>
      <c r="E436" s="40" t="s">
        <v>5</v>
      </c>
      <c r="F436" s="28"/>
      <c r="G436" s="29">
        <f>TRUNC(SUM(G435:G435),2)</f>
        <v>1080</v>
      </c>
      <c r="H436" s="29"/>
      <c r="I436" s="30"/>
      <c r="J436" s="30"/>
    </row>
    <row r="437" spans="1:10" s="31" customFormat="1" ht="60">
      <c r="A437" s="27"/>
      <c r="B437" s="39" t="s">
        <v>671</v>
      </c>
      <c r="C437" s="85" t="s">
        <v>320</v>
      </c>
      <c r="D437" s="84" t="s">
        <v>10</v>
      </c>
      <c r="E437" s="40">
        <v>1</v>
      </c>
      <c r="F437" s="28">
        <f>TRUNC(132.149,2)</f>
        <v>132.14</v>
      </c>
      <c r="G437" s="29">
        <f>TRUNC(E437*F437,2)</f>
        <v>132.14</v>
      </c>
      <c r="H437" s="29"/>
      <c r="I437" s="30"/>
      <c r="J437" s="30"/>
    </row>
    <row r="438" spans="1:10" s="31" customFormat="1" ht="30">
      <c r="A438" s="27"/>
      <c r="B438" s="39" t="s">
        <v>672</v>
      </c>
      <c r="C438" s="85" t="s">
        <v>673</v>
      </c>
      <c r="D438" s="84" t="s">
        <v>4</v>
      </c>
      <c r="E438" s="40">
        <v>10.3</v>
      </c>
      <c r="F438" s="28">
        <f>TRUNC(12.83,2)</f>
        <v>12.83</v>
      </c>
      <c r="G438" s="29">
        <f>TRUNC(E438*F438,2)</f>
        <v>132.14</v>
      </c>
      <c r="H438" s="29"/>
      <c r="I438" s="30"/>
      <c r="J438" s="30"/>
    </row>
    <row r="439" spans="1:10" s="31" customFormat="1" ht="15">
      <c r="A439" s="27"/>
      <c r="B439" s="39"/>
      <c r="C439" s="85"/>
      <c r="D439" s="84"/>
      <c r="E439" s="40" t="s">
        <v>5</v>
      </c>
      <c r="F439" s="28"/>
      <c r="G439" s="29">
        <f>TRUNC(SUM(G438:G438),2)</f>
        <v>132.14</v>
      </c>
      <c r="H439" s="29"/>
      <c r="I439" s="30"/>
      <c r="J439" s="30"/>
    </row>
    <row r="440" spans="1:10" s="31" customFormat="1" ht="45">
      <c r="A440" s="27"/>
      <c r="B440" s="39" t="s">
        <v>571</v>
      </c>
      <c r="C440" s="85" t="s">
        <v>141</v>
      </c>
      <c r="D440" s="84" t="s">
        <v>1</v>
      </c>
      <c r="E440" s="40">
        <v>1</v>
      </c>
      <c r="F440" s="28">
        <f>TRUNC(57.9581,2)</f>
        <v>57.95</v>
      </c>
      <c r="G440" s="29">
        <f>TRUNC(E440*F440,2)</f>
        <v>57.95</v>
      </c>
      <c r="H440" s="29"/>
      <c r="I440" s="30"/>
      <c r="J440" s="30"/>
    </row>
    <row r="441" spans="1:10" s="31" customFormat="1" ht="30">
      <c r="A441" s="27"/>
      <c r="B441" s="39" t="s">
        <v>32</v>
      </c>
      <c r="C441" s="85" t="s">
        <v>33</v>
      </c>
      <c r="D441" s="84" t="s">
        <v>4</v>
      </c>
      <c r="E441" s="40">
        <v>3.502</v>
      </c>
      <c r="F441" s="28">
        <f>TRUNC(16.55,2)</f>
        <v>16.55</v>
      </c>
      <c r="G441" s="29">
        <f>TRUNC(E441*F441,2)</f>
        <v>57.95</v>
      </c>
      <c r="H441" s="29"/>
      <c r="I441" s="30"/>
      <c r="J441" s="30"/>
    </row>
    <row r="442" spans="1:10" s="31" customFormat="1" ht="15">
      <c r="A442" s="27"/>
      <c r="B442" s="39"/>
      <c r="C442" s="85"/>
      <c r="D442" s="84"/>
      <c r="E442" s="40" t="s">
        <v>5</v>
      </c>
      <c r="F442" s="28"/>
      <c r="G442" s="29">
        <f>TRUNC(SUM(G441:G441),2)</f>
        <v>57.95</v>
      </c>
      <c r="H442" s="29"/>
      <c r="I442" s="30"/>
      <c r="J442" s="30"/>
    </row>
    <row r="443" spans="1:10" s="31" customFormat="1" ht="30">
      <c r="A443" s="27"/>
      <c r="B443" s="39"/>
      <c r="C443" s="85" t="s">
        <v>678</v>
      </c>
      <c r="D443" s="84"/>
      <c r="E443" s="40"/>
      <c r="F443" s="28"/>
      <c r="G443" s="29">
        <v>9.27</v>
      </c>
      <c r="H443" s="29"/>
      <c r="I443" s="30"/>
      <c r="J443" s="30"/>
    </row>
    <row r="444" spans="1:10" s="31" customFormat="1" ht="45">
      <c r="A444" s="27"/>
      <c r="B444" s="39" t="s">
        <v>605</v>
      </c>
      <c r="C444" s="85" t="s">
        <v>194</v>
      </c>
      <c r="D444" s="84" t="s">
        <v>1</v>
      </c>
      <c r="E444" s="40">
        <v>1</v>
      </c>
      <c r="F444" s="28">
        <f>TRUNC(519.581639425,2)</f>
        <v>519.58</v>
      </c>
      <c r="G444" s="29">
        <f aca="true" t="shared" si="16" ref="G444:G449">TRUNC(E444*F444,2)</f>
        <v>519.58</v>
      </c>
      <c r="H444" s="29"/>
      <c r="I444" s="30"/>
      <c r="J444" s="30"/>
    </row>
    <row r="445" spans="1:10" s="31" customFormat="1" ht="15">
      <c r="A445" s="27"/>
      <c r="B445" s="39" t="s">
        <v>195</v>
      </c>
      <c r="C445" s="85" t="s">
        <v>196</v>
      </c>
      <c r="D445" s="84" t="s">
        <v>21</v>
      </c>
      <c r="E445" s="40">
        <v>1.208865</v>
      </c>
      <c r="F445" s="28">
        <f>TRUNC(59.745,2)</f>
        <v>59.74</v>
      </c>
      <c r="G445" s="29">
        <f t="shared" si="16"/>
        <v>72.21</v>
      </c>
      <c r="H445" s="29"/>
      <c r="I445" s="30"/>
      <c r="J445" s="30"/>
    </row>
    <row r="446" spans="1:10" s="31" customFormat="1" ht="15">
      <c r="A446" s="27"/>
      <c r="B446" s="39" t="s">
        <v>143</v>
      </c>
      <c r="C446" s="85" t="s">
        <v>144</v>
      </c>
      <c r="D446" s="84" t="s">
        <v>3</v>
      </c>
      <c r="E446" s="40">
        <v>409.5</v>
      </c>
      <c r="F446" s="28">
        <f>TRUNC(0.47,2)</f>
        <v>0.47</v>
      </c>
      <c r="G446" s="29">
        <f t="shared" si="16"/>
        <v>192.46</v>
      </c>
      <c r="H446" s="29"/>
      <c r="I446" s="30"/>
      <c r="J446" s="30"/>
    </row>
    <row r="447" spans="1:10" s="31" customFormat="1" ht="15">
      <c r="A447" s="27"/>
      <c r="B447" s="39" t="s">
        <v>145</v>
      </c>
      <c r="C447" s="85" t="s">
        <v>146</v>
      </c>
      <c r="D447" s="84" t="s">
        <v>1</v>
      </c>
      <c r="E447" s="40">
        <v>0.6194999999999999</v>
      </c>
      <c r="F447" s="28">
        <f>TRUNC(80,2)</f>
        <v>80</v>
      </c>
      <c r="G447" s="29">
        <f t="shared" si="16"/>
        <v>49.56</v>
      </c>
      <c r="H447" s="29"/>
      <c r="I447" s="30"/>
      <c r="J447" s="30"/>
    </row>
    <row r="448" spans="1:10" s="31" customFormat="1" ht="15">
      <c r="A448" s="27"/>
      <c r="B448" s="39" t="s">
        <v>601</v>
      </c>
      <c r="C448" s="85" t="s">
        <v>602</v>
      </c>
      <c r="D448" s="84" t="s">
        <v>1</v>
      </c>
      <c r="E448" s="40">
        <v>1</v>
      </c>
      <c r="F448" s="28">
        <f>TRUNC(122.7432,2)</f>
        <v>122.74</v>
      </c>
      <c r="G448" s="29">
        <f t="shared" si="16"/>
        <v>122.74</v>
      </c>
      <c r="H448" s="29"/>
      <c r="I448" s="30"/>
      <c r="J448" s="30"/>
    </row>
    <row r="449" spans="1:10" s="31" customFormat="1" ht="15">
      <c r="A449" s="27"/>
      <c r="B449" s="39" t="s">
        <v>558</v>
      </c>
      <c r="C449" s="85" t="s">
        <v>559</v>
      </c>
      <c r="D449" s="84" t="s">
        <v>1</v>
      </c>
      <c r="E449" s="40">
        <v>1</v>
      </c>
      <c r="F449" s="28">
        <f>TRUNC(82.5898,2)</f>
        <v>82.58</v>
      </c>
      <c r="G449" s="29">
        <f t="shared" si="16"/>
        <v>82.58</v>
      </c>
      <c r="H449" s="29"/>
      <c r="I449" s="30"/>
      <c r="J449" s="30"/>
    </row>
    <row r="450" spans="1:10" s="31" customFormat="1" ht="15">
      <c r="A450" s="27"/>
      <c r="B450" s="39"/>
      <c r="C450" s="85"/>
      <c r="D450" s="84"/>
      <c r="E450" s="40" t="s">
        <v>5</v>
      </c>
      <c r="F450" s="28"/>
      <c r="G450" s="29">
        <f>TRUNC(SUM(G445:G449),2)</f>
        <v>519.55</v>
      </c>
      <c r="H450" s="29"/>
      <c r="I450" s="30"/>
      <c r="J450" s="30"/>
    </row>
    <row r="451" spans="1:10" s="31" customFormat="1" ht="15">
      <c r="A451" s="27"/>
      <c r="B451" s="39"/>
      <c r="C451" s="80" t="s">
        <v>679</v>
      </c>
      <c r="D451" s="84"/>
      <c r="E451" s="40"/>
      <c r="F451" s="28"/>
      <c r="G451" s="29">
        <v>83.12</v>
      </c>
      <c r="H451" s="29"/>
      <c r="I451" s="30"/>
      <c r="J451" s="48">
        <v>11234.17</v>
      </c>
    </row>
    <row r="452" spans="1:10" s="49" customFormat="1" ht="30">
      <c r="A452" s="41" t="s">
        <v>331</v>
      </c>
      <c r="B452" s="42" t="s">
        <v>680</v>
      </c>
      <c r="C452" s="43" t="s">
        <v>681</v>
      </c>
      <c r="D452" s="44" t="s">
        <v>2</v>
      </c>
      <c r="E452" s="45">
        <v>1294.26</v>
      </c>
      <c r="F452" s="46">
        <f>TRUNC(G457,2)</f>
        <v>6.9</v>
      </c>
      <c r="G452" s="47">
        <f>TRUNC(F452*1.2338,2)</f>
        <v>8.51</v>
      </c>
      <c r="H452" s="47">
        <f>TRUNC(F452*E452,2)</f>
        <v>8930.39</v>
      </c>
      <c r="I452" s="48">
        <f>TRUNC(E452*G452,2)</f>
        <v>11014.15</v>
      </c>
      <c r="J452" s="30"/>
    </row>
    <row r="453" spans="1:10" s="31" customFormat="1" ht="15">
      <c r="A453" s="27"/>
      <c r="B453" s="39" t="s">
        <v>660</v>
      </c>
      <c r="C453" s="85" t="s">
        <v>151</v>
      </c>
      <c r="D453" s="84" t="s">
        <v>10</v>
      </c>
      <c r="E453" s="40">
        <v>0.009</v>
      </c>
      <c r="F453" s="28">
        <f>TRUNC(7.37,2)</f>
        <v>7.37</v>
      </c>
      <c r="G453" s="29">
        <f>TRUNC(E453*F453,2)</f>
        <v>0.06</v>
      </c>
      <c r="H453" s="29"/>
      <c r="I453" s="30"/>
      <c r="J453" s="30"/>
    </row>
    <row r="454" spans="1:10" s="31" customFormat="1" ht="30">
      <c r="A454" s="27"/>
      <c r="B454" s="39" t="s">
        <v>682</v>
      </c>
      <c r="C454" s="85" t="s">
        <v>152</v>
      </c>
      <c r="D454" s="84" t="s">
        <v>2</v>
      </c>
      <c r="E454" s="40">
        <v>1.19</v>
      </c>
      <c r="F454" s="28">
        <f>TRUNC(3.97,2)</f>
        <v>3.97</v>
      </c>
      <c r="G454" s="29">
        <f>TRUNC(E454*F454,2)</f>
        <v>4.72</v>
      </c>
      <c r="H454" s="29"/>
      <c r="I454" s="30"/>
      <c r="J454" s="30"/>
    </row>
    <row r="455" spans="1:10" s="31" customFormat="1" ht="15">
      <c r="A455" s="27"/>
      <c r="B455" s="39" t="s">
        <v>652</v>
      </c>
      <c r="C455" s="85" t="s">
        <v>149</v>
      </c>
      <c r="D455" s="84" t="s">
        <v>4</v>
      </c>
      <c r="E455" s="40">
        <v>0.04</v>
      </c>
      <c r="F455" s="28">
        <f>TRUNC(30.08,2)</f>
        <v>30.08</v>
      </c>
      <c r="G455" s="29">
        <f>TRUNC(E455*F455,2)</f>
        <v>1.2</v>
      </c>
      <c r="H455" s="29"/>
      <c r="I455" s="30"/>
      <c r="J455" s="30"/>
    </row>
    <row r="456" spans="1:10" s="31" customFormat="1" ht="15">
      <c r="A456" s="27"/>
      <c r="B456" s="39" t="s">
        <v>653</v>
      </c>
      <c r="C456" s="85" t="s">
        <v>150</v>
      </c>
      <c r="D456" s="84" t="s">
        <v>4</v>
      </c>
      <c r="E456" s="40">
        <v>0.04</v>
      </c>
      <c r="F456" s="28">
        <f>TRUNC(23.24,2)</f>
        <v>23.24</v>
      </c>
      <c r="G456" s="29">
        <f>TRUNC(E456*F456,2)</f>
        <v>0.92</v>
      </c>
      <c r="H456" s="29"/>
      <c r="I456" s="30"/>
      <c r="J456" s="30"/>
    </row>
    <row r="457" spans="1:10" s="31" customFormat="1" ht="15">
      <c r="A457" s="27"/>
      <c r="B457" s="39"/>
      <c r="C457" s="85"/>
      <c r="D457" s="84"/>
      <c r="E457" s="40" t="s">
        <v>5</v>
      </c>
      <c r="F457" s="28"/>
      <c r="G457" s="29">
        <f>TRUNC(SUM(G453:G456),2)</f>
        <v>6.9</v>
      </c>
      <c r="H457" s="29"/>
      <c r="I457" s="30"/>
      <c r="J457" s="48">
        <v>3308.83</v>
      </c>
    </row>
    <row r="458" spans="1:10" s="49" customFormat="1" ht="30">
      <c r="A458" s="41" t="s">
        <v>294</v>
      </c>
      <c r="B458" s="42" t="s">
        <v>683</v>
      </c>
      <c r="C458" s="43" t="s">
        <v>332</v>
      </c>
      <c r="D458" s="44" t="s">
        <v>2</v>
      </c>
      <c r="E458" s="45">
        <v>230.26</v>
      </c>
      <c r="F458" s="46">
        <f>TRUNC(G462,2)</f>
        <v>11.98</v>
      </c>
      <c r="G458" s="47">
        <f>TRUNC(F458*1.2338,2)</f>
        <v>14.78</v>
      </c>
      <c r="H458" s="47">
        <f>TRUNC(F458*E458,2)</f>
        <v>2758.51</v>
      </c>
      <c r="I458" s="48">
        <f>TRUNC(E458*G458,2)</f>
        <v>3403.24</v>
      </c>
      <c r="J458" s="30"/>
    </row>
    <row r="459" spans="1:10" s="31" customFormat="1" ht="15">
      <c r="A459" s="27"/>
      <c r="B459" s="39" t="s">
        <v>684</v>
      </c>
      <c r="C459" s="85" t="s">
        <v>333</v>
      </c>
      <c r="D459" s="84" t="s">
        <v>2</v>
      </c>
      <c r="E459" s="40">
        <v>1.017</v>
      </c>
      <c r="F459" s="28">
        <f>TRUNC(3.19,2)</f>
        <v>3.19</v>
      </c>
      <c r="G459" s="29">
        <f>TRUNC(E459*F459,2)</f>
        <v>3.24</v>
      </c>
      <c r="H459" s="29"/>
      <c r="I459" s="30"/>
      <c r="J459" s="30"/>
    </row>
    <row r="460" spans="1:10" s="31" customFormat="1" ht="15">
      <c r="A460" s="27"/>
      <c r="B460" s="39" t="s">
        <v>652</v>
      </c>
      <c r="C460" s="85" t="s">
        <v>149</v>
      </c>
      <c r="D460" s="84" t="s">
        <v>4</v>
      </c>
      <c r="E460" s="40">
        <v>0.164</v>
      </c>
      <c r="F460" s="28">
        <f>TRUNC(30.08,2)</f>
        <v>30.08</v>
      </c>
      <c r="G460" s="29">
        <f>TRUNC(E460*F460,2)</f>
        <v>4.93</v>
      </c>
      <c r="H460" s="29"/>
      <c r="I460" s="30"/>
      <c r="J460" s="30"/>
    </row>
    <row r="461" spans="1:10" s="31" customFormat="1" ht="15">
      <c r="A461" s="27"/>
      <c r="B461" s="39" t="s">
        <v>653</v>
      </c>
      <c r="C461" s="85" t="s">
        <v>150</v>
      </c>
      <c r="D461" s="84" t="s">
        <v>4</v>
      </c>
      <c r="E461" s="40">
        <v>0.164</v>
      </c>
      <c r="F461" s="28">
        <f>TRUNC(23.24,2)</f>
        <v>23.24</v>
      </c>
      <c r="G461" s="29">
        <f>TRUNC(E461*F461,2)</f>
        <v>3.81</v>
      </c>
      <c r="H461" s="29"/>
      <c r="I461" s="30"/>
      <c r="J461" s="30"/>
    </row>
    <row r="462" spans="1:10" s="31" customFormat="1" ht="15">
      <c r="A462" s="27"/>
      <c r="B462" s="39"/>
      <c r="C462" s="85"/>
      <c r="D462" s="84"/>
      <c r="E462" s="40" t="s">
        <v>5</v>
      </c>
      <c r="F462" s="28"/>
      <c r="G462" s="29">
        <f>TRUNC(SUM(G459:G461),2)</f>
        <v>11.98</v>
      </c>
      <c r="H462" s="29"/>
      <c r="I462" s="30"/>
      <c r="J462" s="48">
        <v>858.67</v>
      </c>
    </row>
    <row r="463" spans="1:10" s="49" customFormat="1" ht="45">
      <c r="A463" s="41" t="s">
        <v>493</v>
      </c>
      <c r="B463" s="42" t="s">
        <v>571</v>
      </c>
      <c r="C463" s="43" t="s">
        <v>141</v>
      </c>
      <c r="D463" s="44" t="s">
        <v>1</v>
      </c>
      <c r="E463" s="45">
        <v>13.18</v>
      </c>
      <c r="F463" s="46">
        <f>TRUNC(G465,2)</f>
        <v>57.95</v>
      </c>
      <c r="G463" s="47">
        <f>TRUNC(F463*1.2338,2)</f>
        <v>71.49</v>
      </c>
      <c r="H463" s="47">
        <f>TRUNC(F463*E463,2)</f>
        <v>763.78</v>
      </c>
      <c r="I463" s="48">
        <f>TRUNC(E463*G463,2)</f>
        <v>942.23</v>
      </c>
      <c r="J463" s="30"/>
    </row>
    <row r="464" spans="1:10" s="31" customFormat="1" ht="30">
      <c r="A464" s="27"/>
      <c r="B464" s="39" t="s">
        <v>32</v>
      </c>
      <c r="C464" s="85" t="s">
        <v>33</v>
      </c>
      <c r="D464" s="84" t="s">
        <v>4</v>
      </c>
      <c r="E464" s="40">
        <v>3.502</v>
      </c>
      <c r="F464" s="28">
        <f>TRUNC(16.55,2)</f>
        <v>16.55</v>
      </c>
      <c r="G464" s="29">
        <f>TRUNC(E464*F464,2)</f>
        <v>57.95</v>
      </c>
      <c r="H464" s="29"/>
      <c r="I464" s="30"/>
      <c r="J464" s="30"/>
    </row>
    <row r="465" spans="1:10" s="31" customFormat="1" ht="15">
      <c r="A465" s="27"/>
      <c r="B465" s="39"/>
      <c r="C465" s="85"/>
      <c r="D465" s="84"/>
      <c r="E465" s="40" t="s">
        <v>5</v>
      </c>
      <c r="F465" s="28"/>
      <c r="G465" s="29">
        <f>TRUNC(SUM(G464:G464),2)</f>
        <v>57.95</v>
      </c>
      <c r="H465" s="29"/>
      <c r="I465" s="30"/>
      <c r="J465" s="48">
        <v>337.93</v>
      </c>
    </row>
    <row r="466" spans="1:10" s="49" customFormat="1" ht="45">
      <c r="A466" s="41" t="s">
        <v>295</v>
      </c>
      <c r="B466" s="42" t="s">
        <v>572</v>
      </c>
      <c r="C466" s="43" t="s">
        <v>176</v>
      </c>
      <c r="D466" s="44" t="s">
        <v>1</v>
      </c>
      <c r="E466" s="45">
        <v>13.18</v>
      </c>
      <c r="F466" s="46">
        <f>TRUNC(G471,2)</f>
        <v>22.66</v>
      </c>
      <c r="G466" s="47">
        <f>TRUNC(F466*1.2338,2)</f>
        <v>27.95</v>
      </c>
      <c r="H466" s="47">
        <f>TRUNC(F466*E466,2)</f>
        <v>298.65</v>
      </c>
      <c r="I466" s="48">
        <f>TRUNC(E466*G466,2)</f>
        <v>368.38</v>
      </c>
      <c r="J466" s="30"/>
    </row>
    <row r="467" spans="1:10" s="31" customFormat="1" ht="30">
      <c r="A467" s="27"/>
      <c r="B467" s="39" t="s">
        <v>32</v>
      </c>
      <c r="C467" s="85" t="s">
        <v>33</v>
      </c>
      <c r="D467" s="84" t="s">
        <v>4</v>
      </c>
      <c r="E467" s="40">
        <v>1.09901</v>
      </c>
      <c r="F467" s="28">
        <f>TRUNC(16.55,2)</f>
        <v>16.55</v>
      </c>
      <c r="G467" s="29">
        <f>TRUNC(E467*F467,2)</f>
        <v>18.18</v>
      </c>
      <c r="H467" s="29"/>
      <c r="I467" s="30"/>
      <c r="J467" s="30"/>
    </row>
    <row r="468" spans="1:10" s="31" customFormat="1" ht="30">
      <c r="A468" s="27"/>
      <c r="B468" s="39" t="s">
        <v>573</v>
      </c>
      <c r="C468" s="85" t="s">
        <v>574</v>
      </c>
      <c r="D468" s="84" t="s">
        <v>4</v>
      </c>
      <c r="E468" s="40">
        <v>0.13699</v>
      </c>
      <c r="F468" s="28">
        <f>TRUNC(25.68,2)</f>
        <v>25.68</v>
      </c>
      <c r="G468" s="29">
        <f>TRUNC(E468*F468,2)</f>
        <v>3.51</v>
      </c>
      <c r="H468" s="29"/>
      <c r="I468" s="30"/>
      <c r="J468" s="30"/>
    </row>
    <row r="469" spans="1:10" s="31" customFormat="1" ht="15">
      <c r="A469" s="27"/>
      <c r="B469" s="39" t="s">
        <v>575</v>
      </c>
      <c r="C469" s="85" t="s">
        <v>576</v>
      </c>
      <c r="D469" s="84" t="s">
        <v>4</v>
      </c>
      <c r="E469" s="40">
        <v>0.033</v>
      </c>
      <c r="F469" s="28">
        <f>TRUNC(2.083,2)</f>
        <v>2.08</v>
      </c>
      <c r="G469" s="29">
        <f>TRUNC(E469*F469,2)</f>
        <v>0.06</v>
      </c>
      <c r="H469" s="29"/>
      <c r="I469" s="30"/>
      <c r="J469" s="30"/>
    </row>
    <row r="470" spans="1:10" s="31" customFormat="1" ht="15">
      <c r="A470" s="27"/>
      <c r="B470" s="39" t="s">
        <v>577</v>
      </c>
      <c r="C470" s="85" t="s">
        <v>578</v>
      </c>
      <c r="D470" s="84" t="s">
        <v>4</v>
      </c>
      <c r="E470" s="40">
        <v>0.1</v>
      </c>
      <c r="F470" s="28">
        <f>TRUNC(9.1513,2)</f>
        <v>9.15</v>
      </c>
      <c r="G470" s="29">
        <f>TRUNC(E470*F470,2)</f>
        <v>0.91</v>
      </c>
      <c r="H470" s="29"/>
      <c r="I470" s="30"/>
      <c r="J470" s="30"/>
    </row>
    <row r="471" spans="1:10" s="31" customFormat="1" ht="15">
      <c r="A471" s="27"/>
      <c r="B471" s="39"/>
      <c r="C471" s="85"/>
      <c r="D471" s="84"/>
      <c r="E471" s="40" t="s">
        <v>5</v>
      </c>
      <c r="F471" s="28"/>
      <c r="G471" s="29">
        <f>TRUNC(SUM(G467:G470),2)</f>
        <v>22.66</v>
      </c>
      <c r="H471" s="29"/>
      <c r="I471" s="30"/>
      <c r="J471" s="48">
        <v>281.8</v>
      </c>
    </row>
    <row r="472" spans="1:10" s="49" customFormat="1" ht="30">
      <c r="A472" s="41" t="s">
        <v>296</v>
      </c>
      <c r="B472" s="42" t="s">
        <v>685</v>
      </c>
      <c r="C472" s="43" t="s">
        <v>334</v>
      </c>
      <c r="D472" s="44" t="s">
        <v>10</v>
      </c>
      <c r="E472" s="45">
        <v>4</v>
      </c>
      <c r="F472" s="46">
        <f>TRUNC(G477,2)</f>
        <v>54.82</v>
      </c>
      <c r="G472" s="47">
        <f>TRUNC(F472*1.2338,2)</f>
        <v>67.63</v>
      </c>
      <c r="H472" s="47">
        <f>TRUNC(F472*E472,2)</f>
        <v>219.28</v>
      </c>
      <c r="I472" s="48">
        <f>TRUNC(E472*G472,2)</f>
        <v>270.52</v>
      </c>
      <c r="J472" s="30"/>
    </row>
    <row r="473" spans="1:10" s="31" customFormat="1" ht="15">
      <c r="A473" s="27"/>
      <c r="B473" s="39" t="s">
        <v>686</v>
      </c>
      <c r="C473" s="85" t="s">
        <v>335</v>
      </c>
      <c r="D473" s="84" t="s">
        <v>10</v>
      </c>
      <c r="E473" s="40">
        <v>1</v>
      </c>
      <c r="F473" s="28">
        <f>TRUNC(48.37,2)</f>
        <v>48.37</v>
      </c>
      <c r="G473" s="29">
        <f>TRUNC(E473*F473,2)</f>
        <v>48.37</v>
      </c>
      <c r="H473" s="29"/>
      <c r="I473" s="30"/>
      <c r="J473" s="30"/>
    </row>
    <row r="474" spans="1:10" s="31" customFormat="1" ht="30">
      <c r="A474" s="27"/>
      <c r="B474" s="39" t="s">
        <v>687</v>
      </c>
      <c r="C474" s="85" t="s">
        <v>336</v>
      </c>
      <c r="D474" s="84" t="s">
        <v>10</v>
      </c>
      <c r="E474" s="40">
        <v>2</v>
      </c>
      <c r="F474" s="28">
        <f>TRUNC(0.69,2)</f>
        <v>0.69</v>
      </c>
      <c r="G474" s="29">
        <f>TRUNC(E474*F474,2)</f>
        <v>1.38</v>
      </c>
      <c r="H474" s="29"/>
      <c r="I474" s="30"/>
      <c r="J474" s="30"/>
    </row>
    <row r="475" spans="1:10" s="31" customFormat="1" ht="15">
      <c r="A475" s="27"/>
      <c r="B475" s="39" t="s">
        <v>652</v>
      </c>
      <c r="C475" s="85" t="s">
        <v>149</v>
      </c>
      <c r="D475" s="84" t="s">
        <v>4</v>
      </c>
      <c r="E475" s="40">
        <v>0.0952</v>
      </c>
      <c r="F475" s="28">
        <f>TRUNC(30.08,2)</f>
        <v>30.08</v>
      </c>
      <c r="G475" s="29">
        <f>TRUNC(E475*F475,2)</f>
        <v>2.86</v>
      </c>
      <c r="H475" s="29"/>
      <c r="I475" s="30"/>
      <c r="J475" s="30"/>
    </row>
    <row r="476" spans="1:10" s="31" customFormat="1" ht="15">
      <c r="A476" s="27"/>
      <c r="B476" s="39" t="s">
        <v>653</v>
      </c>
      <c r="C476" s="85" t="s">
        <v>150</v>
      </c>
      <c r="D476" s="84" t="s">
        <v>4</v>
      </c>
      <c r="E476" s="40">
        <v>0.0952</v>
      </c>
      <c r="F476" s="28">
        <f>TRUNC(23.24,2)</f>
        <v>23.24</v>
      </c>
      <c r="G476" s="29">
        <f>TRUNC(E476*F476,2)</f>
        <v>2.21</v>
      </c>
      <c r="H476" s="29"/>
      <c r="I476" s="30"/>
      <c r="J476" s="30"/>
    </row>
    <row r="477" spans="1:10" s="31" customFormat="1" ht="15">
      <c r="A477" s="27"/>
      <c r="B477" s="39"/>
      <c r="C477" s="85"/>
      <c r="D477" s="84"/>
      <c r="E477" s="40" t="s">
        <v>5</v>
      </c>
      <c r="F477" s="28"/>
      <c r="G477" s="29">
        <f>TRUNC(SUM(G473:G476),2)</f>
        <v>54.82</v>
      </c>
      <c r="H477" s="29"/>
      <c r="I477" s="30"/>
      <c r="J477" s="48">
        <v>117.5</v>
      </c>
    </row>
    <row r="478" spans="1:10" s="49" customFormat="1" ht="30">
      <c r="A478" s="41" t="s">
        <v>297</v>
      </c>
      <c r="B478" s="42" t="s">
        <v>688</v>
      </c>
      <c r="C478" s="43" t="s">
        <v>337</v>
      </c>
      <c r="D478" s="44" t="s">
        <v>10</v>
      </c>
      <c r="E478" s="45">
        <v>1</v>
      </c>
      <c r="F478" s="46">
        <f>TRUNC(G483,2)</f>
        <v>93.64</v>
      </c>
      <c r="G478" s="47">
        <f>TRUNC(F478*1.2338,2)</f>
        <v>115.53</v>
      </c>
      <c r="H478" s="47">
        <f>TRUNC(F478*E478,2)</f>
        <v>93.64</v>
      </c>
      <c r="I478" s="48">
        <f>TRUNC(E478*G478,2)</f>
        <v>115.53</v>
      </c>
      <c r="J478" s="30"/>
    </row>
    <row r="479" spans="1:10" s="31" customFormat="1" ht="15">
      <c r="A479" s="27"/>
      <c r="B479" s="39" t="s">
        <v>689</v>
      </c>
      <c r="C479" s="85" t="s">
        <v>338</v>
      </c>
      <c r="D479" s="84" t="s">
        <v>10</v>
      </c>
      <c r="E479" s="40">
        <v>1</v>
      </c>
      <c r="F479" s="28">
        <f>TRUNC(59.27,2)</f>
        <v>59.27</v>
      </c>
      <c r="G479" s="29">
        <f>TRUNC(E479*F479,2)</f>
        <v>59.27</v>
      </c>
      <c r="H479" s="29"/>
      <c r="I479" s="30"/>
      <c r="J479" s="30"/>
    </row>
    <row r="480" spans="1:10" s="31" customFormat="1" ht="30">
      <c r="A480" s="27"/>
      <c r="B480" s="39" t="s">
        <v>690</v>
      </c>
      <c r="C480" s="85" t="s">
        <v>339</v>
      </c>
      <c r="D480" s="84" t="s">
        <v>10</v>
      </c>
      <c r="E480" s="40">
        <v>3</v>
      </c>
      <c r="F480" s="28">
        <f>TRUNC(1.37,2)</f>
        <v>1.37</v>
      </c>
      <c r="G480" s="29">
        <f>TRUNC(E480*F480,2)</f>
        <v>4.11</v>
      </c>
      <c r="H480" s="29"/>
      <c r="I480" s="30"/>
      <c r="J480" s="30"/>
    </row>
    <row r="481" spans="1:10" s="31" customFormat="1" ht="15">
      <c r="A481" s="27"/>
      <c r="B481" s="39" t="s">
        <v>652</v>
      </c>
      <c r="C481" s="85" t="s">
        <v>149</v>
      </c>
      <c r="D481" s="84" t="s">
        <v>4</v>
      </c>
      <c r="E481" s="40">
        <v>0.5677</v>
      </c>
      <c r="F481" s="28">
        <f>TRUNC(30.08,2)</f>
        <v>30.08</v>
      </c>
      <c r="G481" s="29">
        <f>TRUNC(E481*F481,2)</f>
        <v>17.07</v>
      </c>
      <c r="H481" s="29"/>
      <c r="I481" s="30"/>
      <c r="J481" s="30"/>
    </row>
    <row r="482" spans="1:10" s="31" customFormat="1" ht="15">
      <c r="A482" s="27"/>
      <c r="B482" s="39" t="s">
        <v>653</v>
      </c>
      <c r="C482" s="85" t="s">
        <v>150</v>
      </c>
      <c r="D482" s="84" t="s">
        <v>4</v>
      </c>
      <c r="E482" s="40">
        <v>0.5677</v>
      </c>
      <c r="F482" s="28">
        <f>TRUNC(23.24,2)</f>
        <v>23.24</v>
      </c>
      <c r="G482" s="29">
        <f>TRUNC(E482*F482,2)</f>
        <v>13.19</v>
      </c>
      <c r="H482" s="29"/>
      <c r="I482" s="30"/>
      <c r="J482" s="30"/>
    </row>
    <row r="483" spans="1:10" s="31" customFormat="1" ht="15">
      <c r="A483" s="27"/>
      <c r="B483" s="39"/>
      <c r="C483" s="85"/>
      <c r="D483" s="84"/>
      <c r="E483" s="40" t="s">
        <v>5</v>
      </c>
      <c r="F483" s="28"/>
      <c r="G483" s="29">
        <f>TRUNC(SUM(G479:G482),2)</f>
        <v>93.64</v>
      </c>
      <c r="H483" s="29"/>
      <c r="I483" s="30"/>
      <c r="J483" s="48">
        <v>539.59</v>
      </c>
    </row>
    <row r="484" spans="1:10" s="49" customFormat="1" ht="45">
      <c r="A484" s="41" t="s">
        <v>298</v>
      </c>
      <c r="B484" s="42" t="s">
        <v>691</v>
      </c>
      <c r="C484" s="43" t="s">
        <v>340</v>
      </c>
      <c r="D484" s="44" t="s">
        <v>10</v>
      </c>
      <c r="E484" s="45">
        <v>1</v>
      </c>
      <c r="F484" s="46">
        <f>TRUNC(G488,2)</f>
        <v>424.12</v>
      </c>
      <c r="G484" s="47">
        <f>TRUNC(F484*1.2338,2)</f>
        <v>523.27</v>
      </c>
      <c r="H484" s="47">
        <f>TRUNC(F484*E484,2)</f>
        <v>424.12</v>
      </c>
      <c r="I484" s="48">
        <f>TRUNC(E484*G484,2)</f>
        <v>523.27</v>
      </c>
      <c r="J484" s="30"/>
    </row>
    <row r="485" spans="1:10" s="31" customFormat="1" ht="30">
      <c r="A485" s="27"/>
      <c r="B485" s="39" t="s">
        <v>692</v>
      </c>
      <c r="C485" s="85" t="s">
        <v>341</v>
      </c>
      <c r="D485" s="84" t="s">
        <v>10</v>
      </c>
      <c r="E485" s="40">
        <v>1</v>
      </c>
      <c r="F485" s="28">
        <f>TRUNC(342.9,2)</f>
        <v>342.9</v>
      </c>
      <c r="G485" s="29">
        <f>TRUNC(E485*F485,2)</f>
        <v>342.9</v>
      </c>
      <c r="H485" s="29"/>
      <c r="I485" s="30"/>
      <c r="J485" s="30"/>
    </row>
    <row r="486" spans="1:10" s="31" customFormat="1" ht="15">
      <c r="A486" s="27"/>
      <c r="B486" s="39" t="s">
        <v>652</v>
      </c>
      <c r="C486" s="85" t="s">
        <v>149</v>
      </c>
      <c r="D486" s="84" t="s">
        <v>4</v>
      </c>
      <c r="E486" s="40">
        <v>1.5233</v>
      </c>
      <c r="F486" s="28">
        <f>TRUNC(30.08,2)</f>
        <v>30.08</v>
      </c>
      <c r="G486" s="29">
        <f>TRUNC(E486*F486,2)</f>
        <v>45.82</v>
      </c>
      <c r="H486" s="29"/>
      <c r="I486" s="30"/>
      <c r="J486" s="30"/>
    </row>
    <row r="487" spans="1:10" s="31" customFormat="1" ht="15">
      <c r="A487" s="27"/>
      <c r="B487" s="39" t="s">
        <v>653</v>
      </c>
      <c r="C487" s="85" t="s">
        <v>150</v>
      </c>
      <c r="D487" s="84" t="s">
        <v>4</v>
      </c>
      <c r="E487" s="40">
        <v>1.5233</v>
      </c>
      <c r="F487" s="28">
        <f>TRUNC(23.24,2)</f>
        <v>23.24</v>
      </c>
      <c r="G487" s="29">
        <f>TRUNC(E487*F487,2)</f>
        <v>35.4</v>
      </c>
      <c r="H487" s="29"/>
      <c r="I487" s="30"/>
      <c r="J487" s="30"/>
    </row>
    <row r="488" spans="1:10" s="31" customFormat="1" ht="15">
      <c r="A488" s="27"/>
      <c r="B488" s="39"/>
      <c r="C488" s="85"/>
      <c r="D488" s="84"/>
      <c r="E488" s="40" t="s">
        <v>5</v>
      </c>
      <c r="F488" s="28"/>
      <c r="G488" s="29">
        <f>TRUNC(SUM(G485:G487),2)</f>
        <v>424.12</v>
      </c>
      <c r="H488" s="29"/>
      <c r="I488" s="30"/>
      <c r="J488" s="48">
        <v>1357.14</v>
      </c>
    </row>
    <row r="489" spans="1:10" s="49" customFormat="1" ht="75">
      <c r="A489" s="41" t="s">
        <v>299</v>
      </c>
      <c r="B489" s="42" t="s">
        <v>693</v>
      </c>
      <c r="C489" s="43" t="s">
        <v>342</v>
      </c>
      <c r="D489" s="44" t="s">
        <v>10</v>
      </c>
      <c r="E489" s="45">
        <v>1</v>
      </c>
      <c r="F489" s="46">
        <f>TRUNC(G507,2)</f>
        <v>1147.34</v>
      </c>
      <c r="G489" s="47">
        <f>TRUNC(F489*1.2338,2)</f>
        <v>1415.58</v>
      </c>
      <c r="H489" s="47">
        <f>TRUNC(F489*E489,2)</f>
        <v>1147.34</v>
      </c>
      <c r="I489" s="48">
        <f>TRUNC(E489*G489,2)</f>
        <v>1415.58</v>
      </c>
      <c r="J489" s="30"/>
    </row>
    <row r="490" spans="1:10" s="31" customFormat="1" ht="15">
      <c r="A490" s="27"/>
      <c r="B490" s="39" t="s">
        <v>351</v>
      </c>
      <c r="C490" s="85" t="s">
        <v>352</v>
      </c>
      <c r="D490" s="84" t="s">
        <v>10</v>
      </c>
      <c r="E490" s="40">
        <v>2</v>
      </c>
      <c r="F490" s="28">
        <f>TRUNC(2.02,2)</f>
        <v>2.02</v>
      </c>
      <c r="G490" s="29">
        <f aca="true" t="shared" si="17" ref="G490:G506">TRUNC(E490*F490,2)</f>
        <v>4.04</v>
      </c>
      <c r="H490" s="29"/>
      <c r="I490" s="30"/>
      <c r="J490" s="30"/>
    </row>
    <row r="491" spans="1:10" s="31" customFormat="1" ht="15">
      <c r="A491" s="27"/>
      <c r="B491" s="39" t="s">
        <v>345</v>
      </c>
      <c r="C491" s="85" t="s">
        <v>346</v>
      </c>
      <c r="D491" s="84" t="s">
        <v>10</v>
      </c>
      <c r="E491" s="40">
        <v>1</v>
      </c>
      <c r="F491" s="28">
        <f>TRUNC(4.78,2)</f>
        <v>4.78</v>
      </c>
      <c r="G491" s="29">
        <f t="shared" si="17"/>
        <v>4.78</v>
      </c>
      <c r="H491" s="29"/>
      <c r="I491" s="30"/>
      <c r="J491" s="30"/>
    </row>
    <row r="492" spans="1:10" s="31" customFormat="1" ht="30">
      <c r="A492" s="27"/>
      <c r="B492" s="39" t="s">
        <v>347</v>
      </c>
      <c r="C492" s="85" t="s">
        <v>348</v>
      </c>
      <c r="D492" s="84" t="s">
        <v>3</v>
      </c>
      <c r="E492" s="40">
        <v>0.15</v>
      </c>
      <c r="F492" s="28">
        <f>TRUNC(78.0191,2)</f>
        <v>78.01</v>
      </c>
      <c r="G492" s="29">
        <f t="shared" si="17"/>
        <v>11.7</v>
      </c>
      <c r="H492" s="29"/>
      <c r="I492" s="30"/>
      <c r="J492" s="53"/>
    </row>
    <row r="493" spans="1:10" s="31" customFormat="1" ht="15">
      <c r="A493" s="27"/>
      <c r="B493" s="39" t="s">
        <v>355</v>
      </c>
      <c r="C493" s="85" t="s">
        <v>356</v>
      </c>
      <c r="D493" s="84" t="s">
        <v>10</v>
      </c>
      <c r="E493" s="40">
        <v>2</v>
      </c>
      <c r="F493" s="28">
        <f>TRUNC(0.74,2)</f>
        <v>0.74</v>
      </c>
      <c r="G493" s="29">
        <f t="shared" si="17"/>
        <v>1.48</v>
      </c>
      <c r="H493" s="29"/>
      <c r="I493" s="30"/>
      <c r="J493" s="30"/>
    </row>
    <row r="494" spans="1:10" s="31" customFormat="1" ht="15">
      <c r="A494" s="27"/>
      <c r="B494" s="39" t="s">
        <v>349</v>
      </c>
      <c r="C494" s="85" t="s">
        <v>350</v>
      </c>
      <c r="D494" s="84" t="s">
        <v>10</v>
      </c>
      <c r="E494" s="40">
        <v>2</v>
      </c>
      <c r="F494" s="28">
        <f>TRUNC(0.77,2)</f>
        <v>0.77</v>
      </c>
      <c r="G494" s="29">
        <f t="shared" si="17"/>
        <v>1.54</v>
      </c>
      <c r="H494" s="29"/>
      <c r="I494" s="30"/>
      <c r="J494" s="30"/>
    </row>
    <row r="495" spans="1:10" s="31" customFormat="1" ht="30">
      <c r="A495" s="27"/>
      <c r="B495" s="39" t="s">
        <v>363</v>
      </c>
      <c r="C495" s="85" t="s">
        <v>364</v>
      </c>
      <c r="D495" s="84" t="s">
        <v>10</v>
      </c>
      <c r="E495" s="40">
        <v>1</v>
      </c>
      <c r="F495" s="28">
        <f>TRUNC(27.84,2)</f>
        <v>27.84</v>
      </c>
      <c r="G495" s="29">
        <f t="shared" si="17"/>
        <v>27.84</v>
      </c>
      <c r="H495" s="29"/>
      <c r="I495" s="30"/>
      <c r="J495" s="30"/>
    </row>
    <row r="496" spans="1:10" s="31" customFormat="1" ht="30">
      <c r="A496" s="27"/>
      <c r="B496" s="39" t="s">
        <v>353</v>
      </c>
      <c r="C496" s="85" t="s">
        <v>354</v>
      </c>
      <c r="D496" s="84" t="s">
        <v>10</v>
      </c>
      <c r="E496" s="40">
        <v>1</v>
      </c>
      <c r="F496" s="28">
        <f>TRUNC(19.57,2)</f>
        <v>19.57</v>
      </c>
      <c r="G496" s="29">
        <f t="shared" si="17"/>
        <v>19.57</v>
      </c>
      <c r="H496" s="29"/>
      <c r="I496" s="30"/>
      <c r="J496" s="30"/>
    </row>
    <row r="497" spans="1:10" s="31" customFormat="1" ht="15">
      <c r="A497" s="27"/>
      <c r="B497" s="39" t="s">
        <v>365</v>
      </c>
      <c r="C497" s="85" t="s">
        <v>366</v>
      </c>
      <c r="D497" s="84" t="s">
        <v>10</v>
      </c>
      <c r="E497" s="40">
        <v>1</v>
      </c>
      <c r="F497" s="28">
        <f>TRUNC(49.14,2)</f>
        <v>49.14</v>
      </c>
      <c r="G497" s="29">
        <f t="shared" si="17"/>
        <v>49.14</v>
      </c>
      <c r="H497" s="29"/>
      <c r="I497" s="30"/>
      <c r="J497" s="30"/>
    </row>
    <row r="498" spans="1:10" s="31" customFormat="1" ht="15">
      <c r="A498" s="27"/>
      <c r="B498" s="39" t="s">
        <v>357</v>
      </c>
      <c r="C498" s="85" t="s">
        <v>358</v>
      </c>
      <c r="D498" s="84" t="s">
        <v>10</v>
      </c>
      <c r="E498" s="40">
        <v>3</v>
      </c>
      <c r="F498" s="28">
        <f>TRUNC(4.53,2)</f>
        <v>4.53</v>
      </c>
      <c r="G498" s="29">
        <f t="shared" si="17"/>
        <v>13.59</v>
      </c>
      <c r="H498" s="29"/>
      <c r="I498" s="30"/>
      <c r="J498" s="30"/>
    </row>
    <row r="499" spans="1:10" s="31" customFormat="1" ht="15">
      <c r="A499" s="27"/>
      <c r="B499" s="39" t="s">
        <v>343</v>
      </c>
      <c r="C499" s="85" t="s">
        <v>344</v>
      </c>
      <c r="D499" s="84" t="s">
        <v>10</v>
      </c>
      <c r="E499" s="40">
        <v>1</v>
      </c>
      <c r="F499" s="28">
        <f>TRUNC(34.15,2)</f>
        <v>34.15</v>
      </c>
      <c r="G499" s="29">
        <f t="shared" si="17"/>
        <v>34.15</v>
      </c>
      <c r="H499" s="29"/>
      <c r="I499" s="30"/>
      <c r="J499" s="30"/>
    </row>
    <row r="500" spans="1:10" s="31" customFormat="1" ht="30">
      <c r="A500" s="27"/>
      <c r="B500" s="39" t="s">
        <v>359</v>
      </c>
      <c r="C500" s="85" t="s">
        <v>360</v>
      </c>
      <c r="D500" s="84" t="s">
        <v>10</v>
      </c>
      <c r="E500" s="40">
        <v>1</v>
      </c>
      <c r="F500" s="28">
        <f>TRUNC(4.64,2)</f>
        <v>4.64</v>
      </c>
      <c r="G500" s="29">
        <f t="shared" si="17"/>
        <v>4.64</v>
      </c>
      <c r="H500" s="29"/>
      <c r="I500" s="30"/>
      <c r="J500" s="30"/>
    </row>
    <row r="501" spans="1:10" s="31" customFormat="1" ht="30">
      <c r="A501" s="27"/>
      <c r="B501" s="39" t="s">
        <v>361</v>
      </c>
      <c r="C501" s="85" t="s">
        <v>362</v>
      </c>
      <c r="D501" s="84" t="s">
        <v>10</v>
      </c>
      <c r="E501" s="40">
        <v>1</v>
      </c>
      <c r="F501" s="28">
        <f>TRUNC(80.85,2)</f>
        <v>80.85</v>
      </c>
      <c r="G501" s="29">
        <f t="shared" si="17"/>
        <v>80.85</v>
      </c>
      <c r="H501" s="29"/>
      <c r="I501" s="30"/>
      <c r="J501" s="30"/>
    </row>
    <row r="502" spans="1:10" s="31" customFormat="1" ht="28.5">
      <c r="A502" s="27"/>
      <c r="B502" s="54" t="s">
        <v>367</v>
      </c>
      <c r="C502" s="79" t="s">
        <v>368</v>
      </c>
      <c r="D502" s="75" t="s">
        <v>10</v>
      </c>
      <c r="E502" s="73">
        <v>2</v>
      </c>
      <c r="F502" s="72">
        <v>28</v>
      </c>
      <c r="G502" s="29">
        <f t="shared" si="17"/>
        <v>56</v>
      </c>
      <c r="H502" s="29"/>
      <c r="I502" s="30"/>
      <c r="J502" s="30"/>
    </row>
    <row r="503" spans="1:10" s="31" customFormat="1" ht="30">
      <c r="A503" s="27"/>
      <c r="B503" s="39" t="s">
        <v>32</v>
      </c>
      <c r="C503" s="85" t="s">
        <v>33</v>
      </c>
      <c r="D503" s="84" t="s">
        <v>4</v>
      </c>
      <c r="E503" s="40">
        <v>17.51</v>
      </c>
      <c r="F503" s="28">
        <f>TRUNC(16.55,2)</f>
        <v>16.55</v>
      </c>
      <c r="G503" s="29">
        <f t="shared" si="17"/>
        <v>289.79</v>
      </c>
      <c r="H503" s="29"/>
      <c r="I503" s="30"/>
      <c r="J503" s="30"/>
    </row>
    <row r="504" spans="1:10" s="31" customFormat="1" ht="30">
      <c r="A504" s="27"/>
      <c r="B504" s="39" t="s">
        <v>545</v>
      </c>
      <c r="C504" s="85" t="s">
        <v>546</v>
      </c>
      <c r="D504" s="84" t="s">
        <v>4</v>
      </c>
      <c r="E504" s="40">
        <v>17.51</v>
      </c>
      <c r="F504" s="28">
        <f>TRUNC(22.86,2)</f>
        <v>22.86</v>
      </c>
      <c r="G504" s="29">
        <f t="shared" si="17"/>
        <v>400.27</v>
      </c>
      <c r="H504" s="29"/>
      <c r="I504" s="30"/>
      <c r="J504" s="30"/>
    </row>
    <row r="505" spans="1:10" s="31" customFormat="1" ht="15">
      <c r="A505" s="27"/>
      <c r="B505" s="39" t="s">
        <v>694</v>
      </c>
      <c r="C505" s="85" t="s">
        <v>695</v>
      </c>
      <c r="D505" s="84" t="s">
        <v>0</v>
      </c>
      <c r="E505" s="40">
        <v>1.7</v>
      </c>
      <c r="F505" s="28">
        <f>TRUNC(58.9882,2)</f>
        <v>58.98</v>
      </c>
      <c r="G505" s="29">
        <f t="shared" si="17"/>
        <v>100.26</v>
      </c>
      <c r="H505" s="29"/>
      <c r="I505" s="30"/>
      <c r="J505" s="30"/>
    </row>
    <row r="506" spans="1:10" s="31" customFormat="1" ht="15">
      <c r="A506" s="27"/>
      <c r="B506" s="39" t="s">
        <v>563</v>
      </c>
      <c r="C506" s="85" t="s">
        <v>564</v>
      </c>
      <c r="D506" s="84" t="s">
        <v>1</v>
      </c>
      <c r="E506" s="40">
        <v>0.13</v>
      </c>
      <c r="F506" s="28">
        <f>TRUNC(366.9965,2)</f>
        <v>366.99</v>
      </c>
      <c r="G506" s="29">
        <f t="shared" si="17"/>
        <v>47.7</v>
      </c>
      <c r="H506" s="29"/>
      <c r="I506" s="30"/>
      <c r="J506" s="30"/>
    </row>
    <row r="507" spans="1:10" s="31" customFormat="1" ht="15">
      <c r="A507" s="27"/>
      <c r="B507" s="39"/>
      <c r="C507" s="85"/>
      <c r="D507" s="84"/>
      <c r="E507" s="40" t="s">
        <v>5</v>
      </c>
      <c r="F507" s="28"/>
      <c r="G507" s="29">
        <f>TRUNC(SUM(G490:G506),2)</f>
        <v>1147.34</v>
      </c>
      <c r="H507" s="29"/>
      <c r="I507" s="30"/>
      <c r="J507" s="48">
        <v>1023.08</v>
      </c>
    </row>
    <row r="508" spans="1:10" s="49" customFormat="1" ht="60">
      <c r="A508" s="41" t="s">
        <v>300</v>
      </c>
      <c r="B508" s="42" t="s">
        <v>696</v>
      </c>
      <c r="C508" s="43" t="s">
        <v>369</v>
      </c>
      <c r="D508" s="44" t="s">
        <v>10</v>
      </c>
      <c r="E508" s="45">
        <v>1</v>
      </c>
      <c r="F508" s="46">
        <f>TRUNC(G515,2)</f>
        <v>809.36</v>
      </c>
      <c r="G508" s="47">
        <f>TRUNC(F508*1.2338,2)</f>
        <v>998.58</v>
      </c>
      <c r="H508" s="47">
        <f>TRUNC(F508*E508,2)</f>
        <v>809.36</v>
      </c>
      <c r="I508" s="48">
        <f>TRUNC(E508*G508,2)</f>
        <v>998.58</v>
      </c>
      <c r="J508" s="30"/>
    </row>
    <row r="509" spans="1:10" s="31" customFormat="1" ht="30">
      <c r="A509" s="27"/>
      <c r="B509" s="39" t="s">
        <v>370</v>
      </c>
      <c r="C509" s="85" t="s">
        <v>371</v>
      </c>
      <c r="D509" s="84" t="s">
        <v>10</v>
      </c>
      <c r="E509" s="40">
        <v>1</v>
      </c>
      <c r="F509" s="28">
        <f>TRUNC(575.5,2)</f>
        <v>575.5</v>
      </c>
      <c r="G509" s="29">
        <f aca="true" t="shared" si="18" ref="G509:G514">TRUNC(E509*F509,2)</f>
        <v>575.5</v>
      </c>
      <c r="H509" s="29"/>
      <c r="I509" s="30"/>
      <c r="J509" s="30"/>
    </row>
    <row r="510" spans="1:10" s="31" customFormat="1" ht="30">
      <c r="A510" s="27"/>
      <c r="B510" s="39" t="s">
        <v>32</v>
      </c>
      <c r="C510" s="85" t="s">
        <v>33</v>
      </c>
      <c r="D510" s="84" t="s">
        <v>4</v>
      </c>
      <c r="E510" s="40">
        <v>5.665</v>
      </c>
      <c r="F510" s="28">
        <f>TRUNC(16.55,2)</f>
        <v>16.55</v>
      </c>
      <c r="G510" s="29">
        <f t="shared" si="18"/>
        <v>93.75</v>
      </c>
      <c r="H510" s="29"/>
      <c r="I510" s="30"/>
      <c r="J510" s="30"/>
    </row>
    <row r="511" spans="1:10" s="31" customFormat="1" ht="15">
      <c r="A511" s="27"/>
      <c r="B511" s="39" t="s">
        <v>697</v>
      </c>
      <c r="C511" s="85" t="s">
        <v>698</v>
      </c>
      <c r="D511" s="84" t="s">
        <v>4</v>
      </c>
      <c r="E511" s="40">
        <v>1</v>
      </c>
      <c r="F511" s="28">
        <f>TRUNC(47.4827,2)</f>
        <v>47.48</v>
      </c>
      <c r="G511" s="29">
        <f t="shared" si="18"/>
        <v>47.48</v>
      </c>
      <c r="H511" s="29"/>
      <c r="I511" s="30"/>
      <c r="J511" s="30"/>
    </row>
    <row r="512" spans="1:10" s="31" customFormat="1" ht="15">
      <c r="A512" s="27"/>
      <c r="B512" s="39" t="s">
        <v>699</v>
      </c>
      <c r="C512" s="85" t="s">
        <v>700</v>
      </c>
      <c r="D512" s="84" t="s">
        <v>1</v>
      </c>
      <c r="E512" s="40">
        <v>0.1</v>
      </c>
      <c r="F512" s="28">
        <f>TRUNC(74.6624,2)</f>
        <v>74.66</v>
      </c>
      <c r="G512" s="29">
        <f t="shared" si="18"/>
        <v>7.46</v>
      </c>
      <c r="H512" s="29"/>
      <c r="I512" s="30"/>
      <c r="J512" s="30"/>
    </row>
    <row r="513" spans="1:10" s="31" customFormat="1" ht="15">
      <c r="A513" s="27"/>
      <c r="B513" s="39" t="s">
        <v>603</v>
      </c>
      <c r="C513" s="85" t="s">
        <v>604</v>
      </c>
      <c r="D513" s="84" t="s">
        <v>1</v>
      </c>
      <c r="E513" s="40">
        <v>0.1</v>
      </c>
      <c r="F513" s="28">
        <f>TRUNC(277.3833,2)</f>
        <v>277.38</v>
      </c>
      <c r="G513" s="29">
        <f t="shared" si="18"/>
        <v>27.73</v>
      </c>
      <c r="H513" s="29"/>
      <c r="I513" s="30"/>
      <c r="J513" s="30"/>
    </row>
    <row r="514" spans="1:10" s="31" customFormat="1" ht="15">
      <c r="A514" s="27"/>
      <c r="B514" s="39" t="s">
        <v>701</v>
      </c>
      <c r="C514" s="85" t="s">
        <v>702</v>
      </c>
      <c r="D514" s="84" t="s">
        <v>4</v>
      </c>
      <c r="E514" s="40">
        <v>1</v>
      </c>
      <c r="F514" s="28">
        <f>TRUNC(57.443,2)</f>
        <v>57.44</v>
      </c>
      <c r="G514" s="29">
        <f t="shared" si="18"/>
        <v>57.44</v>
      </c>
      <c r="H514" s="29"/>
      <c r="I514" s="30"/>
      <c r="J514" s="30"/>
    </row>
    <row r="515" spans="1:10" s="31" customFormat="1" ht="15">
      <c r="A515" s="27"/>
      <c r="B515" s="39"/>
      <c r="C515" s="85"/>
      <c r="D515" s="84"/>
      <c r="E515" s="40" t="s">
        <v>5</v>
      </c>
      <c r="F515" s="28"/>
      <c r="G515" s="29">
        <f>TRUNC(SUM(G509:G514),2)</f>
        <v>809.36</v>
      </c>
      <c r="H515" s="29"/>
      <c r="I515" s="30"/>
      <c r="J515" s="48"/>
    </row>
    <row r="516" spans="1:10" s="49" customFormat="1" ht="15">
      <c r="A516" s="41" t="s">
        <v>301</v>
      </c>
      <c r="B516" s="42"/>
      <c r="C516" s="43" t="s">
        <v>386</v>
      </c>
      <c r="D516" s="44"/>
      <c r="E516" s="45"/>
      <c r="F516" s="46"/>
      <c r="G516" s="47"/>
      <c r="H516" s="47"/>
      <c r="I516" s="48"/>
      <c r="J516" s="48">
        <v>5.86</v>
      </c>
    </row>
    <row r="517" spans="1:10" s="49" customFormat="1" ht="45">
      <c r="A517" s="41" t="s">
        <v>491</v>
      </c>
      <c r="B517" s="42" t="s">
        <v>571</v>
      </c>
      <c r="C517" s="43" t="s">
        <v>141</v>
      </c>
      <c r="D517" s="44" t="s">
        <v>1</v>
      </c>
      <c r="E517" s="45">
        <v>0.09</v>
      </c>
      <c r="F517" s="46">
        <f>TRUNC(G519,2)</f>
        <v>57.95</v>
      </c>
      <c r="G517" s="47">
        <f>TRUNC(F517*1.2338,2)</f>
        <v>71.49</v>
      </c>
      <c r="H517" s="47">
        <f>TRUNC(F517*E517,2)</f>
        <v>5.21</v>
      </c>
      <c r="I517" s="48">
        <f>TRUNC(E517*G517,2)</f>
        <v>6.43</v>
      </c>
      <c r="J517" s="30"/>
    </row>
    <row r="518" spans="1:10" s="31" customFormat="1" ht="30">
      <c r="A518" s="27"/>
      <c r="B518" s="39" t="s">
        <v>32</v>
      </c>
      <c r="C518" s="85" t="s">
        <v>33</v>
      </c>
      <c r="D518" s="84" t="s">
        <v>4</v>
      </c>
      <c r="E518" s="40">
        <v>3.502</v>
      </c>
      <c r="F518" s="28">
        <f>TRUNC(16.55,2)</f>
        <v>16.55</v>
      </c>
      <c r="G518" s="29">
        <f>TRUNC(E518*F518,2)</f>
        <v>57.95</v>
      </c>
      <c r="H518" s="29"/>
      <c r="I518" s="30"/>
      <c r="J518" s="30"/>
    </row>
    <row r="519" spans="1:10" s="31" customFormat="1" ht="15">
      <c r="A519" s="27"/>
      <c r="B519" s="39"/>
      <c r="C519" s="85"/>
      <c r="D519" s="84"/>
      <c r="E519" s="40" t="s">
        <v>5</v>
      </c>
      <c r="F519" s="28"/>
      <c r="G519" s="29">
        <f>TRUNC(SUM(G518:G518),2)</f>
        <v>57.95</v>
      </c>
      <c r="H519" s="29"/>
      <c r="I519" s="30"/>
      <c r="J519" s="48">
        <v>415.58</v>
      </c>
    </row>
    <row r="520" spans="1:10" s="49" customFormat="1" ht="75">
      <c r="A520" s="41" t="s">
        <v>385</v>
      </c>
      <c r="B520" s="42" t="s">
        <v>703</v>
      </c>
      <c r="C520" s="43" t="s">
        <v>372</v>
      </c>
      <c r="D520" s="44" t="s">
        <v>1</v>
      </c>
      <c r="E520" s="45">
        <v>0.13</v>
      </c>
      <c r="F520" s="46">
        <f>TRUNC(G536,2)</f>
        <v>2614.25</v>
      </c>
      <c r="G520" s="47">
        <f>TRUNC(F520*1.2338,2)</f>
        <v>3225.46</v>
      </c>
      <c r="H520" s="47">
        <f>TRUNC(F520*E520,2)</f>
        <v>339.85</v>
      </c>
      <c r="I520" s="48">
        <f>TRUNC(E520*G520,2)</f>
        <v>419.3</v>
      </c>
      <c r="J520" s="30"/>
    </row>
    <row r="521" spans="1:10" s="31" customFormat="1" ht="15">
      <c r="A521" s="27"/>
      <c r="B521" s="39" t="s">
        <v>373</v>
      </c>
      <c r="C521" s="85" t="s">
        <v>374</v>
      </c>
      <c r="D521" s="84" t="s">
        <v>1</v>
      </c>
      <c r="E521" s="40">
        <v>1</v>
      </c>
      <c r="F521" s="28">
        <f>TRUNC(330,2)</f>
        <v>330</v>
      </c>
      <c r="G521" s="29">
        <f aca="true" t="shared" si="19" ref="G521:G535">TRUNC(E521*F521,2)</f>
        <v>330</v>
      </c>
      <c r="H521" s="29"/>
      <c r="I521" s="30"/>
      <c r="J521" s="30"/>
    </row>
    <row r="522" spans="1:10" s="31" customFormat="1" ht="15">
      <c r="A522" s="27"/>
      <c r="B522" s="39" t="s">
        <v>375</v>
      </c>
      <c r="C522" s="85" t="s">
        <v>376</v>
      </c>
      <c r="D522" s="84" t="s">
        <v>3</v>
      </c>
      <c r="E522" s="40">
        <v>12</v>
      </c>
      <c r="F522" s="28">
        <f>TRUNC(9.75,2)</f>
        <v>9.75</v>
      </c>
      <c r="G522" s="29">
        <f t="shared" si="19"/>
        <v>117</v>
      </c>
      <c r="H522" s="29"/>
      <c r="I522" s="30"/>
      <c r="J522" s="30"/>
    </row>
    <row r="523" spans="1:10" s="31" customFormat="1" ht="15">
      <c r="A523" s="27"/>
      <c r="B523" s="39" t="s">
        <v>377</v>
      </c>
      <c r="C523" s="85" t="s">
        <v>378</v>
      </c>
      <c r="D523" s="84" t="s">
        <v>3</v>
      </c>
      <c r="E523" s="40">
        <v>10</v>
      </c>
      <c r="F523" s="28">
        <f>TRUNC(9.8,2)</f>
        <v>9.8</v>
      </c>
      <c r="G523" s="29">
        <f t="shared" si="19"/>
        <v>98</v>
      </c>
      <c r="H523" s="29"/>
      <c r="I523" s="30"/>
      <c r="J523" s="30"/>
    </row>
    <row r="524" spans="1:10" s="31" customFormat="1" ht="15">
      <c r="A524" s="27"/>
      <c r="B524" s="39" t="s">
        <v>379</v>
      </c>
      <c r="C524" s="85" t="s">
        <v>380</v>
      </c>
      <c r="D524" s="84" t="s">
        <v>3</v>
      </c>
      <c r="E524" s="40">
        <v>10</v>
      </c>
      <c r="F524" s="28">
        <f>TRUNC(8.8,2)</f>
        <v>8.8</v>
      </c>
      <c r="G524" s="29">
        <f t="shared" si="19"/>
        <v>88</v>
      </c>
      <c r="H524" s="29"/>
      <c r="I524" s="30"/>
      <c r="J524" s="30"/>
    </row>
    <row r="525" spans="1:10" s="31" customFormat="1" ht="15">
      <c r="A525" s="27"/>
      <c r="B525" s="39" t="s">
        <v>381</v>
      </c>
      <c r="C525" s="85" t="s">
        <v>382</v>
      </c>
      <c r="D525" s="84" t="s">
        <v>3</v>
      </c>
      <c r="E525" s="40">
        <v>4</v>
      </c>
      <c r="F525" s="28">
        <f>TRUNC(8.6,2)</f>
        <v>8.6</v>
      </c>
      <c r="G525" s="29">
        <f t="shared" si="19"/>
        <v>34.4</v>
      </c>
      <c r="H525" s="29"/>
      <c r="I525" s="30"/>
      <c r="J525" s="30"/>
    </row>
    <row r="526" spans="1:10" s="31" customFormat="1" ht="15">
      <c r="A526" s="27"/>
      <c r="B526" s="39" t="s">
        <v>383</v>
      </c>
      <c r="C526" s="85" t="s">
        <v>384</v>
      </c>
      <c r="D526" s="84" t="s">
        <v>3</v>
      </c>
      <c r="E526" s="40">
        <v>12</v>
      </c>
      <c r="F526" s="28">
        <f>TRUNC(8.6,2)</f>
        <v>8.6</v>
      </c>
      <c r="G526" s="29">
        <f t="shared" si="19"/>
        <v>103.2</v>
      </c>
      <c r="H526" s="29"/>
      <c r="I526" s="30"/>
      <c r="J526" s="30"/>
    </row>
    <row r="527" spans="1:10" s="31" customFormat="1" ht="15">
      <c r="A527" s="27"/>
      <c r="B527" s="39" t="s">
        <v>155</v>
      </c>
      <c r="C527" s="85" t="s">
        <v>156</v>
      </c>
      <c r="D527" s="84" t="s">
        <v>3</v>
      </c>
      <c r="E527" s="40">
        <v>12</v>
      </c>
      <c r="F527" s="28">
        <f>TRUNC(9.8,2)</f>
        <v>9.8</v>
      </c>
      <c r="G527" s="29">
        <f t="shared" si="19"/>
        <v>117.6</v>
      </c>
      <c r="H527" s="29"/>
      <c r="I527" s="30"/>
      <c r="J527" s="30"/>
    </row>
    <row r="528" spans="1:10" s="31" customFormat="1" ht="15">
      <c r="A528" s="27"/>
      <c r="B528" s="39" t="s">
        <v>171</v>
      </c>
      <c r="C528" s="85" t="s">
        <v>172</v>
      </c>
      <c r="D528" s="84" t="s">
        <v>3</v>
      </c>
      <c r="E528" s="40">
        <v>1.8</v>
      </c>
      <c r="F528" s="28">
        <f>TRUNC(11.9,2)</f>
        <v>11.9</v>
      </c>
      <c r="G528" s="29">
        <f t="shared" si="19"/>
        <v>21.42</v>
      </c>
      <c r="H528" s="29"/>
      <c r="I528" s="30"/>
      <c r="J528" s="30"/>
    </row>
    <row r="529" spans="1:10" s="31" customFormat="1" ht="30">
      <c r="A529" s="27"/>
      <c r="B529" s="39" t="s">
        <v>32</v>
      </c>
      <c r="C529" s="85" t="s">
        <v>33</v>
      </c>
      <c r="D529" s="84" t="s">
        <v>4</v>
      </c>
      <c r="E529" s="40">
        <v>9.4245</v>
      </c>
      <c r="F529" s="28">
        <f>TRUNC(16.55,2)</f>
        <v>16.55</v>
      </c>
      <c r="G529" s="29">
        <f t="shared" si="19"/>
        <v>155.97</v>
      </c>
      <c r="H529" s="29"/>
      <c r="I529" s="30"/>
      <c r="J529" s="30"/>
    </row>
    <row r="530" spans="1:10" s="31" customFormat="1" ht="30">
      <c r="A530" s="27"/>
      <c r="B530" s="39" t="s">
        <v>628</v>
      </c>
      <c r="C530" s="85" t="s">
        <v>629</v>
      </c>
      <c r="D530" s="84" t="s">
        <v>4</v>
      </c>
      <c r="E530" s="40">
        <v>6.3345</v>
      </c>
      <c r="F530" s="28">
        <f>TRUNC(22.86,2)</f>
        <v>22.86</v>
      </c>
      <c r="G530" s="29">
        <f t="shared" si="19"/>
        <v>144.8</v>
      </c>
      <c r="H530" s="29"/>
      <c r="I530" s="30"/>
      <c r="J530" s="30"/>
    </row>
    <row r="531" spans="1:10" s="31" customFormat="1" ht="30">
      <c r="A531" s="27"/>
      <c r="B531" s="39" t="s">
        <v>566</v>
      </c>
      <c r="C531" s="85" t="s">
        <v>567</v>
      </c>
      <c r="D531" s="84" t="s">
        <v>4</v>
      </c>
      <c r="E531" s="40">
        <v>0.515</v>
      </c>
      <c r="F531" s="28">
        <f>TRUNC(22.86,2)</f>
        <v>22.86</v>
      </c>
      <c r="G531" s="29">
        <f t="shared" si="19"/>
        <v>11.77</v>
      </c>
      <c r="H531" s="29"/>
      <c r="I531" s="30"/>
      <c r="J531" s="30"/>
    </row>
    <row r="532" spans="1:10" s="31" customFormat="1" ht="15">
      <c r="A532" s="27"/>
      <c r="B532" s="39" t="s">
        <v>34</v>
      </c>
      <c r="C532" s="85" t="s">
        <v>35</v>
      </c>
      <c r="D532" s="84" t="s">
        <v>4</v>
      </c>
      <c r="E532" s="40">
        <v>0.515</v>
      </c>
      <c r="F532" s="28">
        <f>TRUNC(22.86,2)</f>
        <v>22.86</v>
      </c>
      <c r="G532" s="29">
        <f t="shared" si="19"/>
        <v>11.77</v>
      </c>
      <c r="H532" s="29"/>
      <c r="I532" s="30"/>
      <c r="J532" s="30"/>
    </row>
    <row r="533" spans="1:10" s="31" customFormat="1" ht="15">
      <c r="A533" s="27"/>
      <c r="B533" s="39" t="s">
        <v>704</v>
      </c>
      <c r="C533" s="85" t="s">
        <v>705</v>
      </c>
      <c r="D533" s="84" t="s">
        <v>0</v>
      </c>
      <c r="E533" s="40">
        <v>14</v>
      </c>
      <c r="F533" s="28">
        <f>TRUNC(98.5485,2)</f>
        <v>98.54</v>
      </c>
      <c r="G533" s="29">
        <f t="shared" si="19"/>
        <v>1379.56</v>
      </c>
      <c r="H533" s="29"/>
      <c r="I533" s="30"/>
      <c r="J533" s="30"/>
    </row>
    <row r="534" spans="1:10" s="31" customFormat="1" ht="15">
      <c r="A534" s="27"/>
      <c r="B534" s="39" t="s">
        <v>706</v>
      </c>
      <c r="C534" s="85" t="s">
        <v>707</v>
      </c>
      <c r="D534" s="84" t="s">
        <v>4</v>
      </c>
      <c r="E534" s="40">
        <v>0.805</v>
      </c>
      <c r="F534" s="28">
        <f>TRUNC(0.3532,2)</f>
        <v>0.35</v>
      </c>
      <c r="G534" s="29">
        <f t="shared" si="19"/>
        <v>0.28</v>
      </c>
      <c r="H534" s="29"/>
      <c r="I534" s="30"/>
      <c r="J534" s="30"/>
    </row>
    <row r="535" spans="1:10" s="31" customFormat="1" ht="15">
      <c r="A535" s="27"/>
      <c r="B535" s="39" t="s">
        <v>708</v>
      </c>
      <c r="C535" s="85" t="s">
        <v>709</v>
      </c>
      <c r="D535" s="84" t="s">
        <v>4</v>
      </c>
      <c r="E535" s="40">
        <v>0.345</v>
      </c>
      <c r="F535" s="28">
        <f>TRUNC(1.403,2)</f>
        <v>1.4</v>
      </c>
      <c r="G535" s="29">
        <f t="shared" si="19"/>
        <v>0.48</v>
      </c>
      <c r="H535" s="29"/>
      <c r="I535" s="30"/>
      <c r="J535" s="30"/>
    </row>
    <row r="536" spans="1:10" s="31" customFormat="1" ht="15">
      <c r="A536" s="27"/>
      <c r="B536" s="39"/>
      <c r="C536" s="85"/>
      <c r="D536" s="84"/>
      <c r="E536" s="40" t="s">
        <v>5</v>
      </c>
      <c r="F536" s="28"/>
      <c r="G536" s="29">
        <f>TRUNC(SUM(G521:G535),2)</f>
        <v>2614.25</v>
      </c>
      <c r="H536" s="29"/>
      <c r="I536" s="30"/>
      <c r="J536" s="48">
        <v>382.75</v>
      </c>
    </row>
    <row r="537" spans="1:10" s="49" customFormat="1" ht="60">
      <c r="A537" s="41" t="s">
        <v>387</v>
      </c>
      <c r="B537" s="42" t="s">
        <v>710</v>
      </c>
      <c r="C537" s="43" t="s">
        <v>388</v>
      </c>
      <c r="D537" s="44" t="s">
        <v>0</v>
      </c>
      <c r="E537" s="45">
        <v>2.76</v>
      </c>
      <c r="F537" s="46">
        <f>TRUNC(G544,2)</f>
        <v>115.6</v>
      </c>
      <c r="G537" s="47">
        <f>TRUNC(F537*1.2338,2)</f>
        <v>142.62</v>
      </c>
      <c r="H537" s="47">
        <f>TRUNC(F537*E537,2)</f>
        <v>319.05</v>
      </c>
      <c r="I537" s="48">
        <f>TRUNC(E537*G537,2)</f>
        <v>393.63</v>
      </c>
      <c r="J537" s="30"/>
    </row>
    <row r="538" spans="1:10" s="31" customFormat="1" ht="15">
      <c r="A538" s="27"/>
      <c r="B538" s="39" t="s">
        <v>643</v>
      </c>
      <c r="C538" s="85" t="s">
        <v>246</v>
      </c>
      <c r="D538" s="84" t="s">
        <v>247</v>
      </c>
      <c r="E538" s="40">
        <v>0.0094</v>
      </c>
      <c r="F538" s="28">
        <f>TRUNC(42.14,2)</f>
        <v>42.14</v>
      </c>
      <c r="G538" s="29">
        <f aca="true" t="shared" si="20" ref="G538:G543">TRUNC(E538*F538,2)</f>
        <v>0.39</v>
      </c>
      <c r="H538" s="29"/>
      <c r="I538" s="30"/>
      <c r="J538" s="30"/>
    </row>
    <row r="539" spans="1:10" s="31" customFormat="1" ht="30">
      <c r="A539" s="27"/>
      <c r="B539" s="39" t="s">
        <v>711</v>
      </c>
      <c r="C539" s="85" t="s">
        <v>389</v>
      </c>
      <c r="D539" s="84" t="s">
        <v>2</v>
      </c>
      <c r="E539" s="40">
        <v>0.785</v>
      </c>
      <c r="F539" s="28">
        <f>TRUNC(3.61,2)</f>
        <v>3.61</v>
      </c>
      <c r="G539" s="29">
        <f t="shared" si="20"/>
        <v>2.83</v>
      </c>
      <c r="H539" s="29"/>
      <c r="I539" s="30"/>
      <c r="J539" s="30"/>
    </row>
    <row r="540" spans="1:10" s="31" customFormat="1" ht="30">
      <c r="A540" s="27"/>
      <c r="B540" s="39" t="s">
        <v>712</v>
      </c>
      <c r="C540" s="85" t="s">
        <v>390</v>
      </c>
      <c r="D540" s="84" t="s">
        <v>391</v>
      </c>
      <c r="E540" s="40">
        <v>0.02831</v>
      </c>
      <c r="F540" s="28">
        <f>TRUNC(900,2)</f>
        <v>900</v>
      </c>
      <c r="G540" s="29">
        <f t="shared" si="20"/>
        <v>25.47</v>
      </c>
      <c r="H540" s="29"/>
      <c r="I540" s="30"/>
      <c r="J540" s="30"/>
    </row>
    <row r="541" spans="1:10" s="31" customFormat="1" ht="15">
      <c r="A541" s="27"/>
      <c r="B541" s="39" t="s">
        <v>41</v>
      </c>
      <c r="C541" s="85" t="s">
        <v>31</v>
      </c>
      <c r="D541" s="84" t="s">
        <v>4</v>
      </c>
      <c r="E541" s="40">
        <v>0.99</v>
      </c>
      <c r="F541" s="28">
        <f>TRUNC(23.42,2)</f>
        <v>23.42</v>
      </c>
      <c r="G541" s="29">
        <f t="shared" si="20"/>
        <v>23.18</v>
      </c>
      <c r="H541" s="29"/>
      <c r="I541" s="30"/>
      <c r="J541" s="30"/>
    </row>
    <row r="542" spans="1:10" s="31" customFormat="1" ht="15">
      <c r="A542" s="27"/>
      <c r="B542" s="39" t="s">
        <v>646</v>
      </c>
      <c r="C542" s="85" t="s">
        <v>142</v>
      </c>
      <c r="D542" s="84" t="s">
        <v>4</v>
      </c>
      <c r="E542" s="40">
        <v>1.98</v>
      </c>
      <c r="F542" s="28">
        <f>TRUNC(29.96,2)</f>
        <v>29.96</v>
      </c>
      <c r="G542" s="29">
        <f t="shared" si="20"/>
        <v>59.32</v>
      </c>
      <c r="H542" s="29"/>
      <c r="I542" s="30"/>
      <c r="J542" s="30"/>
    </row>
    <row r="543" spans="1:10" s="31" customFormat="1" ht="45">
      <c r="A543" s="27"/>
      <c r="B543" s="39" t="s">
        <v>647</v>
      </c>
      <c r="C543" s="85" t="s">
        <v>648</v>
      </c>
      <c r="D543" s="84" t="s">
        <v>1</v>
      </c>
      <c r="E543" s="40">
        <v>0.0098</v>
      </c>
      <c r="F543" s="28">
        <f>TRUNC(450.79,2)</f>
        <v>450.79</v>
      </c>
      <c r="G543" s="29">
        <f t="shared" si="20"/>
        <v>4.41</v>
      </c>
      <c r="H543" s="29"/>
      <c r="I543" s="30"/>
      <c r="J543" s="30"/>
    </row>
    <row r="544" spans="1:10" s="31" customFormat="1" ht="15">
      <c r="A544" s="27"/>
      <c r="B544" s="39"/>
      <c r="C544" s="85"/>
      <c r="D544" s="84"/>
      <c r="E544" s="40" t="s">
        <v>5</v>
      </c>
      <c r="F544" s="28"/>
      <c r="G544" s="29">
        <f>TRUNC(SUM(G538:G543),2)</f>
        <v>115.6</v>
      </c>
      <c r="H544" s="29"/>
      <c r="I544" s="30"/>
      <c r="J544" s="48">
        <v>28.61</v>
      </c>
    </row>
    <row r="545" spans="1:10" s="49" customFormat="1" ht="45">
      <c r="A545" s="41" t="s">
        <v>392</v>
      </c>
      <c r="B545" s="42" t="s">
        <v>713</v>
      </c>
      <c r="C545" s="43" t="s">
        <v>393</v>
      </c>
      <c r="D545" s="44" t="s">
        <v>0</v>
      </c>
      <c r="E545" s="45">
        <v>5.78</v>
      </c>
      <c r="F545" s="46">
        <f>TRUNC(G549,2)</f>
        <v>4.11</v>
      </c>
      <c r="G545" s="47">
        <f>TRUNC(F545*1.2338,2)</f>
        <v>5.07</v>
      </c>
      <c r="H545" s="47">
        <f>TRUNC(F545*E545,2)</f>
        <v>23.75</v>
      </c>
      <c r="I545" s="48">
        <f>TRUNC(E545*G545,2)</f>
        <v>29.3</v>
      </c>
      <c r="J545" s="30"/>
    </row>
    <row r="546" spans="1:10" s="31" customFormat="1" ht="15">
      <c r="A546" s="27"/>
      <c r="B546" s="39" t="s">
        <v>41</v>
      </c>
      <c r="C546" s="85" t="s">
        <v>31</v>
      </c>
      <c r="D546" s="84" t="s">
        <v>4</v>
      </c>
      <c r="E546" s="40">
        <v>0.007</v>
      </c>
      <c r="F546" s="28">
        <f>TRUNC(23.42,2)</f>
        <v>23.42</v>
      </c>
      <c r="G546" s="29">
        <f>TRUNC(E546*F546,2)</f>
        <v>0.16</v>
      </c>
      <c r="H546" s="29"/>
      <c r="I546" s="30"/>
      <c r="J546" s="30"/>
    </row>
    <row r="547" spans="1:10" s="31" customFormat="1" ht="15">
      <c r="A547" s="27"/>
      <c r="B547" s="39" t="s">
        <v>646</v>
      </c>
      <c r="C547" s="85" t="s">
        <v>142</v>
      </c>
      <c r="D547" s="84" t="s">
        <v>4</v>
      </c>
      <c r="E547" s="40">
        <v>0.07</v>
      </c>
      <c r="F547" s="28">
        <f>TRUNC(29.96,2)</f>
        <v>29.96</v>
      </c>
      <c r="G547" s="29">
        <f>TRUNC(E547*F547,2)</f>
        <v>2.09</v>
      </c>
      <c r="H547" s="29"/>
      <c r="I547" s="30"/>
      <c r="J547" s="30"/>
    </row>
    <row r="548" spans="1:10" s="31" customFormat="1" ht="45">
      <c r="A548" s="27"/>
      <c r="B548" s="39" t="s">
        <v>714</v>
      </c>
      <c r="C548" s="85" t="s">
        <v>715</v>
      </c>
      <c r="D548" s="84" t="s">
        <v>1</v>
      </c>
      <c r="E548" s="40">
        <v>0.0042</v>
      </c>
      <c r="F548" s="28">
        <f>TRUNC(444.73,2)</f>
        <v>444.73</v>
      </c>
      <c r="G548" s="29">
        <f>TRUNC(E548*F548,2)</f>
        <v>1.86</v>
      </c>
      <c r="H548" s="29"/>
      <c r="I548" s="30"/>
      <c r="J548" s="30"/>
    </row>
    <row r="549" spans="1:10" s="31" customFormat="1" ht="15">
      <c r="A549" s="27"/>
      <c r="B549" s="39"/>
      <c r="C549" s="85"/>
      <c r="D549" s="84"/>
      <c r="E549" s="40" t="s">
        <v>5</v>
      </c>
      <c r="F549" s="28"/>
      <c r="G549" s="29">
        <f>TRUNC(SUM(G546:G548),2)</f>
        <v>4.11</v>
      </c>
      <c r="H549" s="29"/>
      <c r="I549" s="30"/>
      <c r="J549" s="48">
        <v>244.78</v>
      </c>
    </row>
    <row r="550" spans="1:10" s="49" customFormat="1" ht="60">
      <c r="A550" s="41" t="s">
        <v>394</v>
      </c>
      <c r="B550" s="42" t="s">
        <v>716</v>
      </c>
      <c r="C550" s="43" t="s">
        <v>395</v>
      </c>
      <c r="D550" s="44" t="s">
        <v>0</v>
      </c>
      <c r="E550" s="45">
        <v>5.78</v>
      </c>
      <c r="F550" s="46">
        <f>TRUNC(G554,2)</f>
        <v>35.02</v>
      </c>
      <c r="G550" s="47">
        <f>TRUNC(F550*1.2338,2)</f>
        <v>43.2</v>
      </c>
      <c r="H550" s="47">
        <f>TRUNC(F550*E550,2)</f>
        <v>202.41</v>
      </c>
      <c r="I550" s="48">
        <f>TRUNC(E550*G550,2)</f>
        <v>249.69</v>
      </c>
      <c r="J550" s="30"/>
    </row>
    <row r="551" spans="1:10" s="31" customFormat="1" ht="15">
      <c r="A551" s="27"/>
      <c r="B551" s="39" t="s">
        <v>41</v>
      </c>
      <c r="C551" s="85" t="s">
        <v>31</v>
      </c>
      <c r="D551" s="84" t="s">
        <v>4</v>
      </c>
      <c r="E551" s="40">
        <v>0.171</v>
      </c>
      <c r="F551" s="28">
        <f>TRUNC(23.42,2)</f>
        <v>23.42</v>
      </c>
      <c r="G551" s="29">
        <f>TRUNC(E551*F551,2)</f>
        <v>4</v>
      </c>
      <c r="H551" s="29"/>
      <c r="I551" s="30"/>
      <c r="J551" s="30"/>
    </row>
    <row r="552" spans="1:10" s="31" customFormat="1" ht="15">
      <c r="A552" s="27"/>
      <c r="B552" s="39" t="s">
        <v>646</v>
      </c>
      <c r="C552" s="85" t="s">
        <v>142</v>
      </c>
      <c r="D552" s="84" t="s">
        <v>4</v>
      </c>
      <c r="E552" s="40">
        <v>0.47</v>
      </c>
      <c r="F552" s="28">
        <f>TRUNC(29.96,2)</f>
        <v>29.96</v>
      </c>
      <c r="G552" s="29">
        <f>TRUNC(E552*F552,2)</f>
        <v>14.08</v>
      </c>
      <c r="H552" s="29"/>
      <c r="I552" s="30"/>
      <c r="J552" s="30"/>
    </row>
    <row r="553" spans="1:10" s="31" customFormat="1" ht="45">
      <c r="A553" s="27"/>
      <c r="B553" s="39" t="s">
        <v>647</v>
      </c>
      <c r="C553" s="85" t="s">
        <v>648</v>
      </c>
      <c r="D553" s="84" t="s">
        <v>1</v>
      </c>
      <c r="E553" s="40">
        <v>0.0376</v>
      </c>
      <c r="F553" s="28">
        <f>TRUNC(450.79,2)</f>
        <v>450.79</v>
      </c>
      <c r="G553" s="29">
        <f>TRUNC(E553*F553,2)</f>
        <v>16.94</v>
      </c>
      <c r="H553" s="29"/>
      <c r="I553" s="30"/>
      <c r="J553" s="30"/>
    </row>
    <row r="554" spans="1:10" s="31" customFormat="1" ht="15">
      <c r="A554" s="27"/>
      <c r="B554" s="39"/>
      <c r="C554" s="85"/>
      <c r="D554" s="84"/>
      <c r="E554" s="40" t="s">
        <v>5</v>
      </c>
      <c r="F554" s="28"/>
      <c r="G554" s="29">
        <f>TRUNC(SUM(G551:G553),2)</f>
        <v>35.02</v>
      </c>
      <c r="H554" s="29"/>
      <c r="I554" s="30"/>
      <c r="J554" s="48">
        <v>20.51</v>
      </c>
    </row>
    <row r="555" spans="1:10" s="49" customFormat="1" ht="27" customHeight="1">
      <c r="A555" s="41" t="s">
        <v>399</v>
      </c>
      <c r="B555" s="42" t="s">
        <v>717</v>
      </c>
      <c r="C555" s="43" t="s">
        <v>396</v>
      </c>
      <c r="D555" s="44" t="s">
        <v>0</v>
      </c>
      <c r="E555" s="45">
        <v>5.78</v>
      </c>
      <c r="F555" s="46">
        <f>TRUNC(G559,2)</f>
        <v>2.9</v>
      </c>
      <c r="G555" s="47">
        <f>TRUNC(F555*1.2338,2)</f>
        <v>3.57</v>
      </c>
      <c r="H555" s="47">
        <f>TRUNC(F555*E555,2)</f>
        <v>16.76</v>
      </c>
      <c r="I555" s="48">
        <f>TRUNC(E555*G555,2)</f>
        <v>20.63</v>
      </c>
      <c r="J555" s="30"/>
    </row>
    <row r="556" spans="1:10" s="31" customFormat="1" ht="27" customHeight="1">
      <c r="A556" s="27"/>
      <c r="B556" s="39" t="s">
        <v>718</v>
      </c>
      <c r="C556" s="85" t="s">
        <v>397</v>
      </c>
      <c r="D556" s="84" t="s">
        <v>137</v>
      </c>
      <c r="E556" s="40">
        <v>0.16</v>
      </c>
      <c r="F556" s="28">
        <f>TRUNC(8.67,2)</f>
        <v>8.67</v>
      </c>
      <c r="G556" s="29">
        <f>TRUNC(E556*F556,2)</f>
        <v>1.38</v>
      </c>
      <c r="H556" s="29"/>
      <c r="I556" s="30"/>
      <c r="J556" s="30"/>
    </row>
    <row r="557" spans="1:10" s="31" customFormat="1" ht="27" customHeight="1">
      <c r="A557" s="27"/>
      <c r="B557" s="39" t="s">
        <v>41</v>
      </c>
      <c r="C557" s="85" t="s">
        <v>31</v>
      </c>
      <c r="D557" s="84" t="s">
        <v>4</v>
      </c>
      <c r="E557" s="40">
        <v>0.014</v>
      </c>
      <c r="F557" s="28">
        <f>TRUNC(23.42,2)</f>
        <v>23.42</v>
      </c>
      <c r="G557" s="29">
        <f>TRUNC(E557*F557,2)</f>
        <v>0.32</v>
      </c>
      <c r="H557" s="29"/>
      <c r="I557" s="30"/>
      <c r="J557" s="30"/>
    </row>
    <row r="558" spans="1:10" s="31" customFormat="1" ht="27" customHeight="1">
      <c r="A558" s="27"/>
      <c r="B558" s="39" t="s">
        <v>719</v>
      </c>
      <c r="C558" s="85" t="s">
        <v>398</v>
      </c>
      <c r="D558" s="84" t="s">
        <v>4</v>
      </c>
      <c r="E558" s="40">
        <v>0.039</v>
      </c>
      <c r="F558" s="28">
        <f>TRUNC(30.79,2)</f>
        <v>30.79</v>
      </c>
      <c r="G558" s="29">
        <f>TRUNC(E558*F558,2)</f>
        <v>1.2</v>
      </c>
      <c r="H558" s="29"/>
      <c r="I558" s="30"/>
      <c r="J558" s="30"/>
    </row>
    <row r="559" spans="1:10" s="31" customFormat="1" ht="27" customHeight="1">
      <c r="A559" s="27"/>
      <c r="B559" s="39"/>
      <c r="C559" s="85"/>
      <c r="D559" s="84"/>
      <c r="E559" s="40" t="s">
        <v>5</v>
      </c>
      <c r="F559" s="28"/>
      <c r="G559" s="29">
        <f>TRUNC(SUM(G556:G558),2)</f>
        <v>2.9</v>
      </c>
      <c r="H559" s="29"/>
      <c r="I559" s="30"/>
      <c r="J559" s="48">
        <v>307.32</v>
      </c>
    </row>
    <row r="560" spans="1:10" s="49" customFormat="1" ht="30">
      <c r="A560" s="41" t="s">
        <v>400</v>
      </c>
      <c r="B560" s="42" t="s">
        <v>723</v>
      </c>
      <c r="C560" s="43" t="s">
        <v>401</v>
      </c>
      <c r="D560" s="44" t="s">
        <v>0</v>
      </c>
      <c r="E560" s="45">
        <v>5.78</v>
      </c>
      <c r="F560" s="46">
        <f>TRUNC(G565,2)</f>
        <v>43</v>
      </c>
      <c r="G560" s="47">
        <f>TRUNC(F560*1.2338,2)</f>
        <v>53.05</v>
      </c>
      <c r="H560" s="47">
        <f>TRUNC(F560*E560,2)</f>
        <v>248.54</v>
      </c>
      <c r="I560" s="48">
        <f>TRUNC(E560*G560,2)</f>
        <v>306.62</v>
      </c>
      <c r="J560" s="30"/>
    </row>
    <row r="561" spans="1:10" s="31" customFormat="1" ht="30">
      <c r="A561" s="71"/>
      <c r="B561" s="39" t="s">
        <v>720</v>
      </c>
      <c r="C561" s="85" t="s">
        <v>402</v>
      </c>
      <c r="D561" s="84" t="s">
        <v>3</v>
      </c>
      <c r="E561" s="40">
        <v>3.2</v>
      </c>
      <c r="F561" s="28">
        <v>2.77</v>
      </c>
      <c r="G561" s="29">
        <f>TRUNC(E561*F561,2)</f>
        <v>8.86</v>
      </c>
      <c r="H561" s="29"/>
      <c r="I561" s="30"/>
      <c r="J561" s="53"/>
    </row>
    <row r="562" spans="1:10" s="31" customFormat="1" ht="15">
      <c r="A562" s="71"/>
      <c r="B562" s="81" t="s">
        <v>157</v>
      </c>
      <c r="C562" s="86" t="s">
        <v>405</v>
      </c>
      <c r="D562" s="75" t="s">
        <v>492</v>
      </c>
      <c r="E562" s="73">
        <v>0.125</v>
      </c>
      <c r="F562" s="72">
        <f>G567</f>
        <v>121.4</v>
      </c>
      <c r="G562" s="52">
        <f>TRUNC(E562*F562,2)</f>
        <v>15.17</v>
      </c>
      <c r="H562" s="29"/>
      <c r="I562" s="30"/>
      <c r="J562" s="30"/>
    </row>
    <row r="563" spans="1:10" s="31" customFormat="1" ht="15">
      <c r="A563" s="71"/>
      <c r="B563" s="39" t="s">
        <v>721</v>
      </c>
      <c r="C563" s="85" t="s">
        <v>403</v>
      </c>
      <c r="D563" s="84" t="s">
        <v>4</v>
      </c>
      <c r="E563" s="40">
        <v>0.532</v>
      </c>
      <c r="F563" s="28">
        <f>TRUNC(29.96,2)</f>
        <v>29.96</v>
      </c>
      <c r="G563" s="29">
        <f>TRUNC(E563*F563,2)</f>
        <v>15.93</v>
      </c>
      <c r="H563" s="29"/>
      <c r="I563" s="30"/>
      <c r="J563" s="30"/>
    </row>
    <row r="564" spans="1:10" s="31" customFormat="1" ht="15">
      <c r="A564" s="71"/>
      <c r="B564" s="39" t="s">
        <v>722</v>
      </c>
      <c r="C564" s="85" t="s">
        <v>404</v>
      </c>
      <c r="D564" s="84" t="s">
        <v>4</v>
      </c>
      <c r="E564" s="40">
        <v>0.108</v>
      </c>
      <c r="F564" s="28">
        <f>TRUNC(28.18,2)</f>
        <v>28.18</v>
      </c>
      <c r="G564" s="29">
        <f>TRUNC(E564*F564,2)</f>
        <v>3.04</v>
      </c>
      <c r="H564" s="29"/>
      <c r="I564" s="30"/>
      <c r="J564" s="30"/>
    </row>
    <row r="565" spans="1:10" s="31" customFormat="1" ht="15">
      <c r="A565" s="71"/>
      <c r="B565" s="39"/>
      <c r="C565" s="85"/>
      <c r="D565" s="84"/>
      <c r="E565" s="40" t="s">
        <v>5</v>
      </c>
      <c r="F565" s="28"/>
      <c r="G565" s="29">
        <f>TRUNC(SUM(G561:G564),2)</f>
        <v>43</v>
      </c>
      <c r="H565" s="29"/>
      <c r="I565" s="30"/>
      <c r="J565" s="30"/>
    </row>
    <row r="566" spans="1:10" s="31" customFormat="1" ht="30">
      <c r="A566" s="27"/>
      <c r="B566" s="54" t="s">
        <v>157</v>
      </c>
      <c r="C566" s="85" t="s">
        <v>785</v>
      </c>
      <c r="D566" s="84" t="s">
        <v>492</v>
      </c>
      <c r="E566" s="40">
        <v>1</v>
      </c>
      <c r="F566" s="28">
        <f>390.51/2.5</f>
        <v>156.204</v>
      </c>
      <c r="G566" s="29">
        <f>TRUNC(E566*F566,2)</f>
        <v>156.2</v>
      </c>
      <c r="H566" s="29"/>
      <c r="I566" s="30"/>
      <c r="J566" s="30"/>
    </row>
    <row r="567" spans="1:10" s="31" customFormat="1" ht="30">
      <c r="A567" s="27"/>
      <c r="B567" s="54" t="s">
        <v>157</v>
      </c>
      <c r="C567" s="85" t="s">
        <v>786</v>
      </c>
      <c r="D567" s="84" t="s">
        <v>10</v>
      </c>
      <c r="E567" s="40">
        <v>1</v>
      </c>
      <c r="F567" s="28">
        <f>424.9/3.5</f>
        <v>121.39999999999999</v>
      </c>
      <c r="G567" s="29">
        <f>TRUNC(E567*F567,2)</f>
        <v>121.4</v>
      </c>
      <c r="H567" s="29"/>
      <c r="I567" s="30"/>
      <c r="J567" s="30"/>
    </row>
    <row r="568" spans="1:10" s="31" customFormat="1" ht="30">
      <c r="A568" s="27"/>
      <c r="B568" s="54" t="s">
        <v>157</v>
      </c>
      <c r="C568" s="85" t="s">
        <v>787</v>
      </c>
      <c r="D568" s="84" t="s">
        <v>10</v>
      </c>
      <c r="E568" s="40">
        <v>1</v>
      </c>
      <c r="F568" s="28">
        <f>299.9/15</f>
        <v>19.993333333333332</v>
      </c>
      <c r="G568" s="29">
        <f>TRUNC(E568*F568,2)</f>
        <v>19.99</v>
      </c>
      <c r="H568" s="29"/>
      <c r="I568" s="30"/>
      <c r="J568" s="30"/>
    </row>
    <row r="569" spans="1:10" s="31" customFormat="1" ht="15">
      <c r="A569" s="27"/>
      <c r="B569" s="39"/>
      <c r="C569" s="85"/>
      <c r="D569" s="84"/>
      <c r="E569" s="40"/>
      <c r="F569" s="28" t="s">
        <v>527</v>
      </c>
      <c r="G569" s="29">
        <f>G566</f>
        <v>156.2</v>
      </c>
      <c r="H569" s="29"/>
      <c r="I569" s="30"/>
      <c r="J569" s="26">
        <v>70282.27999999998</v>
      </c>
    </row>
    <row r="570" spans="1:10" s="14" customFormat="1" ht="15.75">
      <c r="A570" s="23" t="s">
        <v>23</v>
      </c>
      <c r="B570" s="25"/>
      <c r="C570" s="24"/>
      <c r="D570" s="25"/>
      <c r="E570" s="25"/>
      <c r="F570" s="25"/>
      <c r="G570" s="25" t="s">
        <v>504</v>
      </c>
      <c r="H570" s="26">
        <f>H560+H555+H550+H545+H537+H520+H517+H508+H489+H484+H478+H472+H458+H452+H433+H409+H397+H381+H371+H366+H355+H463+H466</f>
        <v>55492.799999999996</v>
      </c>
      <c r="I570" s="26">
        <f>I560+I555+I550+I545+I537+I520+I517+I508+I489+I484+I478+I472+I458+I452+I433+I409+I397+I381+I371+I366+I355+I463+I466</f>
        <v>68461.95</v>
      </c>
      <c r="J570" s="20"/>
    </row>
    <row r="571" spans="1:10" s="13" customFormat="1" ht="15.75">
      <c r="A571" s="13" t="s">
        <v>496</v>
      </c>
      <c r="B571" s="21"/>
      <c r="C571" s="22" t="s">
        <v>495</v>
      </c>
      <c r="D571" s="22"/>
      <c r="E571" s="22"/>
      <c r="F571" s="22"/>
      <c r="G571" s="22"/>
      <c r="H571" s="22"/>
      <c r="I571" s="20"/>
      <c r="J571" s="48">
        <v>344.13</v>
      </c>
    </row>
    <row r="572" spans="1:10" s="49" customFormat="1" ht="29.25">
      <c r="A572" s="41" t="s">
        <v>497</v>
      </c>
      <c r="B572" s="42" t="s">
        <v>724</v>
      </c>
      <c r="C572" s="43" t="s">
        <v>494</v>
      </c>
      <c r="D572" s="44" t="s">
        <v>1</v>
      </c>
      <c r="E572" s="45">
        <v>2.72</v>
      </c>
      <c r="F572" s="46">
        <f>TRUNC(G578,2)</f>
        <v>103.31</v>
      </c>
      <c r="G572" s="47">
        <f>TRUNC(F572*1.2338,2)</f>
        <v>127.46</v>
      </c>
      <c r="H572" s="47">
        <f>TRUNC(F572*E572,2)</f>
        <v>281</v>
      </c>
      <c r="I572" s="48">
        <f>TRUNC(E572*G572,2)</f>
        <v>346.69</v>
      </c>
      <c r="J572" s="53"/>
    </row>
    <row r="573" spans="1:10" s="31" customFormat="1" ht="15">
      <c r="A573" s="27"/>
      <c r="B573" s="39" t="s">
        <v>406</v>
      </c>
      <c r="C573" s="85" t="s">
        <v>407</v>
      </c>
      <c r="D573" s="84" t="s">
        <v>1</v>
      </c>
      <c r="E573" s="40">
        <v>0</v>
      </c>
      <c r="F573" s="28">
        <f>TRUNC(55,2)</f>
        <v>55</v>
      </c>
      <c r="G573" s="29">
        <f>TRUNC(E573*F573,2)</f>
        <v>0</v>
      </c>
      <c r="H573" s="29"/>
      <c r="I573" s="30"/>
      <c r="J573" s="53"/>
    </row>
    <row r="574" spans="1:10" s="31" customFormat="1" ht="15">
      <c r="A574" s="27"/>
      <c r="B574" s="78" t="s">
        <v>408</v>
      </c>
      <c r="C574" s="79" t="s">
        <v>409</v>
      </c>
      <c r="D574" s="75" t="s">
        <v>21</v>
      </c>
      <c r="E574" s="73">
        <v>1</v>
      </c>
      <c r="F574" s="72">
        <v>57.4</v>
      </c>
      <c r="G574" s="29">
        <f>TRUNC(E574*F574,2)</f>
        <v>57.4</v>
      </c>
      <c r="H574" s="29"/>
      <c r="I574" s="30"/>
      <c r="J574" s="30"/>
    </row>
    <row r="575" spans="1:10" s="31" customFormat="1" ht="30">
      <c r="A575" s="27"/>
      <c r="B575" s="39" t="s">
        <v>32</v>
      </c>
      <c r="C575" s="85" t="s">
        <v>33</v>
      </c>
      <c r="D575" s="84" t="s">
        <v>4</v>
      </c>
      <c r="E575" s="40">
        <v>2.575</v>
      </c>
      <c r="F575" s="28">
        <f>TRUNC(16.55,2)</f>
        <v>16.55</v>
      </c>
      <c r="G575" s="29">
        <f>TRUNC(E575*F575,2)</f>
        <v>42.61</v>
      </c>
      <c r="H575" s="29"/>
      <c r="I575" s="30"/>
      <c r="J575" s="30"/>
    </row>
    <row r="576" spans="1:10" s="31" customFormat="1" ht="15">
      <c r="A576" s="27"/>
      <c r="B576" s="39" t="s">
        <v>725</v>
      </c>
      <c r="C576" s="85" t="s">
        <v>726</v>
      </c>
      <c r="D576" s="84" t="s">
        <v>4</v>
      </c>
      <c r="E576" s="40">
        <v>0.026</v>
      </c>
      <c r="F576" s="28">
        <f>TRUNC(47.3583,2)</f>
        <v>47.35</v>
      </c>
      <c r="G576" s="29">
        <f>TRUNC(E576*F576,2)</f>
        <v>1.23</v>
      </c>
      <c r="H576" s="29"/>
      <c r="I576" s="30"/>
      <c r="J576" s="30"/>
    </row>
    <row r="577" spans="1:10" s="31" customFormat="1" ht="15">
      <c r="A577" s="27"/>
      <c r="B577" s="39" t="s">
        <v>727</v>
      </c>
      <c r="C577" s="85" t="s">
        <v>728</v>
      </c>
      <c r="D577" s="84" t="s">
        <v>4</v>
      </c>
      <c r="E577" s="40">
        <v>0.014</v>
      </c>
      <c r="F577" s="28">
        <f>TRUNC(148.0888,2)</f>
        <v>148.08</v>
      </c>
      <c r="G577" s="29">
        <f>TRUNC(E577*F577,2)</f>
        <v>2.07</v>
      </c>
      <c r="H577" s="29"/>
      <c r="I577" s="30"/>
      <c r="J577" s="30"/>
    </row>
    <row r="578" spans="1:10" s="31" customFormat="1" ht="15">
      <c r="A578" s="27"/>
      <c r="B578" s="39"/>
      <c r="C578" s="85"/>
      <c r="D578" s="84"/>
      <c r="E578" s="40" t="s">
        <v>5</v>
      </c>
      <c r="F578" s="28"/>
      <c r="G578" s="29">
        <f>TRUNC(SUM(G573:G577),2)</f>
        <v>103.31</v>
      </c>
      <c r="H578" s="29"/>
      <c r="I578" s="30"/>
      <c r="J578" s="48">
        <v>34759.41</v>
      </c>
    </row>
    <row r="579" spans="1:10" s="49" customFormat="1" ht="30">
      <c r="A579" s="41" t="s">
        <v>498</v>
      </c>
      <c r="B579" s="42" t="s">
        <v>729</v>
      </c>
      <c r="C579" s="43" t="s">
        <v>410</v>
      </c>
      <c r="D579" s="44" t="s">
        <v>0</v>
      </c>
      <c r="E579" s="45">
        <v>388.33</v>
      </c>
      <c r="F579" s="46">
        <f>TRUNC(G589,2)</f>
        <v>71.15</v>
      </c>
      <c r="G579" s="47">
        <f>TRUNC(F579*1.2338,2)</f>
        <v>87.78</v>
      </c>
      <c r="H579" s="47">
        <f>TRUNC(F579*E579,2)</f>
        <v>27629.67</v>
      </c>
      <c r="I579" s="48">
        <f>TRUNC(E579*G579,2)</f>
        <v>34087.6</v>
      </c>
      <c r="J579" s="30"/>
    </row>
    <row r="580" spans="1:10" s="31" customFormat="1" ht="45">
      <c r="A580" s="27"/>
      <c r="B580" s="39" t="s">
        <v>730</v>
      </c>
      <c r="C580" s="85" t="s">
        <v>411</v>
      </c>
      <c r="D580" s="84" t="s">
        <v>0</v>
      </c>
      <c r="E580" s="40">
        <v>1.0487</v>
      </c>
      <c r="F580" s="28">
        <f>TRUNC(42.35,2)</f>
        <v>42.35</v>
      </c>
      <c r="G580" s="29">
        <f aca="true" t="shared" si="21" ref="G580:G588">TRUNC(E580*F580,2)</f>
        <v>44.41</v>
      </c>
      <c r="H580" s="29"/>
      <c r="I580" s="30"/>
      <c r="J580" s="30"/>
    </row>
    <row r="581" spans="1:10" s="31" customFormat="1" ht="15">
      <c r="A581" s="27"/>
      <c r="B581" s="39" t="s">
        <v>731</v>
      </c>
      <c r="C581" s="85" t="s">
        <v>51</v>
      </c>
      <c r="D581" s="84" t="s">
        <v>1</v>
      </c>
      <c r="E581" s="40">
        <v>0.0065</v>
      </c>
      <c r="F581" s="28">
        <f>TRUNC(61.24,2)</f>
        <v>61.24</v>
      </c>
      <c r="G581" s="29">
        <f t="shared" si="21"/>
        <v>0.39</v>
      </c>
      <c r="H581" s="29"/>
      <c r="I581" s="30"/>
      <c r="J581" s="30"/>
    </row>
    <row r="582" spans="1:10" s="31" customFormat="1" ht="30">
      <c r="A582" s="27"/>
      <c r="B582" s="39" t="s">
        <v>732</v>
      </c>
      <c r="C582" s="85" t="s">
        <v>40</v>
      </c>
      <c r="D582" s="84" t="s">
        <v>1</v>
      </c>
      <c r="E582" s="40">
        <v>0.0568</v>
      </c>
      <c r="F582" s="28">
        <f>TRUNC(67.66,2)</f>
        <v>67.66</v>
      </c>
      <c r="G582" s="29">
        <f t="shared" si="21"/>
        <v>3.84</v>
      </c>
      <c r="H582" s="29"/>
      <c r="I582" s="30"/>
      <c r="J582" s="30"/>
    </row>
    <row r="583" spans="1:10" s="31" customFormat="1" ht="15">
      <c r="A583" s="27"/>
      <c r="B583" s="39" t="s">
        <v>41</v>
      </c>
      <c r="C583" s="85" t="s">
        <v>31</v>
      </c>
      <c r="D583" s="84" t="s">
        <v>4</v>
      </c>
      <c r="E583" s="40">
        <v>0.3975</v>
      </c>
      <c r="F583" s="28">
        <f>TRUNC(23.42,2)</f>
        <v>23.42</v>
      </c>
      <c r="G583" s="29">
        <f t="shared" si="21"/>
        <v>9.3</v>
      </c>
      <c r="H583" s="29"/>
      <c r="I583" s="30"/>
      <c r="J583" s="30"/>
    </row>
    <row r="584" spans="1:10" s="31" customFormat="1" ht="15">
      <c r="A584" s="27"/>
      <c r="B584" s="39" t="s">
        <v>733</v>
      </c>
      <c r="C584" s="85" t="s">
        <v>38</v>
      </c>
      <c r="D584" s="84" t="s">
        <v>4</v>
      </c>
      <c r="E584" s="40">
        <v>0.3975</v>
      </c>
      <c r="F584" s="28">
        <f>TRUNC(29.8,2)</f>
        <v>29.8</v>
      </c>
      <c r="G584" s="29">
        <f t="shared" si="21"/>
        <v>11.84</v>
      </c>
      <c r="H584" s="29"/>
      <c r="I584" s="30"/>
      <c r="J584" s="30"/>
    </row>
    <row r="585" spans="1:10" s="31" customFormat="1" ht="45">
      <c r="A585" s="27"/>
      <c r="B585" s="39" t="s">
        <v>734</v>
      </c>
      <c r="C585" s="85" t="s">
        <v>735</v>
      </c>
      <c r="D585" s="84" t="s">
        <v>37</v>
      </c>
      <c r="E585" s="40">
        <v>0.1504</v>
      </c>
      <c r="F585" s="28">
        <f>TRUNC(0.76,2)</f>
        <v>0.76</v>
      </c>
      <c r="G585" s="29">
        <f t="shared" si="21"/>
        <v>0.11</v>
      </c>
      <c r="H585" s="29"/>
      <c r="I585" s="30"/>
      <c r="J585" s="30"/>
    </row>
    <row r="586" spans="1:10" s="31" customFormat="1" ht="45">
      <c r="A586" s="27"/>
      <c r="B586" s="39" t="s">
        <v>736</v>
      </c>
      <c r="C586" s="85" t="s">
        <v>737</v>
      </c>
      <c r="D586" s="84" t="s">
        <v>22</v>
      </c>
      <c r="E586" s="40">
        <v>0.0483</v>
      </c>
      <c r="F586" s="28">
        <f>TRUNC(23.31,2)</f>
        <v>23.31</v>
      </c>
      <c r="G586" s="29">
        <f t="shared" si="21"/>
        <v>1.12</v>
      </c>
      <c r="H586" s="29"/>
      <c r="I586" s="30"/>
      <c r="J586" s="30"/>
    </row>
    <row r="587" spans="1:10" s="31" customFormat="1" ht="30" customHeight="1">
      <c r="A587" s="27"/>
      <c r="B587" s="39" t="s">
        <v>738</v>
      </c>
      <c r="C587" s="85" t="s">
        <v>739</v>
      </c>
      <c r="D587" s="84" t="s">
        <v>37</v>
      </c>
      <c r="E587" s="40">
        <v>0.1947</v>
      </c>
      <c r="F587" s="28">
        <f>TRUNC(0.52,2)</f>
        <v>0.52</v>
      </c>
      <c r="G587" s="29">
        <f t="shared" si="21"/>
        <v>0.1</v>
      </c>
      <c r="H587" s="29"/>
      <c r="I587" s="30"/>
      <c r="J587" s="30"/>
    </row>
    <row r="588" spans="1:10" s="31" customFormat="1" ht="30" customHeight="1">
      <c r="A588" s="27"/>
      <c r="B588" s="39" t="s">
        <v>740</v>
      </c>
      <c r="C588" s="85" t="s">
        <v>741</v>
      </c>
      <c r="D588" s="84" t="s">
        <v>22</v>
      </c>
      <c r="E588" s="40">
        <v>0.0041</v>
      </c>
      <c r="F588" s="28">
        <f>TRUNC(10.17,2)</f>
        <v>10.17</v>
      </c>
      <c r="G588" s="29">
        <f t="shared" si="21"/>
        <v>0.04</v>
      </c>
      <c r="H588" s="29"/>
      <c r="I588" s="30"/>
      <c r="J588" s="30"/>
    </row>
    <row r="589" spans="1:10" s="31" customFormat="1" ht="15">
      <c r="A589" s="27"/>
      <c r="B589" s="39"/>
      <c r="C589" s="85"/>
      <c r="D589" s="84"/>
      <c r="E589" s="40" t="s">
        <v>5</v>
      </c>
      <c r="F589" s="28"/>
      <c r="G589" s="29">
        <f>TRUNC(SUM(G580:G588),2)</f>
        <v>71.15</v>
      </c>
      <c r="H589" s="29"/>
      <c r="I589" s="30"/>
      <c r="J589" s="48">
        <v>19436.67</v>
      </c>
    </row>
    <row r="590" spans="1:10" s="49" customFormat="1" ht="75">
      <c r="A590" s="41" t="s">
        <v>499</v>
      </c>
      <c r="B590" s="42" t="s">
        <v>742</v>
      </c>
      <c r="C590" s="43" t="s">
        <v>412</v>
      </c>
      <c r="D590" s="44" t="s">
        <v>2</v>
      </c>
      <c r="E590" s="45">
        <v>239.35</v>
      </c>
      <c r="F590" s="46">
        <f>TRUNC(G598,2)</f>
        <v>68.01</v>
      </c>
      <c r="G590" s="47">
        <f>TRUNC(F590*1.2338,2)</f>
        <v>83.91</v>
      </c>
      <c r="H590" s="47">
        <f>TRUNC(F590*E590,2)</f>
        <v>16278.19</v>
      </c>
      <c r="I590" s="48">
        <f>TRUNC(E590*G590,2)</f>
        <v>20083.85</v>
      </c>
      <c r="J590" s="30"/>
    </row>
    <row r="591" spans="1:10" s="31" customFormat="1" ht="30">
      <c r="A591" s="27"/>
      <c r="B591" s="39" t="s">
        <v>32</v>
      </c>
      <c r="C591" s="85" t="s">
        <v>33</v>
      </c>
      <c r="D591" s="84" t="s">
        <v>4</v>
      </c>
      <c r="E591" s="40">
        <v>0.2472</v>
      </c>
      <c r="F591" s="28">
        <f>TRUNC(16.55,2)</f>
        <v>16.55</v>
      </c>
      <c r="G591" s="29">
        <f aca="true" t="shared" si="22" ref="G591:G597">TRUNC(E591*F591,2)</f>
        <v>4.09</v>
      </c>
      <c r="H591" s="29"/>
      <c r="I591" s="30"/>
      <c r="J591" s="30"/>
    </row>
    <row r="592" spans="1:10" s="31" customFormat="1" ht="15">
      <c r="A592" s="27"/>
      <c r="B592" s="39" t="s">
        <v>743</v>
      </c>
      <c r="C592" s="85" t="s">
        <v>744</v>
      </c>
      <c r="D592" s="84" t="s">
        <v>4</v>
      </c>
      <c r="E592" s="40">
        <v>0.0824</v>
      </c>
      <c r="F592" s="28">
        <f>TRUNC(22.86,2)</f>
        <v>22.86</v>
      </c>
      <c r="G592" s="29">
        <f t="shared" si="22"/>
        <v>1.88</v>
      </c>
      <c r="H592" s="29"/>
      <c r="I592" s="30"/>
      <c r="J592" s="30"/>
    </row>
    <row r="593" spans="1:10" s="31" customFormat="1" ht="15">
      <c r="A593" s="27"/>
      <c r="B593" s="39" t="s">
        <v>556</v>
      </c>
      <c r="C593" s="85" t="s">
        <v>557</v>
      </c>
      <c r="D593" s="84" t="s">
        <v>1</v>
      </c>
      <c r="E593" s="40">
        <v>0.042</v>
      </c>
      <c r="F593" s="28">
        <f>TRUNC(75.3534,2)</f>
        <v>75.35</v>
      </c>
      <c r="G593" s="29">
        <f t="shared" si="22"/>
        <v>3.16</v>
      </c>
      <c r="H593" s="29"/>
      <c r="I593" s="30"/>
      <c r="J593" s="30"/>
    </row>
    <row r="594" spans="1:10" s="31" customFormat="1" ht="15">
      <c r="A594" s="27"/>
      <c r="B594" s="39" t="s">
        <v>558</v>
      </c>
      <c r="C594" s="85" t="s">
        <v>559</v>
      </c>
      <c r="D594" s="84" t="s">
        <v>1</v>
      </c>
      <c r="E594" s="40">
        <v>0.042</v>
      </c>
      <c r="F594" s="28">
        <f>TRUNC(82.5898,2)</f>
        <v>82.58</v>
      </c>
      <c r="G594" s="29">
        <f t="shared" si="22"/>
        <v>3.46</v>
      </c>
      <c r="H594" s="29"/>
      <c r="I594" s="30"/>
      <c r="J594" s="30"/>
    </row>
    <row r="595" spans="1:10" s="31" customFormat="1" ht="15">
      <c r="A595" s="27"/>
      <c r="B595" s="39" t="s">
        <v>745</v>
      </c>
      <c r="C595" s="85" t="s">
        <v>746</v>
      </c>
      <c r="D595" s="84" t="s">
        <v>0</v>
      </c>
      <c r="E595" s="40">
        <v>0.62</v>
      </c>
      <c r="F595" s="28">
        <f>TRUNC(69.2212,2)</f>
        <v>69.22</v>
      </c>
      <c r="G595" s="29">
        <f t="shared" si="22"/>
        <v>42.91</v>
      </c>
      <c r="H595" s="29"/>
      <c r="I595" s="30"/>
      <c r="J595" s="30"/>
    </row>
    <row r="596" spans="1:10" s="31" customFormat="1" ht="15">
      <c r="A596" s="27"/>
      <c r="B596" s="39" t="s">
        <v>603</v>
      </c>
      <c r="C596" s="85" t="s">
        <v>604</v>
      </c>
      <c r="D596" s="84" t="s">
        <v>1</v>
      </c>
      <c r="E596" s="40">
        <v>0.042</v>
      </c>
      <c r="F596" s="28">
        <f>TRUNC(277.3833,2)</f>
        <v>277.38</v>
      </c>
      <c r="G596" s="29">
        <f t="shared" si="22"/>
        <v>11.64</v>
      </c>
      <c r="H596" s="29"/>
      <c r="I596" s="30"/>
      <c r="J596" s="30"/>
    </row>
    <row r="597" spans="1:10" s="31" customFormat="1" ht="15">
      <c r="A597" s="27"/>
      <c r="B597" s="39" t="s">
        <v>747</v>
      </c>
      <c r="C597" s="85" t="s">
        <v>748</v>
      </c>
      <c r="D597" s="84" t="s">
        <v>1</v>
      </c>
      <c r="E597" s="40">
        <v>0.0025</v>
      </c>
      <c r="F597" s="28">
        <f>TRUNC(348.842,2)</f>
        <v>348.84</v>
      </c>
      <c r="G597" s="29">
        <f t="shared" si="22"/>
        <v>0.87</v>
      </c>
      <c r="H597" s="29"/>
      <c r="I597" s="30"/>
      <c r="J597" s="30"/>
    </row>
    <row r="598" spans="1:10" s="31" customFormat="1" ht="15">
      <c r="A598" s="27"/>
      <c r="B598" s="39"/>
      <c r="C598" s="85"/>
      <c r="D598" s="84"/>
      <c r="E598" s="40" t="s">
        <v>5</v>
      </c>
      <c r="F598" s="28"/>
      <c r="G598" s="29">
        <f>TRUNC(SUM(G591:G597),2)</f>
        <v>68.01</v>
      </c>
      <c r="H598" s="29"/>
      <c r="I598" s="30"/>
      <c r="J598" s="48">
        <v>801.39</v>
      </c>
    </row>
    <row r="599" spans="1:10" s="49" customFormat="1" ht="75">
      <c r="A599" s="41" t="s">
        <v>500</v>
      </c>
      <c r="B599" s="42" t="s">
        <v>742</v>
      </c>
      <c r="C599" s="43" t="s">
        <v>412</v>
      </c>
      <c r="D599" s="44" t="s">
        <v>2</v>
      </c>
      <c r="E599" s="45">
        <v>11.04</v>
      </c>
      <c r="F599" s="46">
        <f>TRUNC(G607,2)</f>
        <v>68.01</v>
      </c>
      <c r="G599" s="47">
        <f>TRUNC(F599*1.2338,2)</f>
        <v>83.91</v>
      </c>
      <c r="H599" s="47">
        <f>TRUNC(F599*E599,2)</f>
        <v>750.83</v>
      </c>
      <c r="I599" s="48">
        <f>TRUNC(E599*G599,2)</f>
        <v>926.36</v>
      </c>
      <c r="J599" s="30"/>
    </row>
    <row r="600" spans="1:10" s="31" customFormat="1" ht="30">
      <c r="A600" s="27"/>
      <c r="B600" s="39" t="s">
        <v>32</v>
      </c>
      <c r="C600" s="85" t="s">
        <v>33</v>
      </c>
      <c r="D600" s="84" t="s">
        <v>4</v>
      </c>
      <c r="E600" s="40">
        <v>0.2472</v>
      </c>
      <c r="F600" s="28">
        <f>TRUNC(16.55,2)</f>
        <v>16.55</v>
      </c>
      <c r="G600" s="29">
        <f aca="true" t="shared" si="23" ref="G600:G606">TRUNC(E600*F600,2)</f>
        <v>4.09</v>
      </c>
      <c r="H600" s="29"/>
      <c r="I600" s="30"/>
      <c r="J600" s="30"/>
    </row>
    <row r="601" spans="1:10" s="31" customFormat="1" ht="15">
      <c r="A601" s="27"/>
      <c r="B601" s="39" t="s">
        <v>743</v>
      </c>
      <c r="C601" s="85" t="s">
        <v>744</v>
      </c>
      <c r="D601" s="84" t="s">
        <v>4</v>
      </c>
      <c r="E601" s="40">
        <v>0.0824</v>
      </c>
      <c r="F601" s="28">
        <f>TRUNC(22.86,2)</f>
        <v>22.86</v>
      </c>
      <c r="G601" s="29">
        <f t="shared" si="23"/>
        <v>1.88</v>
      </c>
      <c r="H601" s="29"/>
      <c r="I601" s="30"/>
      <c r="J601" s="30"/>
    </row>
    <row r="602" spans="1:10" s="31" customFormat="1" ht="15">
      <c r="A602" s="27"/>
      <c r="B602" s="39" t="s">
        <v>556</v>
      </c>
      <c r="C602" s="85" t="s">
        <v>557</v>
      </c>
      <c r="D602" s="84" t="s">
        <v>1</v>
      </c>
      <c r="E602" s="40">
        <v>0.042</v>
      </c>
      <c r="F602" s="28">
        <f>TRUNC(75.3534,2)</f>
        <v>75.35</v>
      </c>
      <c r="G602" s="29">
        <f t="shared" si="23"/>
        <v>3.16</v>
      </c>
      <c r="H602" s="29"/>
      <c r="I602" s="30"/>
      <c r="J602" s="30"/>
    </row>
    <row r="603" spans="1:10" s="31" customFormat="1" ht="15">
      <c r="A603" s="27"/>
      <c r="B603" s="39" t="s">
        <v>558</v>
      </c>
      <c r="C603" s="85" t="s">
        <v>559</v>
      </c>
      <c r="D603" s="84" t="s">
        <v>1</v>
      </c>
      <c r="E603" s="40">
        <v>0.042</v>
      </c>
      <c r="F603" s="28">
        <f>TRUNC(82.5898,2)</f>
        <v>82.58</v>
      </c>
      <c r="G603" s="29">
        <f t="shared" si="23"/>
        <v>3.46</v>
      </c>
      <c r="H603" s="29"/>
      <c r="I603" s="30"/>
      <c r="J603" s="30"/>
    </row>
    <row r="604" spans="1:10" s="31" customFormat="1" ht="15">
      <c r="A604" s="27"/>
      <c r="B604" s="39" t="s">
        <v>745</v>
      </c>
      <c r="C604" s="85" t="s">
        <v>746</v>
      </c>
      <c r="D604" s="84" t="s">
        <v>0</v>
      </c>
      <c r="E604" s="40">
        <v>0.62</v>
      </c>
      <c r="F604" s="28">
        <f>TRUNC(69.2212,2)</f>
        <v>69.22</v>
      </c>
      <c r="G604" s="29">
        <f t="shared" si="23"/>
        <v>42.91</v>
      </c>
      <c r="H604" s="29"/>
      <c r="I604" s="30"/>
      <c r="J604" s="30"/>
    </row>
    <row r="605" spans="1:10" s="31" customFormat="1" ht="15">
      <c r="A605" s="27"/>
      <c r="B605" s="39" t="s">
        <v>603</v>
      </c>
      <c r="C605" s="85" t="s">
        <v>604</v>
      </c>
      <c r="D605" s="84" t="s">
        <v>1</v>
      </c>
      <c r="E605" s="40">
        <v>0.042</v>
      </c>
      <c r="F605" s="28">
        <f>TRUNC(277.3833,2)</f>
        <v>277.38</v>
      </c>
      <c r="G605" s="29">
        <f t="shared" si="23"/>
        <v>11.64</v>
      </c>
      <c r="H605" s="29"/>
      <c r="I605" s="30"/>
      <c r="J605" s="30"/>
    </row>
    <row r="606" spans="1:10" s="31" customFormat="1" ht="15">
      <c r="A606" s="27"/>
      <c r="B606" s="39" t="s">
        <v>747</v>
      </c>
      <c r="C606" s="85" t="s">
        <v>748</v>
      </c>
      <c r="D606" s="84" t="s">
        <v>1</v>
      </c>
      <c r="E606" s="40">
        <v>0.0025</v>
      </c>
      <c r="F606" s="28">
        <f>TRUNC(348.842,2)</f>
        <v>348.84</v>
      </c>
      <c r="G606" s="29">
        <f t="shared" si="23"/>
        <v>0.87</v>
      </c>
      <c r="H606" s="29"/>
      <c r="I606" s="30"/>
      <c r="J606" s="30"/>
    </row>
    <row r="607" spans="1:10" s="31" customFormat="1" ht="15">
      <c r="A607" s="27"/>
      <c r="B607" s="39"/>
      <c r="C607" s="85"/>
      <c r="D607" s="84"/>
      <c r="E607" s="40" t="s">
        <v>5</v>
      </c>
      <c r="F607" s="28"/>
      <c r="G607" s="29">
        <f>TRUNC(SUM(G600:G606),2)</f>
        <v>68.01</v>
      </c>
      <c r="H607" s="29"/>
      <c r="I607" s="30"/>
      <c r="J607" s="48">
        <v>1287.64</v>
      </c>
    </row>
    <row r="608" spans="1:10" s="49" customFormat="1" ht="45">
      <c r="A608" s="41" t="s">
        <v>501</v>
      </c>
      <c r="B608" s="42" t="s">
        <v>749</v>
      </c>
      <c r="C608" s="43" t="s">
        <v>413</v>
      </c>
      <c r="D608" s="44" t="s">
        <v>0</v>
      </c>
      <c r="E608" s="45">
        <v>7.84</v>
      </c>
      <c r="F608" s="46">
        <f>TRUNC(G616,2)</f>
        <v>133.72</v>
      </c>
      <c r="G608" s="47">
        <f>TRUNC(F608*1.2338,2)</f>
        <v>164.98</v>
      </c>
      <c r="H608" s="47">
        <f>TRUNC(F608*E608,2)</f>
        <v>1048.36</v>
      </c>
      <c r="I608" s="48">
        <f>TRUNC(E608*G608,2)</f>
        <v>1293.44</v>
      </c>
      <c r="J608" s="30"/>
    </row>
    <row r="609" spans="1:10" s="31" customFormat="1" ht="30">
      <c r="A609" s="27"/>
      <c r="B609" s="39" t="s">
        <v>414</v>
      </c>
      <c r="C609" s="85" t="s">
        <v>415</v>
      </c>
      <c r="D609" s="84" t="s">
        <v>0</v>
      </c>
      <c r="E609" s="40">
        <v>1.05</v>
      </c>
      <c r="F609" s="28">
        <f>TRUNC(64.61,2)</f>
        <v>64.61</v>
      </c>
      <c r="G609" s="29">
        <f aca="true" t="shared" si="24" ref="G609:G615">TRUNC(E609*F609,2)</f>
        <v>67.84</v>
      </c>
      <c r="H609" s="29"/>
      <c r="I609" s="30"/>
      <c r="J609" s="30"/>
    </row>
    <row r="610" spans="1:10" s="31" customFormat="1" ht="15">
      <c r="A610" s="27"/>
      <c r="B610" s="39" t="s">
        <v>416</v>
      </c>
      <c r="C610" s="85" t="s">
        <v>502</v>
      </c>
      <c r="D610" s="84" t="s">
        <v>3</v>
      </c>
      <c r="E610" s="40">
        <v>0.1</v>
      </c>
      <c r="F610" s="28">
        <f>TRUNC(32.88,2)</f>
        <v>32.88</v>
      </c>
      <c r="G610" s="29">
        <f t="shared" si="24"/>
        <v>3.28</v>
      </c>
      <c r="H610" s="29"/>
      <c r="I610" s="30"/>
      <c r="J610" s="30"/>
    </row>
    <row r="611" spans="1:10" s="31" customFormat="1" ht="15">
      <c r="A611" s="27"/>
      <c r="B611" s="39" t="s">
        <v>417</v>
      </c>
      <c r="C611" s="85" t="s">
        <v>418</v>
      </c>
      <c r="D611" s="84" t="s">
        <v>3</v>
      </c>
      <c r="E611" s="40">
        <v>0.1</v>
      </c>
      <c r="F611" s="28">
        <f>TRUNC(1.4,2)</f>
        <v>1.4</v>
      </c>
      <c r="G611" s="29">
        <f t="shared" si="24"/>
        <v>0.14</v>
      </c>
      <c r="H611" s="29"/>
      <c r="I611" s="30"/>
      <c r="J611" s="30"/>
    </row>
    <row r="612" spans="1:10" s="31" customFormat="1" ht="30">
      <c r="A612" s="27"/>
      <c r="B612" s="39" t="s">
        <v>32</v>
      </c>
      <c r="C612" s="85" t="s">
        <v>33</v>
      </c>
      <c r="D612" s="84" t="s">
        <v>4</v>
      </c>
      <c r="E612" s="40">
        <v>1.1330000000000002</v>
      </c>
      <c r="F612" s="28">
        <f>TRUNC(16.55,2)</f>
        <v>16.55</v>
      </c>
      <c r="G612" s="29">
        <f t="shared" si="24"/>
        <v>18.75</v>
      </c>
      <c r="H612" s="29"/>
      <c r="I612" s="30"/>
      <c r="J612" s="30"/>
    </row>
    <row r="613" spans="1:10" s="31" customFormat="1" ht="15">
      <c r="A613" s="27"/>
      <c r="B613" s="39" t="s">
        <v>750</v>
      </c>
      <c r="C613" s="85" t="s">
        <v>751</v>
      </c>
      <c r="D613" s="84" t="s">
        <v>4</v>
      </c>
      <c r="E613" s="40">
        <v>1.1330000000000002</v>
      </c>
      <c r="F613" s="28">
        <f>TRUNC(24.61,2)</f>
        <v>24.61</v>
      </c>
      <c r="G613" s="29">
        <f t="shared" si="24"/>
        <v>27.88</v>
      </c>
      <c r="H613" s="29"/>
      <c r="I613" s="30"/>
      <c r="J613" s="30"/>
    </row>
    <row r="614" spans="1:10" s="31" customFormat="1" ht="15">
      <c r="A614" s="27"/>
      <c r="B614" s="39" t="s">
        <v>752</v>
      </c>
      <c r="C614" s="85" t="s">
        <v>753</v>
      </c>
      <c r="D614" s="84" t="s">
        <v>1</v>
      </c>
      <c r="E614" s="40">
        <v>0.035</v>
      </c>
      <c r="F614" s="28">
        <f>TRUNC(410.1515,2)</f>
        <v>410.15</v>
      </c>
      <c r="G614" s="29">
        <f t="shared" si="24"/>
        <v>14.35</v>
      </c>
      <c r="H614" s="29"/>
      <c r="I614" s="30"/>
      <c r="J614" s="30"/>
    </row>
    <row r="615" spans="1:10" s="31" customFormat="1" ht="15">
      <c r="A615" s="27"/>
      <c r="B615" s="39" t="s">
        <v>754</v>
      </c>
      <c r="C615" s="85" t="s">
        <v>755</v>
      </c>
      <c r="D615" s="84" t="s">
        <v>1</v>
      </c>
      <c r="E615" s="40">
        <v>0.002</v>
      </c>
      <c r="F615" s="28">
        <f>TRUNC(740.9185,2)</f>
        <v>740.91</v>
      </c>
      <c r="G615" s="29">
        <f t="shared" si="24"/>
        <v>1.48</v>
      </c>
      <c r="H615" s="29"/>
      <c r="I615" s="30"/>
      <c r="J615" s="30"/>
    </row>
    <row r="616" spans="1:10" s="31" customFormat="1" ht="15">
      <c r="A616" s="27"/>
      <c r="B616" s="39"/>
      <c r="C616" s="85"/>
      <c r="D616" s="84"/>
      <c r="E616" s="40" t="s">
        <v>5</v>
      </c>
      <c r="F616" s="28"/>
      <c r="G616" s="29">
        <f>TRUNC(SUM(G609:G615),2)</f>
        <v>133.72</v>
      </c>
      <c r="H616" s="29"/>
      <c r="I616" s="30"/>
      <c r="J616" s="48">
        <v>5794.6</v>
      </c>
    </row>
    <row r="617" spans="1:10" s="49" customFormat="1" ht="45">
      <c r="A617" s="41" t="s">
        <v>503</v>
      </c>
      <c r="B617" s="42" t="s">
        <v>749</v>
      </c>
      <c r="C617" s="43" t="s">
        <v>413</v>
      </c>
      <c r="D617" s="44" t="s">
        <v>0</v>
      </c>
      <c r="E617" s="45">
        <v>37.98</v>
      </c>
      <c r="F617" s="46">
        <f>TRUNC(G625,2)</f>
        <v>133.72</v>
      </c>
      <c r="G617" s="47">
        <f>TRUNC(F617*1.2338,2)</f>
        <v>164.98</v>
      </c>
      <c r="H617" s="47">
        <f>TRUNC(F617*E617,2)</f>
        <v>5078.68</v>
      </c>
      <c r="I617" s="48">
        <f>TRUNC(E617*G617,2)</f>
        <v>6265.94</v>
      </c>
      <c r="J617" s="30"/>
    </row>
    <row r="618" spans="1:10" s="31" customFormat="1" ht="30">
      <c r="A618" s="27"/>
      <c r="B618" s="39" t="s">
        <v>414</v>
      </c>
      <c r="C618" s="85" t="s">
        <v>415</v>
      </c>
      <c r="D618" s="84" t="s">
        <v>0</v>
      </c>
      <c r="E618" s="40">
        <v>1.05</v>
      </c>
      <c r="F618" s="28">
        <f>TRUNC(64.61,2)</f>
        <v>64.61</v>
      </c>
      <c r="G618" s="29">
        <f aca="true" t="shared" si="25" ref="G618:G624">TRUNC(E618*F618,2)</f>
        <v>67.84</v>
      </c>
      <c r="H618" s="29"/>
      <c r="I618" s="30"/>
      <c r="J618" s="30"/>
    </row>
    <row r="619" spans="1:10" s="31" customFormat="1" ht="15">
      <c r="A619" s="27"/>
      <c r="B619" s="39" t="s">
        <v>416</v>
      </c>
      <c r="C619" s="85" t="s">
        <v>502</v>
      </c>
      <c r="D619" s="84" t="s">
        <v>3</v>
      </c>
      <c r="E619" s="40">
        <v>0.1</v>
      </c>
      <c r="F619" s="28">
        <f>TRUNC(32.88,2)</f>
        <v>32.88</v>
      </c>
      <c r="G619" s="29">
        <f t="shared" si="25"/>
        <v>3.28</v>
      </c>
      <c r="H619" s="29"/>
      <c r="I619" s="30"/>
      <c r="J619" s="30"/>
    </row>
    <row r="620" spans="1:10" s="31" customFormat="1" ht="15">
      <c r="A620" s="27"/>
      <c r="B620" s="39" t="s">
        <v>417</v>
      </c>
      <c r="C620" s="85" t="s">
        <v>418</v>
      </c>
      <c r="D620" s="84" t="s">
        <v>3</v>
      </c>
      <c r="E620" s="40">
        <v>0.1</v>
      </c>
      <c r="F620" s="28">
        <f>TRUNC(1.4,2)</f>
        <v>1.4</v>
      </c>
      <c r="G620" s="29">
        <f t="shared" si="25"/>
        <v>0.14</v>
      </c>
      <c r="H620" s="29"/>
      <c r="I620" s="30"/>
      <c r="J620" s="30"/>
    </row>
    <row r="621" spans="1:10" s="31" customFormat="1" ht="30">
      <c r="A621" s="27"/>
      <c r="B621" s="39" t="s">
        <v>32</v>
      </c>
      <c r="C621" s="85" t="s">
        <v>33</v>
      </c>
      <c r="D621" s="84" t="s">
        <v>4</v>
      </c>
      <c r="E621" s="40">
        <v>1.1330000000000002</v>
      </c>
      <c r="F621" s="28">
        <f>TRUNC(16.55,2)</f>
        <v>16.55</v>
      </c>
      <c r="G621" s="29">
        <f t="shared" si="25"/>
        <v>18.75</v>
      </c>
      <c r="H621" s="29"/>
      <c r="I621" s="30"/>
      <c r="J621" s="30"/>
    </row>
    <row r="622" spans="1:10" s="31" customFormat="1" ht="15">
      <c r="A622" s="27"/>
      <c r="B622" s="39" t="s">
        <v>750</v>
      </c>
      <c r="C622" s="85" t="s">
        <v>751</v>
      </c>
      <c r="D622" s="84" t="s">
        <v>4</v>
      </c>
      <c r="E622" s="40">
        <v>1.1330000000000002</v>
      </c>
      <c r="F622" s="28">
        <f>TRUNC(24.61,2)</f>
        <v>24.61</v>
      </c>
      <c r="G622" s="29">
        <f t="shared" si="25"/>
        <v>27.88</v>
      </c>
      <c r="H622" s="29"/>
      <c r="I622" s="30"/>
      <c r="J622" s="30"/>
    </row>
    <row r="623" spans="1:10" s="31" customFormat="1" ht="15">
      <c r="A623" s="27"/>
      <c r="B623" s="39" t="s">
        <v>752</v>
      </c>
      <c r="C623" s="85" t="s">
        <v>753</v>
      </c>
      <c r="D623" s="84" t="s">
        <v>1</v>
      </c>
      <c r="E623" s="40">
        <v>0.035</v>
      </c>
      <c r="F623" s="28">
        <f>TRUNC(410.1515,2)</f>
        <v>410.15</v>
      </c>
      <c r="G623" s="29">
        <f t="shared" si="25"/>
        <v>14.35</v>
      </c>
      <c r="H623" s="29"/>
      <c r="I623" s="30"/>
      <c r="J623" s="30"/>
    </row>
    <row r="624" spans="1:10" s="31" customFormat="1" ht="15">
      <c r="A624" s="27"/>
      <c r="B624" s="39" t="s">
        <v>754</v>
      </c>
      <c r="C624" s="85" t="s">
        <v>755</v>
      </c>
      <c r="D624" s="84" t="s">
        <v>1</v>
      </c>
      <c r="E624" s="40">
        <v>0.002</v>
      </c>
      <c r="F624" s="28">
        <f>TRUNC(740.9185,2)</f>
        <v>740.91</v>
      </c>
      <c r="G624" s="29">
        <f t="shared" si="25"/>
        <v>1.48</v>
      </c>
      <c r="H624" s="29"/>
      <c r="I624" s="30"/>
      <c r="J624" s="30"/>
    </row>
    <row r="625" spans="1:10" s="31" customFormat="1" ht="15">
      <c r="A625" s="27"/>
      <c r="B625" s="39"/>
      <c r="C625" s="85"/>
      <c r="D625" s="84"/>
      <c r="E625" s="40" t="s">
        <v>5</v>
      </c>
      <c r="F625" s="28"/>
      <c r="G625" s="29">
        <f>TRUNC(SUM(G618:G624),2)</f>
        <v>133.72</v>
      </c>
      <c r="H625" s="29"/>
      <c r="I625" s="30"/>
      <c r="J625" s="26">
        <v>62423.840000000004</v>
      </c>
    </row>
    <row r="626" spans="1:10" s="14" customFormat="1" ht="15.75">
      <c r="A626" s="23" t="s">
        <v>23</v>
      </c>
      <c r="B626" s="25"/>
      <c r="C626" s="24"/>
      <c r="D626" s="25"/>
      <c r="E626" s="25"/>
      <c r="F626" s="25"/>
      <c r="G626" s="25" t="s">
        <v>505</v>
      </c>
      <c r="H626" s="26">
        <f>H617+H608+H599+H590+H579+H572</f>
        <v>51066.729999999996</v>
      </c>
      <c r="I626" s="26">
        <f>I617+I608+I599+I590+I579+I572</f>
        <v>63003.88</v>
      </c>
      <c r="J626" s="20"/>
    </row>
    <row r="627" spans="1:10" s="13" customFormat="1" ht="15.75">
      <c r="A627" s="13" t="s">
        <v>506</v>
      </c>
      <c r="B627" s="21"/>
      <c r="C627" s="22" t="s">
        <v>419</v>
      </c>
      <c r="D627" s="22"/>
      <c r="E627" s="22"/>
      <c r="F627" s="22"/>
      <c r="G627" s="22"/>
      <c r="H627" s="22"/>
      <c r="I627" s="20"/>
      <c r="J627" s="48">
        <v>1175.53</v>
      </c>
    </row>
    <row r="628" spans="1:10" s="49" customFormat="1" ht="30">
      <c r="A628" s="41" t="s">
        <v>427</v>
      </c>
      <c r="B628" s="42" t="s">
        <v>756</v>
      </c>
      <c r="C628" s="43" t="s">
        <v>420</v>
      </c>
      <c r="D628" s="44" t="s">
        <v>0</v>
      </c>
      <c r="E628" s="45">
        <v>301.42</v>
      </c>
      <c r="F628" s="46">
        <f>TRUNC(G632,2)</f>
        <v>3.16</v>
      </c>
      <c r="G628" s="47">
        <f>TRUNC(F628*1.2338,2)</f>
        <v>3.89</v>
      </c>
      <c r="H628" s="47">
        <f>TRUNC(F628*E628,2)</f>
        <v>952.48</v>
      </c>
      <c r="I628" s="48">
        <f>TRUNC(E628*G628,2)</f>
        <v>1172.52</v>
      </c>
      <c r="J628" s="30"/>
    </row>
    <row r="629" spans="1:10" s="31" customFormat="1" ht="15">
      <c r="A629" s="27"/>
      <c r="B629" s="39" t="s">
        <v>758</v>
      </c>
      <c r="C629" s="85" t="s">
        <v>421</v>
      </c>
      <c r="D629" s="84" t="s">
        <v>0</v>
      </c>
      <c r="E629" s="40">
        <v>1</v>
      </c>
      <c r="F629" s="28">
        <f>TRUNC(1.7,2)</f>
        <v>1.7</v>
      </c>
      <c r="G629" s="29">
        <f>TRUNC(E629*F629,2)</f>
        <v>1.7</v>
      </c>
      <c r="H629" s="29"/>
      <c r="I629" s="30"/>
      <c r="J629" s="30"/>
    </row>
    <row r="630" spans="1:10" s="31" customFormat="1" ht="15">
      <c r="A630" s="27"/>
      <c r="B630" s="69" t="s">
        <v>721</v>
      </c>
      <c r="C630" s="85" t="s">
        <v>403</v>
      </c>
      <c r="D630" s="84" t="s">
        <v>4</v>
      </c>
      <c r="E630" s="40">
        <v>0.04</v>
      </c>
      <c r="F630" s="28">
        <f>TRUNC(29.96,2)</f>
        <v>29.96</v>
      </c>
      <c r="G630" s="29">
        <f>TRUNC(E630*F630,2)</f>
        <v>1.19</v>
      </c>
      <c r="H630" s="29"/>
      <c r="I630" s="30"/>
      <c r="J630" s="30"/>
    </row>
    <row r="631" spans="1:10" s="31" customFormat="1" ht="15">
      <c r="A631" s="27"/>
      <c r="B631" s="39" t="s">
        <v>41</v>
      </c>
      <c r="C631" s="85" t="s">
        <v>31</v>
      </c>
      <c r="D631" s="84" t="s">
        <v>4</v>
      </c>
      <c r="E631" s="40">
        <v>0.0117</v>
      </c>
      <c r="F631" s="28">
        <f>TRUNC(23.42,2)</f>
        <v>23.42</v>
      </c>
      <c r="G631" s="29">
        <f>TRUNC(E631*F631,2)</f>
        <v>0.27</v>
      </c>
      <c r="H631" s="29"/>
      <c r="I631" s="30"/>
      <c r="J631" s="30"/>
    </row>
    <row r="632" spans="1:10" s="31" customFormat="1" ht="15">
      <c r="A632" s="27"/>
      <c r="B632" s="39"/>
      <c r="C632" s="85"/>
      <c r="D632" s="84"/>
      <c r="E632" s="40" t="s">
        <v>5</v>
      </c>
      <c r="F632" s="28"/>
      <c r="G632" s="29">
        <f>TRUNC(SUM(G629:G631),2)</f>
        <v>3.16</v>
      </c>
      <c r="H632" s="29"/>
      <c r="I632" s="30"/>
      <c r="J632" s="48">
        <v>25124.93</v>
      </c>
    </row>
    <row r="633" spans="1:10" s="49" customFormat="1" ht="15">
      <c r="A633" s="41" t="s">
        <v>428</v>
      </c>
      <c r="B633" s="42" t="s">
        <v>757</v>
      </c>
      <c r="C633" s="43" t="s">
        <v>422</v>
      </c>
      <c r="D633" s="44" t="s">
        <v>3</v>
      </c>
      <c r="E633" s="45">
        <v>820.54</v>
      </c>
      <c r="F633" s="46">
        <f>TRUNC(G639,2)</f>
        <v>23.77</v>
      </c>
      <c r="G633" s="47">
        <f>TRUNC(F633*1.2338,2)</f>
        <v>29.32</v>
      </c>
      <c r="H633" s="47">
        <f>TRUNC(F633*E633,2)</f>
        <v>19504.23</v>
      </c>
      <c r="I633" s="48">
        <f>TRUNC(E633*G633,2)</f>
        <v>24058.23</v>
      </c>
      <c r="J633" s="30"/>
    </row>
    <row r="634" spans="1:10" s="31" customFormat="1" ht="30">
      <c r="A634" s="27"/>
      <c r="B634" s="39" t="s">
        <v>759</v>
      </c>
      <c r="C634" s="85" t="s">
        <v>423</v>
      </c>
      <c r="D634" s="84" t="s">
        <v>3</v>
      </c>
      <c r="E634" s="40">
        <v>0.011</v>
      </c>
      <c r="F634" s="28">
        <f>TRUNC(18.6,2)</f>
        <v>18.6</v>
      </c>
      <c r="G634" s="29">
        <f>TRUNC(E634*F634,2)</f>
        <v>0.2</v>
      </c>
      <c r="H634" s="29"/>
      <c r="I634" s="30"/>
      <c r="J634" s="30"/>
    </row>
    <row r="635" spans="1:10" s="31" customFormat="1" ht="30">
      <c r="A635" s="27"/>
      <c r="B635" s="39" t="s">
        <v>760</v>
      </c>
      <c r="C635" s="85" t="s">
        <v>424</v>
      </c>
      <c r="D635" s="84" t="s">
        <v>2</v>
      </c>
      <c r="E635" s="40">
        <v>0.676</v>
      </c>
      <c r="F635" s="28">
        <f>TRUNC(9.3,2)</f>
        <v>9.3</v>
      </c>
      <c r="G635" s="29">
        <f>TRUNC(E635*F635,2)</f>
        <v>6.28</v>
      </c>
      <c r="H635" s="29"/>
      <c r="I635" s="30"/>
      <c r="J635" s="30"/>
    </row>
    <row r="636" spans="1:10" s="31" customFormat="1" ht="45">
      <c r="A636" s="27"/>
      <c r="B636" s="39" t="s">
        <v>761</v>
      </c>
      <c r="C636" s="85" t="s">
        <v>425</v>
      </c>
      <c r="D636" s="84" t="s">
        <v>0</v>
      </c>
      <c r="E636" s="40">
        <v>0.824</v>
      </c>
      <c r="F636" s="28">
        <f>TRUNC(19.06,2)</f>
        <v>19.06</v>
      </c>
      <c r="G636" s="29">
        <f>TRUNC(E636*F636,2)</f>
        <v>15.7</v>
      </c>
      <c r="H636" s="29"/>
      <c r="I636" s="30"/>
      <c r="J636" s="30"/>
    </row>
    <row r="637" spans="1:10" s="31" customFormat="1" ht="15">
      <c r="A637" s="27"/>
      <c r="B637" s="39" t="s">
        <v>640</v>
      </c>
      <c r="C637" s="85" t="s">
        <v>236</v>
      </c>
      <c r="D637" s="84" t="s">
        <v>4</v>
      </c>
      <c r="E637" s="40">
        <v>0.042</v>
      </c>
      <c r="F637" s="28">
        <f>TRUNC(29.8,2)</f>
        <v>29.8</v>
      </c>
      <c r="G637" s="29">
        <f>TRUNC(E637*F637,2)</f>
        <v>1.25</v>
      </c>
      <c r="H637" s="29"/>
      <c r="I637" s="30"/>
      <c r="J637" s="30"/>
    </row>
    <row r="638" spans="1:10" s="31" customFormat="1" ht="15">
      <c r="A638" s="27"/>
      <c r="B638" s="39" t="s">
        <v>762</v>
      </c>
      <c r="C638" s="85" t="s">
        <v>426</v>
      </c>
      <c r="D638" s="84" t="s">
        <v>4</v>
      </c>
      <c r="E638" s="40">
        <v>0.015</v>
      </c>
      <c r="F638" s="28">
        <f>TRUNC(22.91,2)</f>
        <v>22.91</v>
      </c>
      <c r="G638" s="29">
        <f>TRUNC(E638*F638,2)</f>
        <v>0.34</v>
      </c>
      <c r="H638" s="29"/>
      <c r="I638" s="30"/>
      <c r="J638" s="30"/>
    </row>
    <row r="639" spans="1:10" s="31" customFormat="1" ht="15">
      <c r="A639" s="27"/>
      <c r="B639" s="39"/>
      <c r="C639" s="85"/>
      <c r="D639" s="84"/>
      <c r="E639" s="40" t="s">
        <v>5</v>
      </c>
      <c r="F639" s="28"/>
      <c r="G639" s="29">
        <f>TRUNC(SUM(G634:G638),2)</f>
        <v>23.77</v>
      </c>
      <c r="H639" s="29"/>
      <c r="I639" s="30"/>
      <c r="J639" s="48">
        <v>8339.4</v>
      </c>
    </row>
    <row r="640" spans="1:10" s="49" customFormat="1" ht="45">
      <c r="A640" s="41" t="s">
        <v>429</v>
      </c>
      <c r="B640" s="42" t="s">
        <v>600</v>
      </c>
      <c r="C640" s="43" t="s">
        <v>193</v>
      </c>
      <c r="D640" s="44" t="s">
        <v>1</v>
      </c>
      <c r="E640" s="45">
        <v>14.06</v>
      </c>
      <c r="F640" s="46">
        <f>TRUNC(G644,2)</f>
        <v>482.7</v>
      </c>
      <c r="G640" s="47">
        <f>TRUNC(F640*1.2338,2)</f>
        <v>595.55</v>
      </c>
      <c r="H640" s="47">
        <f>TRUNC(F640*E640,2)</f>
        <v>6786.76</v>
      </c>
      <c r="I640" s="48">
        <f>TRUNC(E640*G640,2)</f>
        <v>8373.43</v>
      </c>
      <c r="J640" s="30"/>
    </row>
    <row r="641" spans="1:10" s="31" customFormat="1" ht="15">
      <c r="A641" s="27"/>
      <c r="B641" s="39" t="s">
        <v>601</v>
      </c>
      <c r="C641" s="85" t="s">
        <v>602</v>
      </c>
      <c r="D641" s="84" t="s">
        <v>1</v>
      </c>
      <c r="E641" s="40">
        <v>1</v>
      </c>
      <c r="F641" s="28">
        <f>TRUNC(122.7432,2)</f>
        <v>122.74</v>
      </c>
      <c r="G641" s="29">
        <f>TRUNC(E641*F641,2)</f>
        <v>122.74</v>
      </c>
      <c r="H641" s="29"/>
      <c r="I641" s="30"/>
      <c r="J641" s="30"/>
    </row>
    <row r="642" spans="1:10" s="31" customFormat="1" ht="15">
      <c r="A642" s="27"/>
      <c r="B642" s="39" t="s">
        <v>558</v>
      </c>
      <c r="C642" s="85" t="s">
        <v>559</v>
      </c>
      <c r="D642" s="84" t="s">
        <v>1</v>
      </c>
      <c r="E642" s="40">
        <v>1</v>
      </c>
      <c r="F642" s="28">
        <f>TRUNC(82.5898,2)</f>
        <v>82.58</v>
      </c>
      <c r="G642" s="29">
        <f>TRUNC(E642*F642,2)</f>
        <v>82.58</v>
      </c>
      <c r="H642" s="29"/>
      <c r="I642" s="30"/>
      <c r="J642" s="30"/>
    </row>
    <row r="643" spans="1:10" s="31" customFormat="1" ht="15">
      <c r="A643" s="27"/>
      <c r="B643" s="39" t="s">
        <v>603</v>
      </c>
      <c r="C643" s="85" t="s">
        <v>604</v>
      </c>
      <c r="D643" s="84" t="s">
        <v>1</v>
      </c>
      <c r="E643" s="40">
        <v>1</v>
      </c>
      <c r="F643" s="28">
        <f>TRUNC(277.3833,2)</f>
        <v>277.38</v>
      </c>
      <c r="G643" s="29">
        <f>TRUNC(E643*F643,2)</f>
        <v>277.38</v>
      </c>
      <c r="H643" s="29"/>
      <c r="I643" s="30"/>
      <c r="J643" s="30"/>
    </row>
    <row r="644" spans="1:10" s="31" customFormat="1" ht="15">
      <c r="A644" s="27"/>
      <c r="B644" s="39"/>
      <c r="C644" s="85"/>
      <c r="D644" s="84"/>
      <c r="E644" s="40" t="s">
        <v>5</v>
      </c>
      <c r="F644" s="28"/>
      <c r="G644" s="29">
        <f>TRUNC(SUM(G641:G643),2)</f>
        <v>482.7</v>
      </c>
      <c r="H644" s="29"/>
      <c r="I644" s="30"/>
      <c r="J644" s="48">
        <v>17767.68</v>
      </c>
    </row>
    <row r="645" spans="1:10" s="49" customFormat="1" ht="45">
      <c r="A645" s="41" t="s">
        <v>430</v>
      </c>
      <c r="B645" s="42" t="s">
        <v>605</v>
      </c>
      <c r="C645" s="43" t="s">
        <v>194</v>
      </c>
      <c r="D645" s="44" t="s">
        <v>1</v>
      </c>
      <c r="E645" s="45">
        <v>27.72</v>
      </c>
      <c r="F645" s="46">
        <f>TRUNC(G651,2)</f>
        <v>519.55</v>
      </c>
      <c r="G645" s="47">
        <f>TRUNC(F645*1.2338,2)</f>
        <v>641.02</v>
      </c>
      <c r="H645" s="47">
        <f>TRUNC(F645*E645,2)</f>
        <v>14401.92</v>
      </c>
      <c r="I645" s="48">
        <f>TRUNC(E645*G645,2)</f>
        <v>17769.07</v>
      </c>
      <c r="J645" s="30"/>
    </row>
    <row r="646" spans="1:10" s="31" customFormat="1" ht="15">
      <c r="A646" s="27"/>
      <c r="B646" s="39" t="s">
        <v>195</v>
      </c>
      <c r="C646" s="85" t="s">
        <v>196</v>
      </c>
      <c r="D646" s="84" t="s">
        <v>21</v>
      </c>
      <c r="E646" s="40">
        <v>1.208865</v>
      </c>
      <c r="F646" s="28">
        <f>TRUNC(59.745,2)</f>
        <v>59.74</v>
      </c>
      <c r="G646" s="29">
        <f>TRUNC(E646*F646,2)</f>
        <v>72.21</v>
      </c>
      <c r="H646" s="29"/>
      <c r="I646" s="30"/>
      <c r="J646" s="30"/>
    </row>
    <row r="647" spans="1:10" s="31" customFormat="1" ht="15">
      <c r="A647" s="27"/>
      <c r="B647" s="39" t="s">
        <v>143</v>
      </c>
      <c r="C647" s="85" t="s">
        <v>144</v>
      </c>
      <c r="D647" s="84" t="s">
        <v>3</v>
      </c>
      <c r="E647" s="40">
        <v>409.5</v>
      </c>
      <c r="F647" s="28">
        <f>TRUNC(0.47,2)</f>
        <v>0.47</v>
      </c>
      <c r="G647" s="29">
        <f>TRUNC(E647*F647,2)</f>
        <v>192.46</v>
      </c>
      <c r="H647" s="29"/>
      <c r="I647" s="30"/>
      <c r="J647" s="30"/>
    </row>
    <row r="648" spans="1:10" s="31" customFormat="1" ht="15">
      <c r="A648" s="27"/>
      <c r="B648" s="39" t="s">
        <v>145</v>
      </c>
      <c r="C648" s="85" t="s">
        <v>146</v>
      </c>
      <c r="D648" s="84" t="s">
        <v>1</v>
      </c>
      <c r="E648" s="40">
        <v>0.6194999999999999</v>
      </c>
      <c r="F648" s="28">
        <f>TRUNC(80,2)</f>
        <v>80</v>
      </c>
      <c r="G648" s="29">
        <f>TRUNC(E648*F648,2)</f>
        <v>49.56</v>
      </c>
      <c r="H648" s="29"/>
      <c r="I648" s="30"/>
      <c r="J648" s="30"/>
    </row>
    <row r="649" spans="1:10" s="31" customFormat="1" ht="15">
      <c r="A649" s="27"/>
      <c r="B649" s="39" t="s">
        <v>601</v>
      </c>
      <c r="C649" s="85" t="s">
        <v>602</v>
      </c>
      <c r="D649" s="84" t="s">
        <v>1</v>
      </c>
      <c r="E649" s="40">
        <v>1</v>
      </c>
      <c r="F649" s="28">
        <f>TRUNC(122.7432,2)</f>
        <v>122.74</v>
      </c>
      <c r="G649" s="29">
        <f>TRUNC(E649*F649,2)</f>
        <v>122.74</v>
      </c>
      <c r="H649" s="29"/>
      <c r="I649" s="30"/>
      <c r="J649" s="30"/>
    </row>
    <row r="650" spans="1:10" s="31" customFormat="1" ht="15">
      <c r="A650" s="27"/>
      <c r="B650" s="39" t="s">
        <v>558</v>
      </c>
      <c r="C650" s="85" t="s">
        <v>559</v>
      </c>
      <c r="D650" s="84" t="s">
        <v>1</v>
      </c>
      <c r="E650" s="40">
        <v>1</v>
      </c>
      <c r="F650" s="28">
        <f>TRUNC(82.5898,2)</f>
        <v>82.58</v>
      </c>
      <c r="G650" s="29">
        <f>TRUNC(E650*F650,2)</f>
        <v>82.58</v>
      </c>
      <c r="H650" s="29"/>
      <c r="I650" s="30"/>
      <c r="J650" s="30"/>
    </row>
    <row r="651" spans="1:10" s="31" customFormat="1" ht="15">
      <c r="A651" s="27"/>
      <c r="B651" s="39"/>
      <c r="C651" s="85"/>
      <c r="D651" s="84"/>
      <c r="E651" s="40" t="s">
        <v>5</v>
      </c>
      <c r="F651" s="28"/>
      <c r="G651" s="29">
        <f>TRUNC(SUM(G646:G650),2)</f>
        <v>519.55</v>
      </c>
      <c r="H651" s="29"/>
      <c r="I651" s="30"/>
      <c r="J651" s="48">
        <v>4860.6</v>
      </c>
    </row>
    <row r="652" spans="1:10" s="49" customFormat="1" ht="30">
      <c r="A652" s="41" t="s">
        <v>431</v>
      </c>
      <c r="B652" s="42" t="s">
        <v>612</v>
      </c>
      <c r="C652" s="43" t="s">
        <v>204</v>
      </c>
      <c r="D652" s="44" t="s">
        <v>0</v>
      </c>
      <c r="E652" s="45">
        <v>50.13</v>
      </c>
      <c r="F652" s="46">
        <f>TRUNC(G663,2)</f>
        <v>79.67</v>
      </c>
      <c r="G652" s="47">
        <f>TRUNC(F652*1.2338,2)</f>
        <v>98.29</v>
      </c>
      <c r="H652" s="47">
        <f>TRUNC(F652*E652,2)</f>
        <v>3993.85</v>
      </c>
      <c r="I652" s="48">
        <f>TRUNC(E652*G652,2)</f>
        <v>4927.27</v>
      </c>
      <c r="J652" s="30"/>
    </row>
    <row r="653" spans="1:10" s="31" customFormat="1" ht="15">
      <c r="A653" s="27"/>
      <c r="B653" s="39" t="s">
        <v>613</v>
      </c>
      <c r="C653" s="85" t="s">
        <v>205</v>
      </c>
      <c r="D653" s="84" t="s">
        <v>3</v>
      </c>
      <c r="E653" s="40">
        <v>0.034</v>
      </c>
      <c r="F653" s="28">
        <f>TRUNC(18.61,2)</f>
        <v>18.61</v>
      </c>
      <c r="G653" s="29">
        <f aca="true" t="shared" si="26" ref="G653:G662">TRUNC(E653*F653,2)</f>
        <v>0.63</v>
      </c>
      <c r="H653" s="29"/>
      <c r="I653" s="30"/>
      <c r="J653" s="30"/>
    </row>
    <row r="654" spans="1:10" s="31" customFormat="1" ht="30">
      <c r="A654" s="27"/>
      <c r="B654" s="39" t="s">
        <v>614</v>
      </c>
      <c r="C654" s="85" t="s">
        <v>206</v>
      </c>
      <c r="D654" s="84" t="s">
        <v>2</v>
      </c>
      <c r="E654" s="40">
        <v>1.008</v>
      </c>
      <c r="F654" s="28">
        <f>TRUNC(26.6,2)</f>
        <v>26.6</v>
      </c>
      <c r="G654" s="29">
        <f t="shared" si="26"/>
        <v>26.81</v>
      </c>
      <c r="H654" s="29"/>
      <c r="I654" s="30"/>
      <c r="J654" s="30"/>
    </row>
    <row r="655" spans="1:10" s="31" customFormat="1" ht="15">
      <c r="A655" s="27"/>
      <c r="B655" s="39" t="s">
        <v>615</v>
      </c>
      <c r="C655" s="85" t="s">
        <v>207</v>
      </c>
      <c r="D655" s="84" t="s">
        <v>3</v>
      </c>
      <c r="E655" s="40">
        <v>0.026</v>
      </c>
      <c r="F655" s="28">
        <f>TRUNC(15.36,2)</f>
        <v>15.36</v>
      </c>
      <c r="G655" s="29">
        <f t="shared" si="26"/>
        <v>0.39</v>
      </c>
      <c r="H655" s="29"/>
      <c r="I655" s="30"/>
      <c r="J655" s="30"/>
    </row>
    <row r="656" spans="1:10" s="31" customFormat="1" ht="15">
      <c r="A656" s="27"/>
      <c r="B656" s="39" t="s">
        <v>616</v>
      </c>
      <c r="C656" s="85" t="s">
        <v>208</v>
      </c>
      <c r="D656" s="84" t="s">
        <v>2</v>
      </c>
      <c r="E656" s="40">
        <v>0.567</v>
      </c>
      <c r="F656" s="28">
        <f>TRUNC(2.14,2)</f>
        <v>2.14</v>
      </c>
      <c r="G656" s="29">
        <f t="shared" si="26"/>
        <v>1.21</v>
      </c>
      <c r="H656" s="29"/>
      <c r="I656" s="30"/>
      <c r="J656" s="30"/>
    </row>
    <row r="657" spans="1:10" s="31" customFormat="1" ht="15">
      <c r="A657" s="27"/>
      <c r="B657" s="39" t="s">
        <v>617</v>
      </c>
      <c r="C657" s="85" t="s">
        <v>209</v>
      </c>
      <c r="D657" s="84" t="s">
        <v>2</v>
      </c>
      <c r="E657" s="40">
        <v>0.605</v>
      </c>
      <c r="F657" s="28">
        <f>TRUNC(6.13,2)</f>
        <v>6.13</v>
      </c>
      <c r="G657" s="29">
        <f t="shared" si="26"/>
        <v>3.7</v>
      </c>
      <c r="H657" s="29"/>
      <c r="I657" s="30"/>
      <c r="J657" s="30"/>
    </row>
    <row r="658" spans="1:10" s="31" customFormat="1" ht="30">
      <c r="A658" s="27"/>
      <c r="B658" s="39" t="s">
        <v>618</v>
      </c>
      <c r="C658" s="85" t="s">
        <v>210</v>
      </c>
      <c r="D658" s="84" t="s">
        <v>137</v>
      </c>
      <c r="E658" s="40">
        <v>0.017</v>
      </c>
      <c r="F658" s="28">
        <f>TRUNC(5.8,2)</f>
        <v>5.8</v>
      </c>
      <c r="G658" s="29">
        <f t="shared" si="26"/>
        <v>0.09</v>
      </c>
      <c r="H658" s="29"/>
      <c r="I658" s="30"/>
      <c r="J658" s="30"/>
    </row>
    <row r="659" spans="1:10" s="31" customFormat="1" ht="15">
      <c r="A659" s="27"/>
      <c r="B659" s="39" t="s">
        <v>619</v>
      </c>
      <c r="C659" s="85" t="s">
        <v>138</v>
      </c>
      <c r="D659" s="84" t="s">
        <v>4</v>
      </c>
      <c r="E659" s="40">
        <v>1.145</v>
      </c>
      <c r="F659" s="28">
        <f>TRUNC(29.7,2)</f>
        <v>29.7</v>
      </c>
      <c r="G659" s="29">
        <f t="shared" si="26"/>
        <v>34</v>
      </c>
      <c r="H659" s="29"/>
      <c r="I659" s="30"/>
      <c r="J659" s="30"/>
    </row>
    <row r="660" spans="1:10" s="31" customFormat="1" ht="15">
      <c r="A660" s="27"/>
      <c r="B660" s="39" t="s">
        <v>620</v>
      </c>
      <c r="C660" s="85" t="s">
        <v>139</v>
      </c>
      <c r="D660" s="84" t="s">
        <v>4</v>
      </c>
      <c r="E660" s="40">
        <v>0.471</v>
      </c>
      <c r="F660" s="28">
        <f>TRUNC(24.91,2)</f>
        <v>24.91</v>
      </c>
      <c r="G660" s="29">
        <f t="shared" si="26"/>
        <v>11.73</v>
      </c>
      <c r="H660" s="29"/>
      <c r="I660" s="30"/>
      <c r="J660" s="30"/>
    </row>
    <row r="661" spans="1:10" s="31" customFormat="1" ht="30">
      <c r="A661" s="27"/>
      <c r="B661" s="39" t="s">
        <v>621</v>
      </c>
      <c r="C661" s="85" t="s">
        <v>622</v>
      </c>
      <c r="D661" s="84" t="s">
        <v>37</v>
      </c>
      <c r="E661" s="40">
        <v>0.014</v>
      </c>
      <c r="F661" s="28">
        <f>TRUNC(34.47,2)</f>
        <v>34.47</v>
      </c>
      <c r="G661" s="29">
        <f t="shared" si="26"/>
        <v>0.48</v>
      </c>
      <c r="H661" s="29"/>
      <c r="I661" s="30"/>
      <c r="J661" s="30"/>
    </row>
    <row r="662" spans="1:10" s="31" customFormat="1" ht="30">
      <c r="A662" s="27"/>
      <c r="B662" s="39" t="s">
        <v>623</v>
      </c>
      <c r="C662" s="85" t="s">
        <v>624</v>
      </c>
      <c r="D662" s="84" t="s">
        <v>22</v>
      </c>
      <c r="E662" s="40">
        <v>0.017</v>
      </c>
      <c r="F662" s="28">
        <f>TRUNC(37.4,2)</f>
        <v>37.4</v>
      </c>
      <c r="G662" s="29">
        <f t="shared" si="26"/>
        <v>0.63</v>
      </c>
      <c r="H662" s="29"/>
      <c r="I662" s="30"/>
      <c r="J662" s="30"/>
    </row>
    <row r="663" spans="1:10" s="31" customFormat="1" ht="15">
      <c r="A663" s="27"/>
      <c r="B663" s="39"/>
      <c r="C663" s="85"/>
      <c r="D663" s="84"/>
      <c r="E663" s="40" t="s">
        <v>5</v>
      </c>
      <c r="F663" s="28"/>
      <c r="G663" s="29">
        <f>TRUNC(SUM(G653:G662),2)</f>
        <v>79.67</v>
      </c>
      <c r="H663" s="29"/>
      <c r="I663" s="30"/>
      <c r="J663" s="26">
        <v>57268.14</v>
      </c>
    </row>
    <row r="664" spans="1:11" s="14" customFormat="1" ht="15.75">
      <c r="A664" s="23" t="s">
        <v>23</v>
      </c>
      <c r="B664" s="25"/>
      <c r="C664" s="24"/>
      <c r="D664" s="25"/>
      <c r="E664" s="25"/>
      <c r="F664" s="25"/>
      <c r="G664" s="25" t="s">
        <v>508</v>
      </c>
      <c r="H664" s="26">
        <f>H652+H645+H640+H633+H628</f>
        <v>45639.24</v>
      </c>
      <c r="I664" s="26">
        <f>I652+I645+I640+I633+I628</f>
        <v>56300.52</v>
      </c>
      <c r="J664" s="20"/>
      <c r="K664" s="14">
        <v>56300.52</v>
      </c>
    </row>
    <row r="665" spans="1:10" s="13" customFormat="1" ht="15.75">
      <c r="A665" s="13" t="s">
        <v>507</v>
      </c>
      <c r="B665" s="21"/>
      <c r="C665" s="22" t="s">
        <v>432</v>
      </c>
      <c r="D665" s="22"/>
      <c r="E665" s="22"/>
      <c r="F665" s="22"/>
      <c r="G665" s="22"/>
      <c r="H665" s="22"/>
      <c r="I665" s="20"/>
      <c r="J665" s="48">
        <v>492.64</v>
      </c>
    </row>
    <row r="666" spans="1:10" s="49" customFormat="1" ht="45">
      <c r="A666" s="41" t="s">
        <v>442</v>
      </c>
      <c r="B666" s="42" t="s">
        <v>763</v>
      </c>
      <c r="C666" s="43" t="s">
        <v>433</v>
      </c>
      <c r="D666" s="44" t="s">
        <v>10</v>
      </c>
      <c r="E666" s="45">
        <v>8</v>
      </c>
      <c r="F666" s="46">
        <f>TRUNC(G672,2)</f>
        <v>49.71</v>
      </c>
      <c r="G666" s="47">
        <f>TRUNC(F666*1.2338,2)</f>
        <v>61.33</v>
      </c>
      <c r="H666" s="47">
        <f>TRUNC(F666*E666,2)</f>
        <v>397.68</v>
      </c>
      <c r="I666" s="48">
        <f>TRUNC(E666*G666,2)</f>
        <v>490.64</v>
      </c>
      <c r="J666" s="30"/>
    </row>
    <row r="667" spans="1:10" s="31" customFormat="1" ht="15">
      <c r="A667" s="27"/>
      <c r="B667" s="39" t="s">
        <v>434</v>
      </c>
      <c r="C667" s="85" t="s">
        <v>435</v>
      </c>
      <c r="D667" s="84" t="s">
        <v>0</v>
      </c>
      <c r="E667" s="40">
        <v>2</v>
      </c>
      <c r="F667" s="28">
        <f>TRUNC(3.9428,2)</f>
        <v>3.94</v>
      </c>
      <c r="G667" s="29">
        <f>TRUNC(E667*F667,2)</f>
        <v>7.88</v>
      </c>
      <c r="H667" s="29"/>
      <c r="I667" s="30"/>
      <c r="J667" s="30"/>
    </row>
    <row r="668" spans="1:10" s="31" customFormat="1" ht="15">
      <c r="A668" s="27"/>
      <c r="B668" s="39" t="s">
        <v>436</v>
      </c>
      <c r="C668" s="85" t="s">
        <v>437</v>
      </c>
      <c r="D668" s="84" t="s">
        <v>10</v>
      </c>
      <c r="E668" s="40">
        <v>22</v>
      </c>
      <c r="F668" s="28">
        <f>TRUNC(0.15,2)</f>
        <v>0.15</v>
      </c>
      <c r="G668" s="29">
        <f>TRUNC(E668*F668,2)</f>
        <v>3.3</v>
      </c>
      <c r="H668" s="29"/>
      <c r="I668" s="30"/>
      <c r="J668" s="30"/>
    </row>
    <row r="669" spans="1:10" s="31" customFormat="1" ht="15">
      <c r="A669" s="27"/>
      <c r="B669" s="39" t="s">
        <v>438</v>
      </c>
      <c r="C669" s="85" t="s">
        <v>439</v>
      </c>
      <c r="D669" s="84" t="s">
        <v>3</v>
      </c>
      <c r="E669" s="40">
        <v>2.025</v>
      </c>
      <c r="F669" s="28">
        <f>TRUNC(10.3937,2)</f>
        <v>10.39</v>
      </c>
      <c r="G669" s="29">
        <f>TRUNC(E669*F669,2)</f>
        <v>21.03</v>
      </c>
      <c r="H669" s="29"/>
      <c r="I669" s="30"/>
      <c r="J669" s="30"/>
    </row>
    <row r="670" spans="1:10" s="31" customFormat="1" ht="15">
      <c r="A670" s="27"/>
      <c r="B670" s="39" t="s">
        <v>440</v>
      </c>
      <c r="C670" s="85" t="s">
        <v>441</v>
      </c>
      <c r="D670" s="84" t="s">
        <v>2</v>
      </c>
      <c r="E670" s="40">
        <v>0.24</v>
      </c>
      <c r="F670" s="28">
        <f>TRUNC(1.94,2)</f>
        <v>1.94</v>
      </c>
      <c r="G670" s="29">
        <f>TRUNC(E670*F670,2)</f>
        <v>0.46</v>
      </c>
      <c r="H670" s="29"/>
      <c r="I670" s="30"/>
      <c r="J670" s="30"/>
    </row>
    <row r="671" spans="1:10" s="31" customFormat="1" ht="30">
      <c r="A671" s="27"/>
      <c r="B671" s="39" t="s">
        <v>32</v>
      </c>
      <c r="C671" s="85" t="s">
        <v>33</v>
      </c>
      <c r="D671" s="84" t="s">
        <v>4</v>
      </c>
      <c r="E671" s="40">
        <v>1.03</v>
      </c>
      <c r="F671" s="28">
        <f>TRUNC(16.55,2)</f>
        <v>16.55</v>
      </c>
      <c r="G671" s="29">
        <f>TRUNC(E671*F671,2)</f>
        <v>17.04</v>
      </c>
      <c r="H671" s="29"/>
      <c r="I671" s="30"/>
      <c r="J671" s="30"/>
    </row>
    <row r="672" spans="1:10" s="31" customFormat="1" ht="15">
      <c r="A672" s="27"/>
      <c r="B672" s="39"/>
      <c r="C672" s="85"/>
      <c r="D672" s="84"/>
      <c r="E672" s="40" t="s">
        <v>5</v>
      </c>
      <c r="F672" s="28"/>
      <c r="G672" s="29">
        <f>TRUNC(SUM(G667:G671),2)</f>
        <v>49.71</v>
      </c>
      <c r="H672" s="29"/>
      <c r="I672" s="30"/>
      <c r="J672" s="48">
        <v>5096.65</v>
      </c>
    </row>
    <row r="673" spans="1:10" s="49" customFormat="1" ht="75">
      <c r="A673" s="41" t="s">
        <v>443</v>
      </c>
      <c r="B673" s="42" t="s">
        <v>764</v>
      </c>
      <c r="C673" s="43" t="s">
        <v>444</v>
      </c>
      <c r="D673" s="44" t="s">
        <v>2</v>
      </c>
      <c r="E673" s="45">
        <v>17.1</v>
      </c>
      <c r="F673" s="46">
        <f>TRUNC(G690,2)</f>
        <v>244.19</v>
      </c>
      <c r="G673" s="47">
        <f>TRUNC(F673*1.2338,2)</f>
        <v>301.28</v>
      </c>
      <c r="H673" s="47">
        <f>TRUNC(F673*E673,2)</f>
        <v>4175.64</v>
      </c>
      <c r="I673" s="48">
        <f>TRUNC(E673*G673,2)</f>
        <v>5151.88</v>
      </c>
      <c r="J673" s="30"/>
    </row>
    <row r="674" spans="1:10" s="31" customFormat="1" ht="15">
      <c r="A674" s="27"/>
      <c r="B674" s="39" t="s">
        <v>377</v>
      </c>
      <c r="C674" s="85" t="s">
        <v>378</v>
      </c>
      <c r="D674" s="84" t="s">
        <v>3</v>
      </c>
      <c r="E674" s="40">
        <v>0</v>
      </c>
      <c r="F674" s="28">
        <f>TRUNC(9.8,2)</f>
        <v>9.8</v>
      </c>
      <c r="G674" s="29">
        <f aca="true" t="shared" si="27" ref="G674:G689">TRUNC(E674*F674,2)</f>
        <v>0</v>
      </c>
      <c r="H674" s="29"/>
      <c r="I674" s="30"/>
      <c r="J674" s="30"/>
    </row>
    <row r="675" spans="1:10" s="31" customFormat="1" ht="15">
      <c r="A675" s="27"/>
      <c r="B675" s="39" t="s">
        <v>445</v>
      </c>
      <c r="C675" s="85" t="s">
        <v>446</v>
      </c>
      <c r="D675" s="84" t="s">
        <v>3</v>
      </c>
      <c r="E675" s="40">
        <v>0</v>
      </c>
      <c r="F675" s="28">
        <f>TRUNC(10.1,2)</f>
        <v>10.1</v>
      </c>
      <c r="G675" s="29">
        <f t="shared" si="27"/>
        <v>0</v>
      </c>
      <c r="H675" s="29"/>
      <c r="I675" s="30"/>
      <c r="J675" s="30"/>
    </row>
    <row r="676" spans="1:10" s="31" customFormat="1" ht="15">
      <c r="A676" s="27"/>
      <c r="B676" s="39" t="s">
        <v>447</v>
      </c>
      <c r="C676" s="85" t="s">
        <v>448</v>
      </c>
      <c r="D676" s="84" t="s">
        <v>3</v>
      </c>
      <c r="E676" s="40">
        <v>0</v>
      </c>
      <c r="F676" s="28">
        <f>TRUNC(10.1,2)</f>
        <v>10.1</v>
      </c>
      <c r="G676" s="29">
        <f t="shared" si="27"/>
        <v>0</v>
      </c>
      <c r="H676" s="29"/>
      <c r="I676" s="30"/>
      <c r="J676" s="30"/>
    </row>
    <row r="677" spans="1:10" s="31" customFormat="1" ht="15">
      <c r="A677" s="27"/>
      <c r="B677" s="39" t="s">
        <v>171</v>
      </c>
      <c r="C677" s="85" t="s">
        <v>172</v>
      </c>
      <c r="D677" s="84" t="s">
        <v>3</v>
      </c>
      <c r="E677" s="40">
        <v>0</v>
      </c>
      <c r="F677" s="28">
        <f>TRUNC(11.9,2)</f>
        <v>11.9</v>
      </c>
      <c r="G677" s="29">
        <f t="shared" si="27"/>
        <v>0</v>
      </c>
      <c r="H677" s="29"/>
      <c r="I677" s="30"/>
      <c r="J677" s="30"/>
    </row>
    <row r="678" spans="1:10" s="31" customFormat="1" ht="15">
      <c r="A678" s="27"/>
      <c r="B678" s="39" t="s">
        <v>159</v>
      </c>
      <c r="C678" s="85" t="s">
        <v>160</v>
      </c>
      <c r="D678" s="84" t="s">
        <v>147</v>
      </c>
      <c r="E678" s="40">
        <v>0.033</v>
      </c>
      <c r="F678" s="28">
        <f>TRUNC(53.56,2)</f>
        <v>53.56</v>
      </c>
      <c r="G678" s="29">
        <f t="shared" si="27"/>
        <v>1.76</v>
      </c>
      <c r="H678" s="29"/>
      <c r="I678" s="30"/>
      <c r="J678" s="30"/>
    </row>
    <row r="679" spans="1:10" s="31" customFormat="1" ht="15">
      <c r="A679" s="27"/>
      <c r="B679" s="39" t="s">
        <v>451</v>
      </c>
      <c r="C679" s="85" t="s">
        <v>452</v>
      </c>
      <c r="D679" s="84" t="s">
        <v>2</v>
      </c>
      <c r="E679" s="40">
        <v>2.2</v>
      </c>
      <c r="F679" s="28">
        <f>TRUNC(59.75,2)</f>
        <v>59.75</v>
      </c>
      <c r="G679" s="29">
        <f t="shared" si="27"/>
        <v>131.45</v>
      </c>
      <c r="H679" s="29"/>
      <c r="I679" s="30"/>
      <c r="J679" s="30"/>
    </row>
    <row r="680" spans="1:10" s="31" customFormat="1" ht="15">
      <c r="A680" s="27"/>
      <c r="B680" s="39" t="s">
        <v>449</v>
      </c>
      <c r="C680" s="85" t="s">
        <v>450</v>
      </c>
      <c r="D680" s="84" t="s">
        <v>147</v>
      </c>
      <c r="E680" s="40">
        <v>0.027</v>
      </c>
      <c r="F680" s="28">
        <f>TRUNC(81.69,2)</f>
        <v>81.69</v>
      </c>
      <c r="G680" s="29">
        <f t="shared" si="27"/>
        <v>2.2</v>
      </c>
      <c r="H680" s="29"/>
      <c r="I680" s="30"/>
      <c r="J680" s="30"/>
    </row>
    <row r="681" spans="1:10" s="31" customFormat="1" ht="30">
      <c r="A681" s="27"/>
      <c r="B681" s="39" t="s">
        <v>32</v>
      </c>
      <c r="C681" s="85" t="s">
        <v>33</v>
      </c>
      <c r="D681" s="84" t="s">
        <v>4</v>
      </c>
      <c r="E681" s="40">
        <v>2.06</v>
      </c>
      <c r="F681" s="28">
        <f>TRUNC(16.55,2)</f>
        <v>16.55</v>
      </c>
      <c r="G681" s="29">
        <f t="shared" si="27"/>
        <v>34.09</v>
      </c>
      <c r="H681" s="29"/>
      <c r="I681" s="30"/>
      <c r="J681" s="30"/>
    </row>
    <row r="682" spans="1:10" s="31" customFormat="1" ht="30">
      <c r="A682" s="27"/>
      <c r="B682" s="39" t="s">
        <v>628</v>
      </c>
      <c r="C682" s="85" t="s">
        <v>629</v>
      </c>
      <c r="D682" s="84" t="s">
        <v>4</v>
      </c>
      <c r="E682" s="40">
        <v>0</v>
      </c>
      <c r="F682" s="28">
        <f>TRUNC(22.86,2)</f>
        <v>22.86</v>
      </c>
      <c r="G682" s="29">
        <f t="shared" si="27"/>
        <v>0</v>
      </c>
      <c r="H682" s="29"/>
      <c r="I682" s="30"/>
      <c r="J682" s="30"/>
    </row>
    <row r="683" spans="1:10" s="31" customFormat="1" ht="15">
      <c r="A683" s="27"/>
      <c r="B683" s="39" t="s">
        <v>34</v>
      </c>
      <c r="C683" s="85" t="s">
        <v>35</v>
      </c>
      <c r="D683" s="84" t="s">
        <v>4</v>
      </c>
      <c r="E683" s="40">
        <v>0.618</v>
      </c>
      <c r="F683" s="28">
        <f>TRUNC(22.86,2)</f>
        <v>22.86</v>
      </c>
      <c r="G683" s="29">
        <f t="shared" si="27"/>
        <v>14.12</v>
      </c>
      <c r="H683" s="29"/>
      <c r="I683" s="30"/>
      <c r="J683" s="30"/>
    </row>
    <row r="684" spans="1:10" s="31" customFormat="1" ht="15">
      <c r="A684" s="27"/>
      <c r="B684" s="39" t="s">
        <v>539</v>
      </c>
      <c r="C684" s="85" t="s">
        <v>540</v>
      </c>
      <c r="D684" s="84" t="s">
        <v>4</v>
      </c>
      <c r="E684" s="40">
        <v>0.4326</v>
      </c>
      <c r="F684" s="28">
        <f>TRUNC(22.86,2)</f>
        <v>22.86</v>
      </c>
      <c r="G684" s="29">
        <f t="shared" si="27"/>
        <v>9.88</v>
      </c>
      <c r="H684" s="29"/>
      <c r="I684" s="30"/>
      <c r="J684" s="30"/>
    </row>
    <row r="685" spans="1:10" s="31" customFormat="1" ht="30">
      <c r="A685" s="27"/>
      <c r="B685" s="39" t="s">
        <v>765</v>
      </c>
      <c r="C685" s="85" t="s">
        <v>766</v>
      </c>
      <c r="D685" s="84" t="s">
        <v>4</v>
      </c>
      <c r="E685" s="40">
        <v>2.06</v>
      </c>
      <c r="F685" s="28">
        <f>TRUNC(24.61,2)</f>
        <v>24.61</v>
      </c>
      <c r="G685" s="29">
        <f t="shared" si="27"/>
        <v>50.69</v>
      </c>
      <c r="H685" s="29"/>
      <c r="I685" s="30"/>
      <c r="J685" s="30"/>
    </row>
    <row r="686" spans="1:10" s="31" customFormat="1" ht="15">
      <c r="A686" s="27"/>
      <c r="B686" s="39" t="s">
        <v>767</v>
      </c>
      <c r="C686" s="85" t="s">
        <v>768</v>
      </c>
      <c r="D686" s="84" t="s">
        <v>1</v>
      </c>
      <c r="E686" s="40">
        <v>0</v>
      </c>
      <c r="F686" s="28">
        <f>TRUNC(90.1659,2)</f>
        <v>90.16</v>
      </c>
      <c r="G686" s="29">
        <f t="shared" si="27"/>
        <v>0</v>
      </c>
      <c r="H686" s="29"/>
      <c r="I686" s="30"/>
      <c r="J686" s="30"/>
    </row>
    <row r="687" spans="1:10" s="31" customFormat="1" ht="15">
      <c r="A687" s="27"/>
      <c r="B687" s="39" t="s">
        <v>649</v>
      </c>
      <c r="C687" s="85" t="s">
        <v>650</v>
      </c>
      <c r="D687" s="84" t="s">
        <v>1</v>
      </c>
      <c r="E687" s="40">
        <v>0</v>
      </c>
      <c r="F687" s="28">
        <f>TRUNC(114.0402,2)</f>
        <v>114.04</v>
      </c>
      <c r="G687" s="29">
        <f t="shared" si="27"/>
        <v>0</v>
      </c>
      <c r="H687" s="29"/>
      <c r="I687" s="30"/>
      <c r="J687" s="30"/>
    </row>
    <row r="688" spans="1:10" s="31" customFormat="1" ht="15">
      <c r="A688" s="27"/>
      <c r="B688" s="39" t="s">
        <v>769</v>
      </c>
      <c r="C688" s="85" t="s">
        <v>770</v>
      </c>
      <c r="D688" s="84" t="s">
        <v>0</v>
      </c>
      <c r="E688" s="40">
        <v>0</v>
      </c>
      <c r="F688" s="28">
        <f>TRUNC(62.2246,2)</f>
        <v>62.22</v>
      </c>
      <c r="G688" s="29">
        <f t="shared" si="27"/>
        <v>0</v>
      </c>
      <c r="H688" s="29"/>
      <c r="I688" s="30"/>
      <c r="J688" s="30"/>
    </row>
    <row r="689" spans="1:10" s="31" customFormat="1" ht="15">
      <c r="A689" s="27"/>
      <c r="B689" s="39" t="s">
        <v>603</v>
      </c>
      <c r="C689" s="85" t="s">
        <v>604</v>
      </c>
      <c r="D689" s="84" t="s">
        <v>1</v>
      </c>
      <c r="E689" s="40">
        <v>0</v>
      </c>
      <c r="F689" s="28">
        <f>TRUNC(277.3833,2)</f>
        <v>277.38</v>
      </c>
      <c r="G689" s="29">
        <f t="shared" si="27"/>
        <v>0</v>
      </c>
      <c r="H689" s="29"/>
      <c r="I689" s="30"/>
      <c r="J689" s="30"/>
    </row>
    <row r="690" spans="1:10" s="31" customFormat="1" ht="15">
      <c r="A690" s="27"/>
      <c r="B690" s="39"/>
      <c r="C690" s="85"/>
      <c r="D690" s="84"/>
      <c r="E690" s="40" t="s">
        <v>5</v>
      </c>
      <c r="F690" s="28"/>
      <c r="G690" s="29">
        <f>TRUNC(SUM(G674:G689),2)</f>
        <v>244.19</v>
      </c>
      <c r="H690" s="29"/>
      <c r="I690" s="30"/>
      <c r="J690" s="26">
        <v>5589.29</v>
      </c>
    </row>
    <row r="691" spans="1:10" s="14" customFormat="1" ht="15.75">
      <c r="A691" s="23" t="s">
        <v>23</v>
      </c>
      <c r="B691" s="25"/>
      <c r="C691" s="24"/>
      <c r="D691" s="25"/>
      <c r="E691" s="25"/>
      <c r="F691" s="25"/>
      <c r="G691" s="25" t="s">
        <v>509</v>
      </c>
      <c r="H691" s="26">
        <f>H673+H666</f>
        <v>4573.320000000001</v>
      </c>
      <c r="I691" s="26">
        <f>I673+I666</f>
        <v>5642.52</v>
      </c>
      <c r="J691" s="20"/>
    </row>
    <row r="692" spans="1:10" s="13" customFormat="1" ht="15.75">
      <c r="A692" s="13" t="s">
        <v>507</v>
      </c>
      <c r="B692" s="21"/>
      <c r="C692" s="22" t="s">
        <v>453</v>
      </c>
      <c r="D692" s="22"/>
      <c r="E692" s="22"/>
      <c r="F692" s="22"/>
      <c r="G692" s="22"/>
      <c r="H692" s="22"/>
      <c r="I692" s="20"/>
      <c r="J692" s="48">
        <v>4226.4</v>
      </c>
    </row>
    <row r="693" spans="1:10" s="49" customFormat="1" ht="30">
      <c r="A693" s="41" t="s">
        <v>454</v>
      </c>
      <c r="B693" s="42" t="s">
        <v>771</v>
      </c>
      <c r="C693" s="43" t="s">
        <v>455</v>
      </c>
      <c r="D693" s="44" t="s">
        <v>1</v>
      </c>
      <c r="E693" s="45">
        <v>16</v>
      </c>
      <c r="F693" s="46">
        <f>TRUNC(G696,2)</f>
        <v>208.22</v>
      </c>
      <c r="G693" s="47">
        <f>TRUNC(F693*1.2338,2)</f>
        <v>256.9</v>
      </c>
      <c r="H693" s="47">
        <f>TRUNC(F693*E693,2)</f>
        <v>3331.52</v>
      </c>
      <c r="I693" s="48">
        <f>TRUNC(E693*G693,2)</f>
        <v>4110.4</v>
      </c>
      <c r="J693" s="30"/>
    </row>
    <row r="694" spans="1:10" s="31" customFormat="1" ht="15">
      <c r="A694" s="27"/>
      <c r="B694" s="39" t="s">
        <v>456</v>
      </c>
      <c r="C694" s="85" t="s">
        <v>457</v>
      </c>
      <c r="D694" s="84" t="s">
        <v>1</v>
      </c>
      <c r="E694" s="40">
        <v>1.155</v>
      </c>
      <c r="F694" s="28">
        <f>TRUNC(150,2)</f>
        <v>150</v>
      </c>
      <c r="G694" s="29">
        <f>TRUNC(E694*F694,2)</f>
        <v>173.25</v>
      </c>
      <c r="H694" s="29"/>
      <c r="I694" s="30"/>
      <c r="J694" s="30"/>
    </row>
    <row r="695" spans="1:10" s="31" customFormat="1" ht="30">
      <c r="A695" s="27"/>
      <c r="B695" s="39" t="s">
        <v>590</v>
      </c>
      <c r="C695" s="85" t="s">
        <v>591</v>
      </c>
      <c r="D695" s="84" t="s">
        <v>4</v>
      </c>
      <c r="E695" s="40">
        <v>2.6780000000000004</v>
      </c>
      <c r="F695" s="28">
        <f>TRUNC(13.06,2)</f>
        <v>13.06</v>
      </c>
      <c r="G695" s="29">
        <f>TRUNC(E695*F695,2)</f>
        <v>34.97</v>
      </c>
      <c r="H695" s="29"/>
      <c r="I695" s="30"/>
      <c r="J695" s="30"/>
    </row>
    <row r="696" spans="1:10" s="31" customFormat="1" ht="15">
      <c r="A696" s="27"/>
      <c r="B696" s="39"/>
      <c r="C696" s="85"/>
      <c r="D696" s="84"/>
      <c r="E696" s="40" t="s">
        <v>5</v>
      </c>
      <c r="F696" s="28"/>
      <c r="G696" s="29">
        <f>TRUNC(SUM(G694:G695),2)</f>
        <v>208.22</v>
      </c>
      <c r="H696" s="29"/>
      <c r="I696" s="30"/>
      <c r="J696" s="48">
        <v>1239.38</v>
      </c>
    </row>
    <row r="697" spans="1:10" s="49" customFormat="1" ht="30">
      <c r="A697" s="41" t="s">
        <v>458</v>
      </c>
      <c r="B697" s="42" t="s">
        <v>772</v>
      </c>
      <c r="C697" s="43" t="s">
        <v>460</v>
      </c>
      <c r="D697" s="44" t="s">
        <v>10</v>
      </c>
      <c r="E697" s="45">
        <v>31</v>
      </c>
      <c r="F697" s="46">
        <f>TRUNC(G700+G707,2)</f>
        <v>34.55</v>
      </c>
      <c r="G697" s="47">
        <f>TRUNC(F697*1.2338,2)</f>
        <v>42.62</v>
      </c>
      <c r="H697" s="47">
        <f>TRUNC(F697*E697,2)</f>
        <v>1071.05</v>
      </c>
      <c r="I697" s="48">
        <f>TRUNC(E697*G697,2)</f>
        <v>1321.22</v>
      </c>
      <c r="J697" s="30"/>
    </row>
    <row r="698" spans="1:10" s="31" customFormat="1" ht="30">
      <c r="A698" s="27"/>
      <c r="B698" s="39" t="s">
        <v>773</v>
      </c>
      <c r="C698" s="85" t="s">
        <v>459</v>
      </c>
      <c r="D698" s="84" t="s">
        <v>10</v>
      </c>
      <c r="E698" s="40">
        <v>1</v>
      </c>
      <c r="F698" s="28">
        <f>TRUNC(12,2)</f>
        <v>12</v>
      </c>
      <c r="G698" s="29">
        <f>TRUNC(E698*F698,2)</f>
        <v>12</v>
      </c>
      <c r="H698" s="29"/>
      <c r="I698" s="30"/>
      <c r="J698" s="30"/>
    </row>
    <row r="699" spans="1:10" s="31" customFormat="1" ht="30">
      <c r="A699" s="27"/>
      <c r="B699" s="39" t="s">
        <v>510</v>
      </c>
      <c r="C699" s="85" t="s">
        <v>511</v>
      </c>
      <c r="D699" s="84" t="s">
        <v>10</v>
      </c>
      <c r="E699" s="40">
        <v>1</v>
      </c>
      <c r="F699" s="28">
        <v>1.1</v>
      </c>
      <c r="G699" s="29">
        <f>TRUNC(E699*F699,2)</f>
        <v>1.1</v>
      </c>
      <c r="H699" s="29"/>
      <c r="I699" s="30"/>
      <c r="J699" s="30"/>
    </row>
    <row r="700" spans="1:10" s="31" customFormat="1" ht="15">
      <c r="A700" s="27"/>
      <c r="B700" s="39"/>
      <c r="C700" s="85"/>
      <c r="D700" s="84"/>
      <c r="E700" s="40" t="s">
        <v>5</v>
      </c>
      <c r="F700" s="28"/>
      <c r="G700" s="29">
        <f>TRUNC(SUM(G699:G699),2)</f>
        <v>1.1</v>
      </c>
      <c r="H700" s="29"/>
      <c r="I700" s="30"/>
      <c r="J700" s="30"/>
    </row>
    <row r="701" spans="1:10" s="31" customFormat="1" ht="60">
      <c r="A701" s="27"/>
      <c r="B701" s="39" t="s">
        <v>774</v>
      </c>
      <c r="C701" s="85" t="s">
        <v>461</v>
      </c>
      <c r="D701" s="84" t="s">
        <v>10</v>
      </c>
      <c r="E701" s="40">
        <v>1</v>
      </c>
      <c r="F701" s="28">
        <f>TRUNC(48.46470683,2)</f>
        <v>48.46</v>
      </c>
      <c r="G701" s="29">
        <f aca="true" t="shared" si="28" ref="G701:G706">TRUNC(E701*F701,2)</f>
        <v>48.46</v>
      </c>
      <c r="H701" s="29"/>
      <c r="I701" s="30"/>
      <c r="J701" s="30"/>
    </row>
    <row r="702" spans="1:10" s="31" customFormat="1" ht="15">
      <c r="A702" s="27"/>
      <c r="B702" s="39" t="s">
        <v>456</v>
      </c>
      <c r="C702" s="85" t="s">
        <v>457</v>
      </c>
      <c r="D702" s="84" t="s">
        <v>1</v>
      </c>
      <c r="E702" s="40">
        <v>0</v>
      </c>
      <c r="F702" s="28">
        <f>TRUNC(150,2)</f>
        <v>150</v>
      </c>
      <c r="G702" s="29">
        <f t="shared" si="28"/>
        <v>0</v>
      </c>
      <c r="H702" s="29"/>
      <c r="I702" s="30"/>
      <c r="J702" s="30"/>
    </row>
    <row r="703" spans="1:10" s="31" customFormat="1" ht="30">
      <c r="A703" s="27"/>
      <c r="B703" s="39" t="s">
        <v>590</v>
      </c>
      <c r="C703" s="85" t="s">
        <v>591</v>
      </c>
      <c r="D703" s="84" t="s">
        <v>4</v>
      </c>
      <c r="E703" s="40">
        <v>2.06</v>
      </c>
      <c r="F703" s="28">
        <f>TRUNC(13.06,2)</f>
        <v>13.06</v>
      </c>
      <c r="G703" s="29">
        <f t="shared" si="28"/>
        <v>26.9</v>
      </c>
      <c r="H703" s="29"/>
      <c r="I703" s="30"/>
      <c r="J703" s="30"/>
    </row>
    <row r="704" spans="1:10" s="31" customFormat="1" ht="15">
      <c r="A704" s="27"/>
      <c r="B704" s="39" t="s">
        <v>46</v>
      </c>
      <c r="C704" s="85" t="s">
        <v>47</v>
      </c>
      <c r="D704" s="84" t="s">
        <v>4</v>
      </c>
      <c r="E704" s="40">
        <v>0.0192</v>
      </c>
      <c r="F704" s="28">
        <f>TRUNC(46.5926,2)</f>
        <v>46.59</v>
      </c>
      <c r="G704" s="29">
        <f t="shared" si="28"/>
        <v>0.89</v>
      </c>
      <c r="H704" s="29"/>
      <c r="I704" s="30"/>
      <c r="J704" s="30"/>
    </row>
    <row r="705" spans="1:10" s="31" customFormat="1" ht="15">
      <c r="A705" s="27"/>
      <c r="B705" s="39" t="s">
        <v>48</v>
      </c>
      <c r="C705" s="85" t="s">
        <v>49</v>
      </c>
      <c r="D705" s="84" t="s">
        <v>4</v>
      </c>
      <c r="E705" s="40">
        <v>0.0287</v>
      </c>
      <c r="F705" s="28">
        <f>TRUNC(144.2693,2)</f>
        <v>144.26</v>
      </c>
      <c r="G705" s="29">
        <f t="shared" si="28"/>
        <v>4.14</v>
      </c>
      <c r="H705" s="29"/>
      <c r="I705" s="30"/>
      <c r="J705" s="30"/>
    </row>
    <row r="706" spans="1:10" s="31" customFormat="1" ht="15">
      <c r="A706" s="27"/>
      <c r="B706" s="39" t="s">
        <v>775</v>
      </c>
      <c r="C706" s="85" t="s">
        <v>776</v>
      </c>
      <c r="D706" s="84" t="s">
        <v>10</v>
      </c>
      <c r="E706" s="40">
        <v>1</v>
      </c>
      <c r="F706" s="28">
        <f>TRUNC(1.526,2)</f>
        <v>1.52</v>
      </c>
      <c r="G706" s="29">
        <f t="shared" si="28"/>
        <v>1.52</v>
      </c>
      <c r="H706" s="29"/>
      <c r="I706" s="30"/>
      <c r="J706" s="30"/>
    </row>
    <row r="707" spans="1:10" s="31" customFormat="1" ht="15">
      <c r="A707" s="27"/>
      <c r="B707" s="39"/>
      <c r="C707" s="85"/>
      <c r="D707" s="84"/>
      <c r="E707" s="40" t="s">
        <v>5</v>
      </c>
      <c r="F707" s="28"/>
      <c r="G707" s="29">
        <f>TRUNC(SUM(G702:G706),2)</f>
        <v>33.45</v>
      </c>
      <c r="H707" s="29"/>
      <c r="I707" s="30"/>
      <c r="J707" s="48">
        <v>260.68</v>
      </c>
    </row>
    <row r="708" spans="1:10" s="49" customFormat="1" ht="30">
      <c r="A708" s="41" t="s">
        <v>462</v>
      </c>
      <c r="B708" s="42" t="s">
        <v>777</v>
      </c>
      <c r="C708" s="43" t="s">
        <v>463</v>
      </c>
      <c r="D708" s="44" t="s">
        <v>10</v>
      </c>
      <c r="E708" s="45">
        <v>7</v>
      </c>
      <c r="F708" s="46">
        <f>TRUNC(G713,2)</f>
        <v>31.87</v>
      </c>
      <c r="G708" s="47">
        <f>TRUNC(F708*1.2338,2)</f>
        <v>39.32</v>
      </c>
      <c r="H708" s="47">
        <f>TRUNC(F708*E708,2)</f>
        <v>223.09</v>
      </c>
      <c r="I708" s="48">
        <f>TRUNC(E708*G708,2)</f>
        <v>275.24</v>
      </c>
      <c r="J708" s="30"/>
    </row>
    <row r="709" spans="1:10" s="31" customFormat="1" ht="30">
      <c r="A709" s="27"/>
      <c r="B709" s="39" t="s">
        <v>778</v>
      </c>
      <c r="C709" s="85" t="s">
        <v>464</v>
      </c>
      <c r="D709" s="84" t="s">
        <v>10</v>
      </c>
      <c r="E709" s="40">
        <v>0</v>
      </c>
      <c r="F709" s="28">
        <f>TRUNC(31.88,2)</f>
        <v>31.88</v>
      </c>
      <c r="G709" s="29">
        <f>TRUNC(E709*F709,2)</f>
        <v>0</v>
      </c>
      <c r="H709" s="29"/>
      <c r="I709" s="30"/>
      <c r="J709" s="30"/>
    </row>
    <row r="710" spans="1:10" s="31" customFormat="1" ht="15">
      <c r="A710" s="27"/>
      <c r="B710" s="81" t="s">
        <v>157</v>
      </c>
      <c r="C710" s="80" t="s">
        <v>466</v>
      </c>
      <c r="D710" s="80" t="s">
        <v>10</v>
      </c>
      <c r="E710" s="40"/>
      <c r="F710" s="28">
        <f>TRUNC(31.88,2)</f>
        <v>31.88</v>
      </c>
      <c r="G710" s="29">
        <f>TRUNC(E710*F710,2)</f>
        <v>0</v>
      </c>
      <c r="H710" s="29"/>
      <c r="I710" s="30"/>
      <c r="J710" s="30"/>
    </row>
    <row r="711" spans="1:10" s="31" customFormat="1" ht="15">
      <c r="A711" s="27"/>
      <c r="B711" s="39" t="s">
        <v>779</v>
      </c>
      <c r="C711" s="85" t="s">
        <v>465</v>
      </c>
      <c r="D711" s="84" t="s">
        <v>4</v>
      </c>
      <c r="E711" s="40">
        <v>0.26</v>
      </c>
      <c r="F711" s="28">
        <f>TRUNC(28.95,2)</f>
        <v>28.95</v>
      </c>
      <c r="G711" s="29">
        <f>TRUNC(E711*F711,2)</f>
        <v>7.52</v>
      </c>
      <c r="H711" s="29"/>
      <c r="I711" s="30"/>
      <c r="J711" s="30"/>
    </row>
    <row r="712" spans="1:10" s="31" customFormat="1" ht="15">
      <c r="A712" s="27"/>
      <c r="B712" s="39" t="s">
        <v>41</v>
      </c>
      <c r="C712" s="85" t="s">
        <v>31</v>
      </c>
      <c r="D712" s="84" t="s">
        <v>4</v>
      </c>
      <c r="E712" s="40">
        <v>1.0401</v>
      </c>
      <c r="F712" s="28">
        <f>TRUNC(23.42,2)</f>
        <v>23.42</v>
      </c>
      <c r="G712" s="29">
        <f>TRUNC(E712*F712,2)</f>
        <v>24.35</v>
      </c>
      <c r="H712" s="29"/>
      <c r="I712" s="30"/>
      <c r="J712" s="30"/>
    </row>
    <row r="713" spans="1:10" s="31" customFormat="1" ht="15">
      <c r="A713" s="27"/>
      <c r="B713" s="39"/>
      <c r="C713" s="85"/>
      <c r="D713" s="84"/>
      <c r="E713" s="40" t="s">
        <v>5</v>
      </c>
      <c r="F713" s="28"/>
      <c r="G713" s="29">
        <f>TRUNC(SUM(G709:G712),2)</f>
        <v>31.87</v>
      </c>
      <c r="H713" s="29"/>
      <c r="I713" s="30"/>
      <c r="J713" s="26">
        <v>5726.46</v>
      </c>
    </row>
    <row r="714" spans="1:10" s="14" customFormat="1" ht="15.75">
      <c r="A714" s="23" t="s">
        <v>23</v>
      </c>
      <c r="B714" s="25"/>
      <c r="C714" s="24"/>
      <c r="D714" s="25"/>
      <c r="E714" s="25"/>
      <c r="F714" s="25"/>
      <c r="G714" s="25" t="s">
        <v>512</v>
      </c>
      <c r="H714" s="26">
        <f>H708+H697+H693</f>
        <v>4625.66</v>
      </c>
      <c r="I714" s="26">
        <f>I708+I697+I693</f>
        <v>5706.86</v>
      </c>
      <c r="J714" s="20"/>
    </row>
    <row r="715" spans="1:10" s="13" customFormat="1" ht="15.75">
      <c r="A715" s="13" t="s">
        <v>513</v>
      </c>
      <c r="B715" s="21"/>
      <c r="C715" s="22" t="s">
        <v>467</v>
      </c>
      <c r="D715" s="22"/>
      <c r="E715" s="22"/>
      <c r="F715" s="22"/>
      <c r="G715" s="22"/>
      <c r="H715" s="22"/>
      <c r="I715" s="20"/>
      <c r="J715" s="48">
        <v>161.71</v>
      </c>
    </row>
    <row r="716" spans="1:10" s="49" customFormat="1" ht="45">
      <c r="A716" s="41" t="s">
        <v>468</v>
      </c>
      <c r="B716" s="42" t="s">
        <v>713</v>
      </c>
      <c r="C716" s="43" t="s">
        <v>393</v>
      </c>
      <c r="D716" s="44" t="s">
        <v>0</v>
      </c>
      <c r="E716" s="45">
        <v>32.67</v>
      </c>
      <c r="F716" s="46">
        <f>TRUNC(G720,2)</f>
        <v>4.11</v>
      </c>
      <c r="G716" s="47">
        <f>TRUNC(F716*1.2338,2)</f>
        <v>5.07</v>
      </c>
      <c r="H716" s="47">
        <f>TRUNC(F716*E716,2)</f>
        <v>134.27</v>
      </c>
      <c r="I716" s="48">
        <f>TRUNC(E716*G716,2)</f>
        <v>165.63</v>
      </c>
      <c r="J716" s="30"/>
    </row>
    <row r="717" spans="1:10" s="31" customFormat="1" ht="15">
      <c r="A717" s="27"/>
      <c r="B717" s="39" t="s">
        <v>41</v>
      </c>
      <c r="C717" s="85" t="s">
        <v>31</v>
      </c>
      <c r="D717" s="84" t="s">
        <v>4</v>
      </c>
      <c r="E717" s="40">
        <v>0.007</v>
      </c>
      <c r="F717" s="28">
        <f>TRUNC(23.42,2)</f>
        <v>23.42</v>
      </c>
      <c r="G717" s="29">
        <f>TRUNC(E717*F717,2)</f>
        <v>0.16</v>
      </c>
      <c r="H717" s="29"/>
      <c r="I717" s="30"/>
      <c r="J717" s="30"/>
    </row>
    <row r="718" spans="1:10" s="31" customFormat="1" ht="15">
      <c r="A718" s="27"/>
      <c r="B718" s="39" t="s">
        <v>646</v>
      </c>
      <c r="C718" s="85" t="s">
        <v>142</v>
      </c>
      <c r="D718" s="84" t="s">
        <v>4</v>
      </c>
      <c r="E718" s="40">
        <v>0.07</v>
      </c>
      <c r="F718" s="28">
        <f>TRUNC(29.96,2)</f>
        <v>29.96</v>
      </c>
      <c r="G718" s="29">
        <f>TRUNC(E718*F718,2)</f>
        <v>2.09</v>
      </c>
      <c r="H718" s="29"/>
      <c r="I718" s="30"/>
      <c r="J718" s="30"/>
    </row>
    <row r="719" spans="1:10" s="31" customFormat="1" ht="45">
      <c r="A719" s="27"/>
      <c r="B719" s="39" t="s">
        <v>714</v>
      </c>
      <c r="C719" s="85" t="s">
        <v>715</v>
      </c>
      <c r="D719" s="84" t="s">
        <v>1</v>
      </c>
      <c r="E719" s="40">
        <v>0.0042</v>
      </c>
      <c r="F719" s="28">
        <f>TRUNC(444.73,2)</f>
        <v>444.73</v>
      </c>
      <c r="G719" s="29">
        <f>TRUNC(E719*F719,2)</f>
        <v>1.86</v>
      </c>
      <c r="H719" s="29"/>
      <c r="I719" s="30"/>
      <c r="J719" s="30"/>
    </row>
    <row r="720" spans="1:10" s="31" customFormat="1" ht="15">
      <c r="A720" s="27"/>
      <c r="B720" s="39"/>
      <c r="C720" s="85"/>
      <c r="D720" s="84"/>
      <c r="E720" s="40" t="s">
        <v>5</v>
      </c>
      <c r="F720" s="28"/>
      <c r="G720" s="29">
        <f>TRUNC(SUM(G717:G719),2)</f>
        <v>4.11</v>
      </c>
      <c r="H720" s="29"/>
      <c r="I720" s="30"/>
      <c r="J720" s="48">
        <v>1383.57</v>
      </c>
    </row>
    <row r="721" spans="1:10" s="49" customFormat="1" ht="60">
      <c r="A721" s="41" t="s">
        <v>514</v>
      </c>
      <c r="B721" s="42" t="s">
        <v>716</v>
      </c>
      <c r="C721" s="43" t="s">
        <v>395</v>
      </c>
      <c r="D721" s="44" t="s">
        <v>0</v>
      </c>
      <c r="E721" s="45">
        <v>32.67</v>
      </c>
      <c r="F721" s="46">
        <f>TRUNC(G725,2)</f>
        <v>35.02</v>
      </c>
      <c r="G721" s="47">
        <f>TRUNC(F721*1.2338,2)</f>
        <v>43.2</v>
      </c>
      <c r="H721" s="47">
        <f>TRUNC(F721*E721,2)</f>
        <v>1144.1</v>
      </c>
      <c r="I721" s="48">
        <f>TRUNC(E721*G721,2)</f>
        <v>1411.34</v>
      </c>
      <c r="J721" s="30"/>
    </row>
    <row r="722" spans="1:10" s="31" customFormat="1" ht="15">
      <c r="A722" s="27"/>
      <c r="B722" s="39" t="s">
        <v>41</v>
      </c>
      <c r="C722" s="85" t="s">
        <v>31</v>
      </c>
      <c r="D722" s="84" t="s">
        <v>4</v>
      </c>
      <c r="E722" s="40">
        <v>0.171</v>
      </c>
      <c r="F722" s="28">
        <f>TRUNC(23.42,2)</f>
        <v>23.42</v>
      </c>
      <c r="G722" s="29">
        <f>TRUNC(E722*F722,2)</f>
        <v>4</v>
      </c>
      <c r="H722" s="29"/>
      <c r="I722" s="30"/>
      <c r="J722" s="30"/>
    </row>
    <row r="723" spans="1:10" s="31" customFormat="1" ht="15">
      <c r="A723" s="27"/>
      <c r="B723" s="39" t="s">
        <v>646</v>
      </c>
      <c r="C723" s="85" t="s">
        <v>142</v>
      </c>
      <c r="D723" s="84" t="s">
        <v>4</v>
      </c>
      <c r="E723" s="40">
        <v>0.47</v>
      </c>
      <c r="F723" s="28">
        <f>TRUNC(29.96,2)</f>
        <v>29.96</v>
      </c>
      <c r="G723" s="29">
        <f>TRUNC(E723*F723,2)</f>
        <v>14.08</v>
      </c>
      <c r="H723" s="29"/>
      <c r="I723" s="30"/>
      <c r="J723" s="30"/>
    </row>
    <row r="724" spans="1:10" s="31" customFormat="1" ht="45">
      <c r="A724" s="27"/>
      <c r="B724" s="39" t="s">
        <v>647</v>
      </c>
      <c r="C724" s="85" t="s">
        <v>648</v>
      </c>
      <c r="D724" s="84" t="s">
        <v>1</v>
      </c>
      <c r="E724" s="40">
        <v>0.0376</v>
      </c>
      <c r="F724" s="28">
        <f>TRUNC(450.79,2)</f>
        <v>450.79</v>
      </c>
      <c r="G724" s="29">
        <f>TRUNC(E724*F724,2)</f>
        <v>16.94</v>
      </c>
      <c r="H724" s="29"/>
      <c r="I724" s="30"/>
      <c r="J724" s="30"/>
    </row>
    <row r="725" spans="1:10" s="31" customFormat="1" ht="15">
      <c r="A725" s="27"/>
      <c r="B725" s="39"/>
      <c r="C725" s="85"/>
      <c r="D725" s="84"/>
      <c r="E725" s="40" t="s">
        <v>5</v>
      </c>
      <c r="F725" s="28"/>
      <c r="G725" s="29">
        <f>TRUNC(SUM(G722:G724),2)</f>
        <v>35.02</v>
      </c>
      <c r="H725" s="29"/>
      <c r="I725" s="30"/>
      <c r="J725" s="26">
        <v>1545.28</v>
      </c>
    </row>
    <row r="726" spans="1:10" s="14" customFormat="1" ht="15.75">
      <c r="A726" s="23" t="s">
        <v>23</v>
      </c>
      <c r="B726" s="25"/>
      <c r="C726" s="24"/>
      <c r="D726" s="25"/>
      <c r="E726" s="25"/>
      <c r="F726" s="25"/>
      <c r="G726" s="25" t="s">
        <v>515</v>
      </c>
      <c r="H726" s="26">
        <f>H716+H721</f>
        <v>1278.37</v>
      </c>
      <c r="I726" s="26">
        <f>I716+I721</f>
        <v>1576.9699999999998</v>
      </c>
      <c r="J726" s="20"/>
    </row>
    <row r="727" spans="1:10" s="13" customFormat="1" ht="15.75">
      <c r="A727" s="13" t="s">
        <v>516</v>
      </c>
      <c r="B727" s="21"/>
      <c r="C727" s="22" t="s">
        <v>469</v>
      </c>
      <c r="D727" s="22"/>
      <c r="E727" s="22"/>
      <c r="F727" s="22"/>
      <c r="G727" s="22"/>
      <c r="H727" s="22"/>
      <c r="I727" s="20"/>
      <c r="J727" s="48">
        <v>12161.71</v>
      </c>
    </row>
    <row r="728" spans="1:10" s="49" customFormat="1" ht="45">
      <c r="A728" s="41" t="s">
        <v>470</v>
      </c>
      <c r="B728" s="42" t="s">
        <v>780</v>
      </c>
      <c r="C728" s="43" t="s">
        <v>471</v>
      </c>
      <c r="D728" s="44" t="s">
        <v>0</v>
      </c>
      <c r="E728" s="45">
        <v>105.8</v>
      </c>
      <c r="F728" s="46">
        <f>TRUNC(G733,2)</f>
        <v>90.03</v>
      </c>
      <c r="G728" s="47">
        <f>TRUNC(F728*1.2338,2)</f>
        <v>111.07</v>
      </c>
      <c r="H728" s="47">
        <f>TRUNC(F728*E728,2)</f>
        <v>9525.17</v>
      </c>
      <c r="I728" s="48">
        <f>TRUNC(E728*G728,2)</f>
        <v>11751.2</v>
      </c>
      <c r="J728" s="30"/>
    </row>
    <row r="729" spans="1:10" s="31" customFormat="1" ht="15">
      <c r="A729" s="27"/>
      <c r="B729" s="39" t="s">
        <v>472</v>
      </c>
      <c r="C729" s="85" t="s">
        <v>473</v>
      </c>
      <c r="D729" s="84" t="s">
        <v>3</v>
      </c>
      <c r="E729" s="40">
        <v>0.27</v>
      </c>
      <c r="F729" s="28">
        <f>TRUNC(291.65,2)</f>
        <v>291.65</v>
      </c>
      <c r="G729" s="29">
        <f>TRUNC(E729*F729,2)</f>
        <v>78.74</v>
      </c>
      <c r="H729" s="29"/>
      <c r="I729" s="30"/>
      <c r="J729" s="30"/>
    </row>
    <row r="730" spans="1:10" s="31" customFormat="1" ht="15">
      <c r="A730" s="27"/>
      <c r="B730" s="39" t="s">
        <v>474</v>
      </c>
      <c r="C730" s="85" t="s">
        <v>475</v>
      </c>
      <c r="D730" s="84" t="s">
        <v>10</v>
      </c>
      <c r="E730" s="40">
        <v>0.5</v>
      </c>
      <c r="F730" s="28">
        <f>TRUNC(0.81,2)</f>
        <v>0.81</v>
      </c>
      <c r="G730" s="29">
        <f>TRUNC(E730*F730,2)</f>
        <v>0.4</v>
      </c>
      <c r="H730" s="29"/>
      <c r="I730" s="30"/>
      <c r="J730" s="30"/>
    </row>
    <row r="731" spans="1:10" s="31" customFormat="1" ht="30">
      <c r="A731" s="27"/>
      <c r="B731" s="39" t="s">
        <v>32</v>
      </c>
      <c r="C731" s="85" t="s">
        <v>33</v>
      </c>
      <c r="D731" s="84" t="s">
        <v>4</v>
      </c>
      <c r="E731" s="40">
        <v>0.1751</v>
      </c>
      <c r="F731" s="28">
        <f>TRUNC(16.55,2)</f>
        <v>16.55</v>
      </c>
      <c r="G731" s="29">
        <f>TRUNC(E731*F731,2)</f>
        <v>2.89</v>
      </c>
      <c r="H731" s="29"/>
      <c r="I731" s="30"/>
      <c r="J731" s="30"/>
    </row>
    <row r="732" spans="1:10" s="31" customFormat="1" ht="15">
      <c r="A732" s="27"/>
      <c r="B732" s="39" t="s">
        <v>539</v>
      </c>
      <c r="C732" s="85" t="s">
        <v>540</v>
      </c>
      <c r="D732" s="84" t="s">
        <v>4</v>
      </c>
      <c r="E732" s="40">
        <v>0.3502</v>
      </c>
      <c r="F732" s="28">
        <f>TRUNC(22.86,2)</f>
        <v>22.86</v>
      </c>
      <c r="G732" s="29">
        <f>TRUNC(E732*F732,2)</f>
        <v>8</v>
      </c>
      <c r="H732" s="29"/>
      <c r="I732" s="30"/>
      <c r="J732" s="30"/>
    </row>
    <row r="733" spans="1:10" s="31" customFormat="1" ht="15">
      <c r="A733" s="27"/>
      <c r="B733" s="39"/>
      <c r="C733" s="85"/>
      <c r="D733" s="84"/>
      <c r="E733" s="40" t="s">
        <v>5</v>
      </c>
      <c r="F733" s="28"/>
      <c r="G733" s="29">
        <f>TRUNC(SUM(G729:G732),2)</f>
        <v>90.03</v>
      </c>
      <c r="H733" s="29"/>
      <c r="I733" s="30"/>
      <c r="J733" s="48">
        <v>1676.3</v>
      </c>
    </row>
    <row r="734" spans="1:10" s="49" customFormat="1" ht="15">
      <c r="A734" s="41" t="s">
        <v>476</v>
      </c>
      <c r="B734" s="42" t="s">
        <v>781</v>
      </c>
      <c r="C734" s="43" t="s">
        <v>478</v>
      </c>
      <c r="D734" s="44" t="s">
        <v>0</v>
      </c>
      <c r="E734" s="45">
        <v>173.71</v>
      </c>
      <c r="F734" s="46">
        <f>TRUNC(G738,2)</f>
        <v>8.3</v>
      </c>
      <c r="G734" s="47">
        <f>TRUNC(F734*1.2338,2)</f>
        <v>10.24</v>
      </c>
      <c r="H734" s="47">
        <f>TRUNC(F734*E734,2)</f>
        <v>1441.79</v>
      </c>
      <c r="I734" s="48">
        <f>TRUNC(E734*G734,2)</f>
        <v>1778.79</v>
      </c>
      <c r="J734" s="30"/>
    </row>
    <row r="735" spans="1:10" s="31" customFormat="1" ht="15">
      <c r="A735" s="27"/>
      <c r="B735" s="76" t="s">
        <v>782</v>
      </c>
      <c r="C735" s="85" t="s">
        <v>477</v>
      </c>
      <c r="D735" s="84" t="s">
        <v>10</v>
      </c>
      <c r="E735" s="40">
        <v>0.041</v>
      </c>
      <c r="F735" s="28">
        <v>0.74</v>
      </c>
      <c r="G735" s="29">
        <f>TRUNC(E735*F735,2)</f>
        <v>0.03</v>
      </c>
      <c r="H735" s="29"/>
      <c r="I735" s="30"/>
      <c r="J735" s="30"/>
    </row>
    <row r="736" spans="1:10" s="31" customFormat="1" ht="15">
      <c r="A736" s="27"/>
      <c r="B736" s="76" t="s">
        <v>41</v>
      </c>
      <c r="C736" s="85" t="s">
        <v>31</v>
      </c>
      <c r="D736" s="84" t="s">
        <v>4</v>
      </c>
      <c r="E736" s="40">
        <v>0.15</v>
      </c>
      <c r="F736" s="28">
        <f>TRUNC(23.42,2)</f>
        <v>23.42</v>
      </c>
      <c r="G736" s="29">
        <f>TRUNC(E736*F736,2)</f>
        <v>3.51</v>
      </c>
      <c r="H736" s="29"/>
      <c r="I736" s="30"/>
      <c r="J736" s="30"/>
    </row>
    <row r="737" spans="1:10" s="31" customFormat="1" ht="15">
      <c r="A737" s="27"/>
      <c r="B737" s="39" t="s">
        <v>646</v>
      </c>
      <c r="C737" s="85" t="s">
        <v>142</v>
      </c>
      <c r="D737" s="84" t="s">
        <v>4</v>
      </c>
      <c r="E737" s="40">
        <v>0.159</v>
      </c>
      <c r="F737" s="28">
        <f>TRUNC(29.96,2)</f>
        <v>29.96</v>
      </c>
      <c r="G737" s="29">
        <f>TRUNC(E737*F737,2)</f>
        <v>4.76</v>
      </c>
      <c r="H737" s="29"/>
      <c r="I737" s="30"/>
      <c r="J737" s="30"/>
    </row>
    <row r="738" spans="1:10" s="31" customFormat="1" ht="15">
      <c r="A738" s="27"/>
      <c r="B738" s="39"/>
      <c r="C738" s="85"/>
      <c r="D738" s="84"/>
      <c r="E738" s="40" t="s">
        <v>5</v>
      </c>
      <c r="F738" s="28"/>
      <c r="G738" s="29">
        <f>TRUNC(SUM(G735:G737),2)</f>
        <v>8.3</v>
      </c>
      <c r="H738" s="29"/>
      <c r="I738" s="30"/>
      <c r="J738" s="26">
        <v>13838.009999999998</v>
      </c>
    </row>
    <row r="739" spans="1:10" s="14" customFormat="1" ht="15.75">
      <c r="A739" s="23" t="s">
        <v>23</v>
      </c>
      <c r="B739" s="25"/>
      <c r="C739" s="24"/>
      <c r="D739" s="25"/>
      <c r="E739" s="25"/>
      <c r="F739" s="25"/>
      <c r="G739" s="25" t="s">
        <v>517</v>
      </c>
      <c r="H739" s="26">
        <f>H728+H734</f>
        <v>10966.96</v>
      </c>
      <c r="I739" s="26">
        <f>I728+I734</f>
        <v>13529.990000000002</v>
      </c>
      <c r="J739" s="20"/>
    </row>
    <row r="740" spans="1:10" s="13" customFormat="1" ht="15.75">
      <c r="A740" s="13" t="s">
        <v>518</v>
      </c>
      <c r="B740" s="21"/>
      <c r="C740" s="22" t="s">
        <v>479</v>
      </c>
      <c r="D740" s="22"/>
      <c r="E740" s="22"/>
      <c r="F740" s="22"/>
      <c r="G740" s="22"/>
      <c r="H740" s="22"/>
      <c r="I740" s="20"/>
      <c r="J740" s="48">
        <v>1004.53</v>
      </c>
    </row>
    <row r="741" spans="1:10" s="49" customFormat="1" ht="15">
      <c r="A741" s="41" t="s">
        <v>480</v>
      </c>
      <c r="B741" s="42" t="s">
        <v>783</v>
      </c>
      <c r="C741" s="43" t="s">
        <v>481</v>
      </c>
      <c r="D741" s="44" t="s">
        <v>1</v>
      </c>
      <c r="E741" s="45">
        <v>29.58</v>
      </c>
      <c r="F741" s="46">
        <f>TRUNC(G744,2)</f>
        <v>28.54</v>
      </c>
      <c r="G741" s="47">
        <f>TRUNC(F741*1.2338,2)</f>
        <v>35.21</v>
      </c>
      <c r="H741" s="47">
        <f>TRUNC(F741*E741,2)</f>
        <v>844.21</v>
      </c>
      <c r="I741" s="48">
        <f>TRUNC(E741*G741,2)</f>
        <v>1041.51</v>
      </c>
      <c r="J741" s="30"/>
    </row>
    <row r="742" spans="1:10" s="31" customFormat="1" ht="15">
      <c r="A742" s="27"/>
      <c r="B742" s="76" t="s">
        <v>41</v>
      </c>
      <c r="C742" s="85" t="s">
        <v>31</v>
      </c>
      <c r="D742" s="84" t="s">
        <v>4</v>
      </c>
      <c r="E742" s="40">
        <v>0.7</v>
      </c>
      <c r="F742" s="28">
        <f>TRUNC(23.42,2)</f>
        <v>23.42</v>
      </c>
      <c r="G742" s="29">
        <f>TRUNC(E742*F742,2)</f>
        <v>16.39</v>
      </c>
      <c r="H742" s="29"/>
      <c r="I742" s="30"/>
      <c r="J742" s="30"/>
    </row>
    <row r="743" spans="1:10" s="31" customFormat="1" ht="45">
      <c r="A743" s="27"/>
      <c r="B743" s="39" t="s">
        <v>784</v>
      </c>
      <c r="C743" s="85" t="s">
        <v>482</v>
      </c>
      <c r="D743" s="84" t="s">
        <v>37</v>
      </c>
      <c r="E743" s="40">
        <v>0.25</v>
      </c>
      <c r="F743" s="28">
        <f>TRUNC(48.62,2)</f>
        <v>48.62</v>
      </c>
      <c r="G743" s="29">
        <f>TRUNC(E743*F743,2)</f>
        <v>12.15</v>
      </c>
      <c r="H743" s="29"/>
      <c r="I743" s="30"/>
      <c r="J743" s="30"/>
    </row>
    <row r="744" spans="1:10" s="31" customFormat="1" ht="15">
      <c r="A744" s="27"/>
      <c r="B744" s="39"/>
      <c r="C744" s="85"/>
      <c r="D744" s="84"/>
      <c r="E744" s="40" t="s">
        <v>5</v>
      </c>
      <c r="F744" s="28"/>
      <c r="G744" s="29">
        <f>TRUNC(SUM(G742:G743),2)</f>
        <v>28.54</v>
      </c>
      <c r="H744" s="29"/>
      <c r="I744" s="30"/>
      <c r="J744" s="48">
        <v>1085.81</v>
      </c>
    </row>
    <row r="745" spans="1:10" s="49" customFormat="1" ht="30">
      <c r="A745" s="41" t="s">
        <v>483</v>
      </c>
      <c r="B745" s="42" t="s">
        <v>582</v>
      </c>
      <c r="C745" s="43" t="s">
        <v>180</v>
      </c>
      <c r="D745" s="44" t="s">
        <v>181</v>
      </c>
      <c r="E745" s="45">
        <v>393.41</v>
      </c>
      <c r="F745" s="46">
        <f>TRUNC(G748,2)</f>
        <v>2.2</v>
      </c>
      <c r="G745" s="47">
        <f>TRUNC(F745*1.2338,2)</f>
        <v>2.71</v>
      </c>
      <c r="H745" s="47">
        <f>TRUNC(F745*E745,2)</f>
        <v>865.5</v>
      </c>
      <c r="I745" s="48">
        <f>TRUNC(E745*G745,2)</f>
        <v>1066.14</v>
      </c>
      <c r="J745" s="30"/>
    </row>
    <row r="746" spans="1:10" s="31" customFormat="1" ht="45">
      <c r="A746" s="27"/>
      <c r="B746" s="39" t="s">
        <v>42</v>
      </c>
      <c r="C746" s="85" t="s">
        <v>43</v>
      </c>
      <c r="D746" s="84" t="s">
        <v>37</v>
      </c>
      <c r="E746" s="40">
        <v>0.006</v>
      </c>
      <c r="F746" s="28">
        <f>TRUNC(47.66,2)</f>
        <v>47.66</v>
      </c>
      <c r="G746" s="29">
        <f>TRUNC(E746*F746,2)</f>
        <v>0.28</v>
      </c>
      <c r="H746" s="29"/>
      <c r="I746" s="30"/>
      <c r="J746" s="30"/>
    </row>
    <row r="747" spans="1:10" s="31" customFormat="1" ht="45">
      <c r="A747" s="27"/>
      <c r="B747" s="39" t="s">
        <v>44</v>
      </c>
      <c r="C747" s="85" t="s">
        <v>45</v>
      </c>
      <c r="D747" s="84" t="s">
        <v>22</v>
      </c>
      <c r="E747" s="40">
        <v>0.0139</v>
      </c>
      <c r="F747" s="28">
        <f>TRUNC(138.3,2)</f>
        <v>138.3</v>
      </c>
      <c r="G747" s="29">
        <f>TRUNC(E747*F747,2)</f>
        <v>1.92</v>
      </c>
      <c r="H747" s="29"/>
      <c r="I747" s="30"/>
      <c r="J747" s="30"/>
    </row>
    <row r="748" spans="1:10" s="31" customFormat="1" ht="15">
      <c r="A748" s="27"/>
      <c r="B748" s="39"/>
      <c r="C748" s="85"/>
      <c r="D748" s="84"/>
      <c r="E748" s="40" t="s">
        <v>5</v>
      </c>
      <c r="F748" s="28"/>
      <c r="G748" s="29">
        <f>TRUNC(SUM(G746:G747),2)</f>
        <v>2.2</v>
      </c>
      <c r="H748" s="29"/>
      <c r="I748" s="30"/>
      <c r="J748" s="48">
        <v>46.73</v>
      </c>
    </row>
    <row r="749" spans="1:10" s="49" customFormat="1" ht="15">
      <c r="A749" s="41" t="s">
        <v>484</v>
      </c>
      <c r="B749" s="42" t="s">
        <v>583</v>
      </c>
      <c r="C749" s="43" t="s">
        <v>182</v>
      </c>
      <c r="D749" s="44" t="s">
        <v>1</v>
      </c>
      <c r="E749" s="45">
        <v>29.58</v>
      </c>
      <c r="F749" s="46">
        <f>TRUNC(G753,2)</f>
        <v>1.28</v>
      </c>
      <c r="G749" s="47">
        <f>TRUNC(F749*1.2338,2)</f>
        <v>1.57</v>
      </c>
      <c r="H749" s="47">
        <f>TRUNC(F749*E749,2)</f>
        <v>37.86</v>
      </c>
      <c r="I749" s="48">
        <f>TRUNC(E749*G749,2)</f>
        <v>46.44</v>
      </c>
      <c r="J749" s="30"/>
    </row>
    <row r="750" spans="1:10" s="31" customFormat="1" ht="15">
      <c r="A750" s="27"/>
      <c r="B750" s="39" t="s">
        <v>41</v>
      </c>
      <c r="C750" s="85" t="s">
        <v>31</v>
      </c>
      <c r="D750" s="84" t="s">
        <v>4</v>
      </c>
      <c r="E750" s="40">
        <v>0.009</v>
      </c>
      <c r="F750" s="28">
        <f>TRUNC(23.42,2)</f>
        <v>23.42</v>
      </c>
      <c r="G750" s="29">
        <f>TRUNC(E750*F750,2)</f>
        <v>0.21</v>
      </c>
      <c r="H750" s="29"/>
      <c r="I750" s="30"/>
      <c r="J750" s="30"/>
    </row>
    <row r="751" spans="1:10" s="31" customFormat="1" ht="30">
      <c r="A751" s="27"/>
      <c r="B751" s="39" t="s">
        <v>584</v>
      </c>
      <c r="C751" s="85" t="s">
        <v>585</v>
      </c>
      <c r="D751" s="84" t="s">
        <v>37</v>
      </c>
      <c r="E751" s="40">
        <v>0.006</v>
      </c>
      <c r="F751" s="28">
        <f>TRUNC(75.15,2)</f>
        <v>75.15</v>
      </c>
      <c r="G751" s="29">
        <f>TRUNC(E751*F751,2)</f>
        <v>0.45</v>
      </c>
      <c r="H751" s="29"/>
      <c r="I751" s="30"/>
      <c r="J751" s="30"/>
    </row>
    <row r="752" spans="1:10" s="31" customFormat="1" ht="30">
      <c r="A752" s="27"/>
      <c r="B752" s="39" t="s">
        <v>586</v>
      </c>
      <c r="C752" s="85" t="s">
        <v>587</v>
      </c>
      <c r="D752" s="84" t="s">
        <v>22</v>
      </c>
      <c r="E752" s="40">
        <v>0.003</v>
      </c>
      <c r="F752" s="28">
        <f>TRUNC(207.29,2)</f>
        <v>207.29</v>
      </c>
      <c r="G752" s="29">
        <f>TRUNC(E752*F752,2)</f>
        <v>0.62</v>
      </c>
      <c r="H752" s="29"/>
      <c r="I752" s="30"/>
      <c r="J752" s="30"/>
    </row>
    <row r="753" spans="1:10" s="31" customFormat="1" ht="15">
      <c r="A753" s="27"/>
      <c r="B753" s="39"/>
      <c r="C753" s="85"/>
      <c r="D753" s="84"/>
      <c r="E753" s="40" t="s">
        <v>5</v>
      </c>
      <c r="F753" s="28"/>
      <c r="G753" s="29">
        <f>TRUNC(SUM(G750:G752),2)</f>
        <v>1.28</v>
      </c>
      <c r="H753" s="29"/>
      <c r="I753" s="30"/>
      <c r="J753" s="26">
        <v>2137.0699999999997</v>
      </c>
    </row>
    <row r="754" spans="1:10" s="14" customFormat="1" ht="15.75">
      <c r="A754" s="23" t="s">
        <v>23</v>
      </c>
      <c r="B754" s="25"/>
      <c r="C754" s="24"/>
      <c r="D754" s="25"/>
      <c r="E754" s="25"/>
      <c r="F754" s="25"/>
      <c r="G754" s="25" t="s">
        <v>519</v>
      </c>
      <c r="H754" s="26">
        <f>H741+H749+H745</f>
        <v>1747.5700000000002</v>
      </c>
      <c r="I754" s="26">
        <f>I741+I749+I745</f>
        <v>2154.09</v>
      </c>
      <c r="J754" s="26">
        <v>531732.65</v>
      </c>
    </row>
    <row r="755" spans="1:10" s="14" customFormat="1" ht="15.75">
      <c r="A755" s="23" t="s">
        <v>23</v>
      </c>
      <c r="B755" s="25"/>
      <c r="C755" s="24"/>
      <c r="D755" s="25"/>
      <c r="E755" s="25"/>
      <c r="F755" s="25"/>
      <c r="G755" s="25" t="s">
        <v>50</v>
      </c>
      <c r="H755" s="26">
        <f>H754+H739+H726+H714+H691+H664+H626+H570+H353+H304+H191+H149+H111</f>
        <v>375171.85000000003</v>
      </c>
      <c r="I755" s="26">
        <f>I754+I739+I726+I714+I691+I664+I626+I570+I353+I304+I191+I149+I111</f>
        <v>462799.98999999993</v>
      </c>
      <c r="J755" s="30"/>
    </row>
    <row r="756" spans="1:10" s="31" customFormat="1" ht="15">
      <c r="A756" s="27"/>
      <c r="B756" s="39"/>
      <c r="C756" s="85"/>
      <c r="D756" s="84"/>
      <c r="E756" s="40"/>
      <c r="F756" s="28"/>
      <c r="G756" s="29"/>
      <c r="H756" s="29"/>
      <c r="I756" s="30"/>
      <c r="J756" s="30"/>
    </row>
    <row r="757" spans="1:10" s="31" customFormat="1" ht="32.25" customHeight="1">
      <c r="A757" s="27"/>
      <c r="B757" s="39"/>
      <c r="C757" s="85"/>
      <c r="D757" s="84"/>
      <c r="E757" s="40"/>
      <c r="F757" s="28"/>
      <c r="G757" s="29"/>
      <c r="H757" s="29"/>
      <c r="I757" s="30"/>
      <c r="J757" s="30"/>
    </row>
    <row r="758" spans="1:10" s="31" customFormat="1" ht="60">
      <c r="A758" s="27"/>
      <c r="B758" s="39" t="s">
        <v>813</v>
      </c>
      <c r="C758" s="85" t="s">
        <v>814</v>
      </c>
      <c r="D758" s="84" t="s">
        <v>10</v>
      </c>
      <c r="E758" s="40">
        <v>1</v>
      </c>
      <c r="F758" s="28">
        <f>TRUNC(1502.78402742,2)</f>
        <v>1502.78</v>
      </c>
      <c r="G758" s="29">
        <f aca="true" t="shared" si="29" ref="G758:G784">TRUNC(E758*F758,2)</f>
        <v>1502.78</v>
      </c>
      <c r="H758" s="29"/>
      <c r="I758" s="30"/>
      <c r="J758" s="30"/>
    </row>
    <row r="759" spans="1:10" s="31" customFormat="1" ht="15">
      <c r="A759" s="27"/>
      <c r="B759" s="39" t="s">
        <v>200</v>
      </c>
      <c r="C759" s="85" t="s">
        <v>201</v>
      </c>
      <c r="D759" s="84" t="s">
        <v>0</v>
      </c>
      <c r="E759" s="40">
        <v>5.31</v>
      </c>
      <c r="F759" s="28">
        <f>TRUNC(37.1961,2)</f>
        <v>37.19</v>
      </c>
      <c r="G759" s="29">
        <f t="shared" si="29"/>
        <v>197.47</v>
      </c>
      <c r="H759" s="29"/>
      <c r="I759" s="30"/>
      <c r="J759" s="30"/>
    </row>
    <row r="760" spans="1:10" s="31" customFormat="1" ht="15">
      <c r="A760" s="27"/>
      <c r="B760" s="39" t="s">
        <v>815</v>
      </c>
      <c r="C760" s="85" t="s">
        <v>816</v>
      </c>
      <c r="D760" s="84" t="s">
        <v>3</v>
      </c>
      <c r="E760" s="40">
        <v>44.34</v>
      </c>
      <c r="F760" s="28">
        <f>TRUNC(0.58,2)</f>
        <v>0.58</v>
      </c>
      <c r="G760" s="29">
        <f t="shared" si="29"/>
        <v>25.71</v>
      </c>
      <c r="H760" s="29"/>
      <c r="I760" s="30"/>
      <c r="J760" s="30"/>
    </row>
    <row r="761" spans="1:10" s="31" customFormat="1" ht="15">
      <c r="A761" s="27"/>
      <c r="B761" s="39" t="s">
        <v>54</v>
      </c>
      <c r="C761" s="85" t="s">
        <v>55</v>
      </c>
      <c r="D761" s="84" t="s">
        <v>2</v>
      </c>
      <c r="E761" s="40">
        <v>0.8</v>
      </c>
      <c r="F761" s="28">
        <f>TRUNC(5.45,2)</f>
        <v>5.45</v>
      </c>
      <c r="G761" s="29">
        <f t="shared" si="29"/>
        <v>4.36</v>
      </c>
      <c r="H761" s="29"/>
      <c r="I761" s="30"/>
      <c r="J761" s="30"/>
    </row>
    <row r="762" spans="1:10" s="31" customFormat="1" ht="15">
      <c r="A762" s="27"/>
      <c r="B762" s="39" t="s">
        <v>143</v>
      </c>
      <c r="C762" s="85" t="s">
        <v>144</v>
      </c>
      <c r="D762" s="84" t="s">
        <v>3</v>
      </c>
      <c r="E762" s="40">
        <v>38.63</v>
      </c>
      <c r="F762" s="28">
        <f>TRUNC(0.47,2)</f>
        <v>0.47</v>
      </c>
      <c r="G762" s="29">
        <f t="shared" si="29"/>
        <v>18.15</v>
      </c>
      <c r="H762" s="29"/>
      <c r="I762" s="30"/>
      <c r="J762" s="30"/>
    </row>
    <row r="763" spans="1:10" s="31" customFormat="1" ht="15">
      <c r="A763" s="27"/>
      <c r="B763" s="39" t="s">
        <v>608</v>
      </c>
      <c r="C763" s="85" t="s">
        <v>609</v>
      </c>
      <c r="D763" s="84" t="s">
        <v>2</v>
      </c>
      <c r="E763" s="40">
        <v>1.168</v>
      </c>
      <c r="F763" s="28">
        <f>TRUNC(6.2736,2)</f>
        <v>6.27</v>
      </c>
      <c r="G763" s="29">
        <f t="shared" si="29"/>
        <v>7.32</v>
      </c>
      <c r="H763" s="29"/>
      <c r="I763" s="30"/>
      <c r="J763" s="30"/>
    </row>
    <row r="764" spans="1:10" s="31" customFormat="1" ht="15">
      <c r="A764" s="27"/>
      <c r="B764" s="39" t="s">
        <v>817</v>
      </c>
      <c r="C764" s="85" t="s">
        <v>818</v>
      </c>
      <c r="D764" s="84" t="s">
        <v>10</v>
      </c>
      <c r="E764" s="40">
        <v>0.2</v>
      </c>
      <c r="F764" s="28">
        <f>TRUNC(5.33,2)</f>
        <v>5.33</v>
      </c>
      <c r="G764" s="29">
        <f t="shared" si="29"/>
        <v>1.06</v>
      </c>
      <c r="H764" s="29"/>
      <c r="I764" s="30"/>
      <c r="J764" s="30"/>
    </row>
    <row r="765" spans="1:10" s="31" customFormat="1" ht="15">
      <c r="A765" s="27"/>
      <c r="B765" s="39" t="s">
        <v>153</v>
      </c>
      <c r="C765" s="85" t="s">
        <v>154</v>
      </c>
      <c r="D765" s="84" t="s">
        <v>2</v>
      </c>
      <c r="E765" s="40">
        <v>0.5</v>
      </c>
      <c r="F765" s="28">
        <f>TRUNC(9.23,2)</f>
        <v>9.23</v>
      </c>
      <c r="G765" s="29">
        <f t="shared" si="29"/>
        <v>4.61</v>
      </c>
      <c r="H765" s="29"/>
      <c r="I765" s="30"/>
      <c r="J765" s="30"/>
    </row>
    <row r="766" spans="1:10" s="31" customFormat="1" ht="30">
      <c r="A766" s="27"/>
      <c r="B766" s="39" t="s">
        <v>52</v>
      </c>
      <c r="C766" s="85" t="s">
        <v>53</v>
      </c>
      <c r="D766" s="84" t="s">
        <v>3</v>
      </c>
      <c r="E766" s="40">
        <v>0.46</v>
      </c>
      <c r="F766" s="28">
        <f>TRUNC(15.94,2)</f>
        <v>15.94</v>
      </c>
      <c r="G766" s="29">
        <f t="shared" si="29"/>
        <v>7.33</v>
      </c>
      <c r="H766" s="29"/>
      <c r="I766" s="30"/>
      <c r="J766" s="30"/>
    </row>
    <row r="767" spans="1:10" s="31" customFormat="1" ht="15">
      <c r="A767" s="27"/>
      <c r="B767" s="39" t="s">
        <v>819</v>
      </c>
      <c r="C767" s="85" t="s">
        <v>820</v>
      </c>
      <c r="D767" s="84" t="s">
        <v>2</v>
      </c>
      <c r="E767" s="40">
        <v>18</v>
      </c>
      <c r="F767" s="28">
        <f>TRUNC(0.7,2)</f>
        <v>0.7</v>
      </c>
      <c r="G767" s="29">
        <f t="shared" si="29"/>
        <v>12.6</v>
      </c>
      <c r="H767" s="29"/>
      <c r="I767" s="30"/>
      <c r="J767" s="30"/>
    </row>
    <row r="768" spans="1:10" s="31" customFormat="1" ht="15">
      <c r="A768" s="27"/>
      <c r="B768" s="39" t="s">
        <v>417</v>
      </c>
      <c r="C768" s="85" t="s">
        <v>418</v>
      </c>
      <c r="D768" s="84" t="s">
        <v>3</v>
      </c>
      <c r="E768" s="40">
        <v>3.55</v>
      </c>
      <c r="F768" s="28">
        <f>TRUNC(1.4,2)</f>
        <v>1.4</v>
      </c>
      <c r="G768" s="29">
        <f t="shared" si="29"/>
        <v>4.97</v>
      </c>
      <c r="H768" s="29"/>
      <c r="I768" s="30"/>
      <c r="J768" s="30"/>
    </row>
    <row r="769" spans="1:10" s="31" customFormat="1" ht="15">
      <c r="A769" s="27"/>
      <c r="B769" s="39" t="s">
        <v>416</v>
      </c>
      <c r="C769" s="85" t="s">
        <v>502</v>
      </c>
      <c r="D769" s="84" t="s">
        <v>3</v>
      </c>
      <c r="E769" s="40">
        <v>1</v>
      </c>
      <c r="F769" s="28">
        <f>TRUNC(32.88,2)</f>
        <v>32.88</v>
      </c>
      <c r="G769" s="29">
        <f t="shared" si="29"/>
        <v>32.88</v>
      </c>
      <c r="H769" s="29"/>
      <c r="I769" s="30"/>
      <c r="J769" s="30"/>
    </row>
    <row r="770" spans="1:10" s="31" customFormat="1" ht="15">
      <c r="A770" s="27"/>
      <c r="B770" s="39" t="s">
        <v>821</v>
      </c>
      <c r="C770" s="85" t="s">
        <v>822</v>
      </c>
      <c r="D770" s="84" t="s">
        <v>3</v>
      </c>
      <c r="E770" s="40">
        <v>4.08</v>
      </c>
      <c r="F770" s="28">
        <f>TRUNC(0.65,2)</f>
        <v>0.65</v>
      </c>
      <c r="G770" s="29">
        <f t="shared" si="29"/>
        <v>2.65</v>
      </c>
      <c r="H770" s="29"/>
      <c r="I770" s="30"/>
      <c r="J770" s="30"/>
    </row>
    <row r="771" spans="1:10" s="31" customFormat="1" ht="30">
      <c r="A771" s="27"/>
      <c r="B771" s="39" t="s">
        <v>823</v>
      </c>
      <c r="C771" s="85" t="s">
        <v>824</v>
      </c>
      <c r="D771" s="84" t="s">
        <v>4</v>
      </c>
      <c r="E771" s="40">
        <v>3.09</v>
      </c>
      <c r="F771" s="28">
        <f>TRUNC(22.86,2)</f>
        <v>22.86</v>
      </c>
      <c r="G771" s="29">
        <f t="shared" si="29"/>
        <v>70.63</v>
      </c>
      <c r="H771" s="29"/>
      <c r="I771" s="30"/>
      <c r="J771" s="30"/>
    </row>
    <row r="772" spans="1:10" s="31" customFormat="1" ht="15">
      <c r="A772" s="27"/>
      <c r="B772" s="39" t="s">
        <v>825</v>
      </c>
      <c r="C772" s="85" t="s">
        <v>826</v>
      </c>
      <c r="D772" s="84" t="s">
        <v>4</v>
      </c>
      <c r="E772" s="40">
        <v>4.7379999999999995</v>
      </c>
      <c r="F772" s="28">
        <f>TRUNC(22.86,2)</f>
        <v>22.86</v>
      </c>
      <c r="G772" s="29">
        <f t="shared" si="29"/>
        <v>108.31</v>
      </c>
      <c r="H772" s="29"/>
      <c r="I772" s="30"/>
      <c r="J772" s="30"/>
    </row>
    <row r="773" spans="1:10" s="31" customFormat="1" ht="30">
      <c r="A773" s="27"/>
      <c r="B773" s="39" t="s">
        <v>566</v>
      </c>
      <c r="C773" s="85" t="s">
        <v>567</v>
      </c>
      <c r="D773" s="84" t="s">
        <v>4</v>
      </c>
      <c r="E773" s="40">
        <v>4.4702</v>
      </c>
      <c r="F773" s="28">
        <f>TRUNC(22.86,2)</f>
        <v>22.86</v>
      </c>
      <c r="G773" s="29">
        <f t="shared" si="29"/>
        <v>102.18</v>
      </c>
      <c r="H773" s="29"/>
      <c r="I773" s="30"/>
      <c r="J773" s="30"/>
    </row>
    <row r="774" spans="1:10" s="31" customFormat="1" ht="30">
      <c r="A774" s="27"/>
      <c r="B774" s="39" t="s">
        <v>32</v>
      </c>
      <c r="C774" s="85" t="s">
        <v>33</v>
      </c>
      <c r="D774" s="84" t="s">
        <v>4</v>
      </c>
      <c r="E774" s="40">
        <v>8.291500000000001</v>
      </c>
      <c r="F774" s="28">
        <f>TRUNC(16.55,2)</f>
        <v>16.55</v>
      </c>
      <c r="G774" s="29">
        <f t="shared" si="29"/>
        <v>137.22</v>
      </c>
      <c r="H774" s="29"/>
      <c r="I774" s="30"/>
      <c r="J774" s="30"/>
    </row>
    <row r="775" spans="1:10" s="31" customFormat="1" ht="15">
      <c r="A775" s="27"/>
      <c r="B775" s="39" t="s">
        <v>34</v>
      </c>
      <c r="C775" s="85" t="s">
        <v>35</v>
      </c>
      <c r="D775" s="84" t="s">
        <v>4</v>
      </c>
      <c r="E775" s="40">
        <v>1.9261000000000001</v>
      </c>
      <c r="F775" s="28">
        <f>TRUNC(22.86,2)</f>
        <v>22.86</v>
      </c>
      <c r="G775" s="29">
        <f t="shared" si="29"/>
        <v>44.03</v>
      </c>
      <c r="H775" s="29"/>
      <c r="I775" s="30"/>
      <c r="J775" s="30"/>
    </row>
    <row r="776" spans="1:10" s="31" customFormat="1" ht="30">
      <c r="A776" s="27"/>
      <c r="B776" s="39" t="s">
        <v>827</v>
      </c>
      <c r="C776" s="85" t="s">
        <v>828</v>
      </c>
      <c r="D776" s="84" t="s">
        <v>4</v>
      </c>
      <c r="E776" s="40">
        <v>2</v>
      </c>
      <c r="F776" s="28">
        <f>TRUNC(89.665,2)</f>
        <v>89.66</v>
      </c>
      <c r="G776" s="29">
        <f t="shared" si="29"/>
        <v>179.32</v>
      </c>
      <c r="H776" s="29"/>
      <c r="I776" s="30"/>
      <c r="J776" s="30"/>
    </row>
    <row r="777" spans="1:10" s="31" customFormat="1" ht="15">
      <c r="A777" s="27"/>
      <c r="B777" s="39" t="s">
        <v>48</v>
      </c>
      <c r="C777" s="85" t="s">
        <v>49</v>
      </c>
      <c r="D777" s="84" t="s">
        <v>4</v>
      </c>
      <c r="E777" s="40">
        <v>0.1724</v>
      </c>
      <c r="F777" s="28">
        <f>TRUNC(144.2693,2)</f>
        <v>144.26</v>
      </c>
      <c r="G777" s="29">
        <f t="shared" si="29"/>
        <v>24.87</v>
      </c>
      <c r="H777" s="29"/>
      <c r="I777" s="30"/>
      <c r="J777" s="30"/>
    </row>
    <row r="778" spans="1:10" s="31" customFormat="1" ht="15">
      <c r="A778" s="27"/>
      <c r="B778" s="39" t="s">
        <v>603</v>
      </c>
      <c r="C778" s="85" t="s">
        <v>604</v>
      </c>
      <c r="D778" s="84" t="s">
        <v>1</v>
      </c>
      <c r="E778" s="40">
        <v>0.269</v>
      </c>
      <c r="F778" s="28">
        <f>TRUNC(277.3833,2)</f>
        <v>277.38</v>
      </c>
      <c r="G778" s="29">
        <f t="shared" si="29"/>
        <v>74.61</v>
      </c>
      <c r="H778" s="29"/>
      <c r="I778" s="30"/>
      <c r="J778" s="30"/>
    </row>
    <row r="779" spans="1:10" s="31" customFormat="1" ht="30">
      <c r="A779" s="27"/>
      <c r="B779" s="39" t="s">
        <v>829</v>
      </c>
      <c r="C779" s="85" t="s">
        <v>830</v>
      </c>
      <c r="D779" s="84" t="s">
        <v>4</v>
      </c>
      <c r="E779" s="40">
        <v>1</v>
      </c>
      <c r="F779" s="28">
        <f>TRUNC(30.4206,2)</f>
        <v>30.42</v>
      </c>
      <c r="G779" s="29">
        <f t="shared" si="29"/>
        <v>30.42</v>
      </c>
      <c r="H779" s="29"/>
      <c r="I779" s="30"/>
      <c r="J779" s="30"/>
    </row>
    <row r="780" spans="1:10" s="31" customFormat="1" ht="15">
      <c r="A780" s="27"/>
      <c r="B780" s="39" t="s">
        <v>649</v>
      </c>
      <c r="C780" s="85" t="s">
        <v>650</v>
      </c>
      <c r="D780" s="84" t="s">
        <v>1</v>
      </c>
      <c r="E780" s="40">
        <v>0.269</v>
      </c>
      <c r="F780" s="28">
        <f>TRUNC(114.0402,2)</f>
        <v>114.04</v>
      </c>
      <c r="G780" s="29">
        <f t="shared" si="29"/>
        <v>30.67</v>
      </c>
      <c r="H780" s="29"/>
      <c r="I780" s="30"/>
      <c r="J780" s="30"/>
    </row>
    <row r="781" spans="1:10" s="31" customFormat="1" ht="15">
      <c r="A781" s="27"/>
      <c r="B781" s="39" t="s">
        <v>831</v>
      </c>
      <c r="C781" s="85" t="s">
        <v>832</v>
      </c>
      <c r="D781" s="84" t="s">
        <v>1</v>
      </c>
      <c r="E781" s="40">
        <v>0.269</v>
      </c>
      <c r="F781" s="28">
        <f>TRUNC(85.1253,2)</f>
        <v>85.12</v>
      </c>
      <c r="G781" s="29">
        <f t="shared" si="29"/>
        <v>22.89</v>
      </c>
      <c r="H781" s="29"/>
      <c r="I781" s="30"/>
      <c r="J781" s="30"/>
    </row>
    <row r="782" spans="1:10" s="31" customFormat="1" ht="15">
      <c r="A782" s="27"/>
      <c r="B782" s="39" t="s">
        <v>833</v>
      </c>
      <c r="C782" s="85" t="s">
        <v>834</v>
      </c>
      <c r="D782" s="84" t="s">
        <v>1</v>
      </c>
      <c r="E782" s="40">
        <v>0.131</v>
      </c>
      <c r="F782" s="28">
        <f>TRUNC(2593.8951,2)</f>
        <v>2593.89</v>
      </c>
      <c r="G782" s="29">
        <f t="shared" si="29"/>
        <v>339.79</v>
      </c>
      <c r="H782" s="29"/>
      <c r="I782" s="30"/>
      <c r="J782" s="30"/>
    </row>
    <row r="783" spans="1:10" s="31" customFormat="1" ht="15">
      <c r="A783" s="27"/>
      <c r="B783" s="39" t="s">
        <v>46</v>
      </c>
      <c r="C783" s="85" t="s">
        <v>47</v>
      </c>
      <c r="D783" s="84" t="s">
        <v>4</v>
      </c>
      <c r="E783" s="40">
        <v>0.36</v>
      </c>
      <c r="F783" s="28">
        <f>TRUNC(46.5926,2)</f>
        <v>46.59</v>
      </c>
      <c r="G783" s="29">
        <f t="shared" si="29"/>
        <v>16.77</v>
      </c>
      <c r="H783" s="29"/>
      <c r="I783" s="30"/>
      <c r="J783" s="30"/>
    </row>
    <row r="784" spans="1:10" s="31" customFormat="1" ht="15">
      <c r="A784" s="27"/>
      <c r="B784" s="39" t="s">
        <v>835</v>
      </c>
      <c r="C784" s="85" t="s">
        <v>836</v>
      </c>
      <c r="D784" s="84" t="s">
        <v>837</v>
      </c>
      <c r="E784" s="40">
        <v>2</v>
      </c>
      <c r="F784" s="28">
        <f>TRUNC(0.9084,2)</f>
        <v>0.9</v>
      </c>
      <c r="G784" s="29">
        <f t="shared" si="29"/>
        <v>1.8</v>
      </c>
      <c r="H784" s="29"/>
      <c r="I784" s="30"/>
      <c r="J784" s="30"/>
    </row>
    <row r="785" spans="1:10" s="31" customFormat="1" ht="15">
      <c r="A785" s="27"/>
      <c r="B785" s="39"/>
      <c r="C785" s="85"/>
      <c r="D785" s="84"/>
      <c r="E785" s="40" t="s">
        <v>5</v>
      </c>
      <c r="F785" s="28"/>
      <c r="G785" s="29">
        <f>TRUNC(SUM(G759:G784),2)</f>
        <v>1502.62</v>
      </c>
      <c r="H785" s="29"/>
      <c r="I785" s="30"/>
      <c r="J785" s="30"/>
    </row>
    <row r="786" spans="1:10" s="31" customFormat="1" ht="15">
      <c r="A786" s="27"/>
      <c r="B786" s="39"/>
      <c r="C786" s="85"/>
      <c r="D786" s="84"/>
      <c r="E786" s="40"/>
      <c r="F786" s="28"/>
      <c r="G786" s="29"/>
      <c r="H786" s="29"/>
      <c r="I786" s="30"/>
      <c r="J786" s="63"/>
    </row>
    <row r="787" spans="1:10" s="31" customFormat="1" ht="15">
      <c r="A787" s="27"/>
      <c r="B787" s="39"/>
      <c r="C787" s="85"/>
      <c r="D787" s="84"/>
      <c r="E787" s="40"/>
      <c r="F787" s="28"/>
      <c r="G787" s="29"/>
      <c r="H787" s="29"/>
      <c r="I787" s="30"/>
      <c r="J787" s="30"/>
    </row>
    <row r="788" spans="1:10" s="31" customFormat="1" ht="15">
      <c r="A788" s="27"/>
      <c r="B788" s="39"/>
      <c r="C788" s="85"/>
      <c r="D788" s="84"/>
      <c r="E788" s="40"/>
      <c r="F788" s="28"/>
      <c r="G788" s="29"/>
      <c r="H788" s="29"/>
      <c r="I788" s="30"/>
      <c r="J788" s="30"/>
    </row>
    <row r="789" spans="1:10" s="31" customFormat="1" ht="15">
      <c r="A789" s="27"/>
      <c r="B789" s="39"/>
      <c r="C789" s="85"/>
      <c r="D789" s="84"/>
      <c r="E789" s="40"/>
      <c r="F789" s="28"/>
      <c r="G789" s="29"/>
      <c r="H789" s="29"/>
      <c r="I789" s="30"/>
      <c r="J789" s="30"/>
    </row>
    <row r="790" spans="1:10" s="31" customFormat="1" ht="15">
      <c r="A790" s="27"/>
      <c r="B790" s="39"/>
      <c r="C790" s="85"/>
      <c r="D790" s="84"/>
      <c r="E790" s="40"/>
      <c r="F790" s="28"/>
      <c r="G790" s="29"/>
      <c r="H790" s="29"/>
      <c r="I790" s="30"/>
      <c r="J790" s="30"/>
    </row>
    <row r="791" spans="1:10" s="55" customFormat="1" ht="15">
      <c r="A791" s="56"/>
      <c r="B791" s="57"/>
      <c r="C791" s="58"/>
      <c r="D791" s="59"/>
      <c r="E791" s="60"/>
      <c r="F791" s="61"/>
      <c r="G791" s="62"/>
      <c r="H791" s="62"/>
      <c r="I791" s="63"/>
      <c r="J791" s="30"/>
    </row>
    <row r="792" spans="1:10" s="31" customFormat="1" ht="15">
      <c r="A792" s="27"/>
      <c r="B792" s="39"/>
      <c r="C792" s="85"/>
      <c r="D792" s="84"/>
      <c r="E792" s="40"/>
      <c r="F792" s="28"/>
      <c r="G792" s="29"/>
      <c r="H792" s="29"/>
      <c r="I792" s="30"/>
      <c r="J792" s="30"/>
    </row>
    <row r="793" spans="1:10" s="31" customFormat="1" ht="15">
      <c r="A793" s="27"/>
      <c r="B793" s="39"/>
      <c r="C793" s="85"/>
      <c r="D793" s="84"/>
      <c r="E793" s="40"/>
      <c r="F793" s="28"/>
      <c r="G793" s="29"/>
      <c r="H793" s="29"/>
      <c r="I793" s="30"/>
      <c r="J793" s="30"/>
    </row>
    <row r="794" spans="1:10" s="31" customFormat="1" ht="15">
      <c r="A794" s="27"/>
      <c r="B794" s="39"/>
      <c r="C794" s="85"/>
      <c r="D794" s="84"/>
      <c r="E794" s="40"/>
      <c r="F794" s="28"/>
      <c r="G794" s="29"/>
      <c r="H794" s="29"/>
      <c r="I794" s="30"/>
      <c r="J794" s="30"/>
    </row>
    <row r="795" spans="1:10" s="31" customFormat="1" ht="15">
      <c r="A795" s="27"/>
      <c r="B795" s="39"/>
      <c r="C795" s="85"/>
      <c r="D795" s="84"/>
      <c r="E795" s="40"/>
      <c r="F795" s="28"/>
      <c r="G795" s="29"/>
      <c r="H795" s="29"/>
      <c r="I795" s="30"/>
      <c r="J795" s="63"/>
    </row>
    <row r="796" spans="1:10" s="31" customFormat="1" ht="15">
      <c r="A796" s="27"/>
      <c r="B796" s="39"/>
      <c r="C796" s="85"/>
      <c r="D796" s="84"/>
      <c r="E796" s="40"/>
      <c r="F796" s="28"/>
      <c r="G796" s="29"/>
      <c r="H796" s="29"/>
      <c r="I796" s="30"/>
      <c r="J796" s="30"/>
    </row>
    <row r="797" spans="1:10" s="31" customFormat="1" ht="15">
      <c r="A797" s="27"/>
      <c r="B797" s="39"/>
      <c r="C797" s="85"/>
      <c r="D797" s="84"/>
      <c r="E797" s="40"/>
      <c r="F797" s="28"/>
      <c r="G797" s="29"/>
      <c r="H797" s="29"/>
      <c r="I797" s="30"/>
      <c r="J797" s="30"/>
    </row>
    <row r="798" spans="1:10" s="31" customFormat="1" ht="15">
      <c r="A798" s="27"/>
      <c r="B798" s="39"/>
      <c r="C798" s="85"/>
      <c r="D798" s="84"/>
      <c r="E798" s="40"/>
      <c r="F798" s="28"/>
      <c r="G798" s="29"/>
      <c r="H798" s="29"/>
      <c r="I798" s="30"/>
      <c r="J798" s="30"/>
    </row>
    <row r="799" spans="1:10" s="31" customFormat="1" ht="15">
      <c r="A799" s="27"/>
      <c r="B799" s="39"/>
      <c r="C799" s="85"/>
      <c r="D799" s="84"/>
      <c r="E799" s="40"/>
      <c r="F799" s="28"/>
      <c r="G799" s="29"/>
      <c r="H799" s="29"/>
      <c r="I799" s="30"/>
      <c r="J799" s="30"/>
    </row>
    <row r="800" spans="1:10" s="55" customFormat="1" ht="15">
      <c r="A800" s="56"/>
      <c r="B800" s="57"/>
      <c r="C800" s="58"/>
      <c r="D800" s="59"/>
      <c r="E800" s="60"/>
      <c r="F800" s="61"/>
      <c r="G800" s="62"/>
      <c r="H800" s="62"/>
      <c r="I800" s="63"/>
      <c r="J800" s="30"/>
    </row>
    <row r="801" spans="1:10" s="31" customFormat="1" ht="15">
      <c r="A801" s="27"/>
      <c r="B801" s="39"/>
      <c r="C801" s="85"/>
      <c r="D801" s="84"/>
      <c r="E801" s="40"/>
      <c r="F801" s="28"/>
      <c r="G801" s="29"/>
      <c r="H801" s="29"/>
      <c r="I801" s="30"/>
      <c r="J801" s="30"/>
    </row>
    <row r="802" spans="1:10" s="31" customFormat="1" ht="15">
      <c r="A802" s="27"/>
      <c r="B802" s="39"/>
      <c r="C802" s="85"/>
      <c r="D802" s="84"/>
      <c r="E802" s="40"/>
      <c r="F802" s="28"/>
      <c r="G802" s="29"/>
      <c r="H802" s="29"/>
      <c r="I802" s="30"/>
      <c r="J802" s="30"/>
    </row>
    <row r="803" spans="1:10" s="31" customFormat="1" ht="15">
      <c r="A803" s="27"/>
      <c r="B803" s="39"/>
      <c r="C803" s="85"/>
      <c r="D803" s="84"/>
      <c r="E803" s="40"/>
      <c r="F803" s="28"/>
      <c r="G803" s="29"/>
      <c r="H803" s="29"/>
      <c r="I803" s="30"/>
      <c r="J803" s="30"/>
    </row>
    <row r="804" spans="1:10" s="31" customFormat="1" ht="15">
      <c r="A804" s="27"/>
      <c r="B804" s="39"/>
      <c r="C804" s="85"/>
      <c r="D804" s="84"/>
      <c r="E804" s="40"/>
      <c r="F804" s="28"/>
      <c r="G804" s="29"/>
      <c r="H804" s="29"/>
      <c r="I804" s="30"/>
      <c r="J804" s="30"/>
    </row>
    <row r="805" spans="1:10" s="31" customFormat="1" ht="15">
      <c r="A805" s="27"/>
      <c r="B805" s="39"/>
      <c r="C805" s="85"/>
      <c r="D805" s="84"/>
      <c r="E805" s="40"/>
      <c r="F805" s="28"/>
      <c r="G805" s="29"/>
      <c r="H805" s="29"/>
      <c r="I805" s="30"/>
      <c r="J805" s="30"/>
    </row>
    <row r="806" spans="1:10" s="31" customFormat="1" ht="15">
      <c r="A806" s="27"/>
      <c r="B806" s="39"/>
      <c r="C806" s="85"/>
      <c r="D806" s="84"/>
      <c r="E806" s="40"/>
      <c r="F806" s="28"/>
      <c r="G806" s="29"/>
      <c r="H806" s="29"/>
      <c r="I806" s="30"/>
      <c r="J806" s="30"/>
    </row>
    <row r="807" spans="1:10" s="31" customFormat="1" ht="15">
      <c r="A807" s="27"/>
      <c r="B807" s="39"/>
      <c r="C807" s="85"/>
      <c r="D807" s="84"/>
      <c r="E807" s="40"/>
      <c r="F807" s="28"/>
      <c r="G807" s="29"/>
      <c r="H807" s="29"/>
      <c r="I807" s="30"/>
      <c r="J807" s="30"/>
    </row>
    <row r="808" spans="1:10" s="31" customFormat="1" ht="15">
      <c r="A808" s="27"/>
      <c r="B808" s="39"/>
      <c r="C808" s="85"/>
      <c r="D808" s="84"/>
      <c r="E808" s="40"/>
      <c r="F808" s="28"/>
      <c r="G808" s="29"/>
      <c r="H808" s="29"/>
      <c r="I808" s="30"/>
      <c r="J808" s="30"/>
    </row>
    <row r="809" spans="1:10" s="31" customFormat="1" ht="15">
      <c r="A809" s="27"/>
      <c r="B809" s="39"/>
      <c r="C809" s="85"/>
      <c r="D809" s="84"/>
      <c r="E809" s="40"/>
      <c r="F809" s="28"/>
      <c r="G809" s="29"/>
      <c r="H809" s="29"/>
      <c r="I809" s="30"/>
      <c r="J809" s="30"/>
    </row>
    <row r="810" spans="1:10" s="31" customFormat="1" ht="15">
      <c r="A810" s="27"/>
      <c r="B810" s="39"/>
      <c r="C810" s="85"/>
      <c r="D810" s="84"/>
      <c r="E810" s="40"/>
      <c r="F810" s="28"/>
      <c r="G810" s="29"/>
      <c r="H810" s="29"/>
      <c r="I810" s="30"/>
      <c r="J810" s="30"/>
    </row>
    <row r="811" spans="1:10" s="31" customFormat="1" ht="15">
      <c r="A811" s="27"/>
      <c r="B811" s="39"/>
      <c r="C811" s="85"/>
      <c r="D811" s="84"/>
      <c r="E811" s="40"/>
      <c r="F811" s="28"/>
      <c r="G811" s="29"/>
      <c r="H811" s="29"/>
      <c r="I811" s="30"/>
      <c r="J811" s="30"/>
    </row>
    <row r="812" spans="1:10" s="31" customFormat="1" ht="15">
      <c r="A812" s="27"/>
      <c r="B812" s="39"/>
      <c r="C812" s="85"/>
      <c r="D812" s="84"/>
      <c r="E812" s="40"/>
      <c r="F812" s="28"/>
      <c r="G812" s="29"/>
      <c r="H812" s="29"/>
      <c r="I812" s="30"/>
      <c r="J812" s="30"/>
    </row>
    <row r="813" spans="1:10" s="31" customFormat="1" ht="15">
      <c r="A813" s="27"/>
      <c r="B813" s="39"/>
      <c r="C813" s="85"/>
      <c r="D813" s="84"/>
      <c r="E813" s="40"/>
      <c r="F813" s="28"/>
      <c r="G813" s="29"/>
      <c r="H813" s="29"/>
      <c r="I813" s="30"/>
      <c r="J813" s="30"/>
    </row>
    <row r="814" spans="1:10" s="31" customFormat="1" ht="15">
      <c r="A814" s="27"/>
      <c r="B814" s="39"/>
      <c r="C814" s="85"/>
      <c r="D814" s="84"/>
      <c r="E814" s="40"/>
      <c r="F814" s="28"/>
      <c r="G814" s="29"/>
      <c r="H814" s="29"/>
      <c r="I814" s="30"/>
      <c r="J814" s="30"/>
    </row>
    <row r="815" spans="1:10" s="31" customFormat="1" ht="15">
      <c r="A815" s="27"/>
      <c r="B815" s="39"/>
      <c r="C815" s="85"/>
      <c r="D815" s="84"/>
      <c r="E815" s="40"/>
      <c r="F815" s="28"/>
      <c r="G815" s="29"/>
      <c r="H815" s="29"/>
      <c r="I815" s="30"/>
      <c r="J815" s="30"/>
    </row>
    <row r="816" spans="1:10" s="31" customFormat="1" ht="15">
      <c r="A816" s="27"/>
      <c r="B816" s="39"/>
      <c r="C816" s="85"/>
      <c r="D816" s="84"/>
      <c r="E816" s="40"/>
      <c r="F816" s="28"/>
      <c r="G816" s="29"/>
      <c r="H816" s="29"/>
      <c r="I816" s="30"/>
      <c r="J816" s="63"/>
    </row>
    <row r="817" spans="1:10" s="31" customFormat="1" ht="15">
      <c r="A817" s="27"/>
      <c r="B817" s="39"/>
      <c r="C817" s="85"/>
      <c r="D817" s="84"/>
      <c r="E817" s="40"/>
      <c r="F817" s="28"/>
      <c r="G817" s="29"/>
      <c r="H817" s="29"/>
      <c r="I817" s="30"/>
      <c r="J817" s="30"/>
    </row>
    <row r="818" spans="1:10" s="31" customFormat="1" ht="15">
      <c r="A818" s="27"/>
      <c r="B818" s="39"/>
      <c r="C818" s="85"/>
      <c r="D818" s="84"/>
      <c r="E818" s="40"/>
      <c r="F818" s="28"/>
      <c r="G818" s="29"/>
      <c r="H818" s="29"/>
      <c r="I818" s="30"/>
      <c r="J818" s="30"/>
    </row>
    <row r="819" spans="1:10" s="31" customFormat="1" ht="15">
      <c r="A819" s="27"/>
      <c r="B819" s="39"/>
      <c r="C819" s="85"/>
      <c r="D819" s="84"/>
      <c r="E819" s="40"/>
      <c r="F819" s="28"/>
      <c r="G819" s="29"/>
      <c r="H819" s="29"/>
      <c r="I819" s="30"/>
      <c r="J819" s="30"/>
    </row>
    <row r="820" spans="1:10" s="31" customFormat="1" ht="15">
      <c r="A820" s="27"/>
      <c r="B820" s="39"/>
      <c r="C820" s="85"/>
      <c r="D820" s="84"/>
      <c r="E820" s="40"/>
      <c r="F820" s="28"/>
      <c r="G820" s="29"/>
      <c r="H820" s="29"/>
      <c r="I820" s="30"/>
      <c r="J820" s="30"/>
    </row>
    <row r="821" spans="1:10" s="55" customFormat="1" ht="15">
      <c r="A821" s="56"/>
      <c r="B821" s="57"/>
      <c r="C821" s="58"/>
      <c r="D821" s="59"/>
      <c r="E821" s="60"/>
      <c r="F821" s="61"/>
      <c r="G821" s="62"/>
      <c r="H821" s="62"/>
      <c r="I821" s="63"/>
      <c r="J821" s="30"/>
    </row>
    <row r="822" spans="1:10" s="31" customFormat="1" ht="15">
      <c r="A822" s="27"/>
      <c r="B822" s="39"/>
      <c r="C822" s="85"/>
      <c r="D822" s="84"/>
      <c r="E822" s="40"/>
      <c r="F822" s="28"/>
      <c r="G822" s="29"/>
      <c r="H822" s="29"/>
      <c r="I822" s="30"/>
      <c r="J822" s="63"/>
    </row>
    <row r="823" spans="1:10" s="31" customFormat="1" ht="15">
      <c r="A823" s="27"/>
      <c r="B823" s="39"/>
      <c r="C823" s="85"/>
      <c r="D823" s="84"/>
      <c r="E823" s="40"/>
      <c r="F823" s="28"/>
      <c r="G823" s="29"/>
      <c r="H823" s="29"/>
      <c r="I823" s="30"/>
      <c r="J823" s="30"/>
    </row>
    <row r="824" spans="1:10" s="31" customFormat="1" ht="15">
      <c r="A824" s="27"/>
      <c r="B824" s="39"/>
      <c r="C824" s="85"/>
      <c r="D824" s="84"/>
      <c r="E824" s="40"/>
      <c r="F824" s="28"/>
      <c r="G824" s="29"/>
      <c r="H824" s="29"/>
      <c r="I824" s="30"/>
      <c r="J824" s="30"/>
    </row>
    <row r="825" spans="1:10" s="31" customFormat="1" ht="15">
      <c r="A825" s="27"/>
      <c r="B825" s="39"/>
      <c r="C825" s="85"/>
      <c r="D825" s="84"/>
      <c r="E825" s="40"/>
      <c r="F825" s="28"/>
      <c r="G825" s="29"/>
      <c r="H825" s="29"/>
      <c r="I825" s="30"/>
      <c r="J825" s="30"/>
    </row>
    <row r="826" spans="1:10" s="31" customFormat="1" ht="15">
      <c r="A826" s="27"/>
      <c r="B826" s="39"/>
      <c r="C826" s="85"/>
      <c r="D826" s="84"/>
      <c r="E826" s="40"/>
      <c r="F826" s="28"/>
      <c r="G826" s="29"/>
      <c r="H826" s="29"/>
      <c r="I826" s="30"/>
      <c r="J826" s="30"/>
    </row>
    <row r="827" spans="1:10" s="55" customFormat="1" ht="15">
      <c r="A827" s="56"/>
      <c r="B827" s="57"/>
      <c r="C827" s="58"/>
      <c r="D827" s="59"/>
      <c r="E827" s="60"/>
      <c r="F827" s="61"/>
      <c r="G827" s="62"/>
      <c r="H827" s="62"/>
      <c r="I827" s="63"/>
      <c r="J827" s="30"/>
    </row>
    <row r="828" spans="1:10" s="31" customFormat="1" ht="15">
      <c r="A828" s="27"/>
      <c r="B828" s="39"/>
      <c r="C828" s="85"/>
      <c r="D828" s="84"/>
      <c r="E828" s="40"/>
      <c r="F828" s="28"/>
      <c r="G828" s="29"/>
      <c r="H828" s="29"/>
      <c r="I828" s="30"/>
      <c r="J828" s="30"/>
    </row>
    <row r="829" spans="1:10" s="31" customFormat="1" ht="15">
      <c r="A829" s="27"/>
      <c r="B829" s="39"/>
      <c r="C829" s="85"/>
      <c r="D829" s="84"/>
      <c r="E829" s="40"/>
      <c r="F829" s="28"/>
      <c r="G829" s="29"/>
      <c r="H829" s="29"/>
      <c r="I829" s="30"/>
      <c r="J829" s="26"/>
    </row>
    <row r="830" spans="1:10" s="31" customFormat="1" ht="15">
      <c r="A830" s="27"/>
      <c r="B830" s="39"/>
      <c r="C830" s="85"/>
      <c r="D830" s="84"/>
      <c r="E830" s="40"/>
      <c r="F830" s="28"/>
      <c r="G830" s="29"/>
      <c r="H830" s="29"/>
      <c r="I830" s="30"/>
      <c r="J830" s="37"/>
    </row>
    <row r="831" spans="1:10" s="31" customFormat="1" ht="15">
      <c r="A831" s="27"/>
      <c r="B831" s="39"/>
      <c r="C831" s="85"/>
      <c r="D831" s="84"/>
      <c r="E831" s="40"/>
      <c r="F831" s="28"/>
      <c r="G831" s="29"/>
      <c r="H831" s="29"/>
      <c r="I831" s="30"/>
      <c r="J831" s="30"/>
    </row>
    <row r="832" spans="1:10" s="31" customFormat="1" ht="15">
      <c r="A832" s="27"/>
      <c r="B832" s="39"/>
      <c r="C832" s="85"/>
      <c r="D832" s="84"/>
      <c r="E832" s="40"/>
      <c r="F832" s="28"/>
      <c r="G832" s="29"/>
      <c r="H832" s="29"/>
      <c r="I832" s="30"/>
      <c r="J832" s="30"/>
    </row>
    <row r="833" spans="1:10" s="31" customFormat="1" ht="15">
      <c r="A833" s="27"/>
      <c r="B833" s="39"/>
      <c r="C833" s="85"/>
      <c r="D833" s="84"/>
      <c r="E833" s="40"/>
      <c r="F833" s="28"/>
      <c r="G833" s="29"/>
      <c r="H833" s="29"/>
      <c r="I833" s="30"/>
      <c r="J833" s="30"/>
    </row>
    <row r="834" spans="1:10" s="14" customFormat="1" ht="15.75">
      <c r="A834" s="23"/>
      <c r="B834" s="25"/>
      <c r="C834" s="24"/>
      <c r="D834" s="25"/>
      <c r="E834" s="25"/>
      <c r="F834" s="25"/>
      <c r="G834" s="25"/>
      <c r="H834" s="26"/>
      <c r="I834" s="26"/>
      <c r="J834" s="30"/>
    </row>
    <row r="835" spans="1:10" s="38" customFormat="1" ht="15.75">
      <c r="A835" s="34"/>
      <c r="B835" s="35"/>
      <c r="C835" s="36"/>
      <c r="D835" s="35"/>
      <c r="E835" s="35"/>
      <c r="F835" s="35"/>
      <c r="G835" s="35"/>
      <c r="H835" s="37"/>
      <c r="I835" s="37"/>
      <c r="J835" s="30"/>
    </row>
    <row r="836" spans="2:10" s="32" customFormat="1" ht="15">
      <c r="B836" s="39"/>
      <c r="F836" s="33"/>
      <c r="G836" s="29"/>
      <c r="H836" s="29"/>
      <c r="I836" s="30"/>
      <c r="J836" s="30"/>
    </row>
    <row r="837" spans="2:10" s="32" customFormat="1" ht="15">
      <c r="B837" s="39"/>
      <c r="F837" s="33"/>
      <c r="G837" s="29"/>
      <c r="H837" s="29"/>
      <c r="I837" s="30"/>
      <c r="J837" s="30"/>
    </row>
    <row r="838" spans="2:10" s="32" customFormat="1" ht="15">
      <c r="B838" s="39"/>
      <c r="F838" s="33"/>
      <c r="G838" s="29"/>
      <c r="H838" s="29"/>
      <c r="I838" s="30"/>
      <c r="J838" s="30"/>
    </row>
    <row r="839" spans="2:10" s="32" customFormat="1" ht="15">
      <c r="B839" s="39"/>
      <c r="F839" s="33"/>
      <c r="G839" s="29"/>
      <c r="H839" s="29"/>
      <c r="I839" s="30"/>
      <c r="J839" s="53"/>
    </row>
    <row r="840" spans="2:10" s="32" customFormat="1" ht="15">
      <c r="B840" s="39"/>
      <c r="F840" s="33"/>
      <c r="G840" s="29"/>
      <c r="H840" s="29"/>
      <c r="I840" s="30"/>
      <c r="J840" s="30"/>
    </row>
    <row r="841" spans="2:10" s="32" customFormat="1" ht="15">
      <c r="B841" s="39"/>
      <c r="F841" s="33"/>
      <c r="G841" s="29"/>
      <c r="H841" s="29"/>
      <c r="I841" s="30"/>
      <c r="J841" s="30"/>
    </row>
    <row r="842" spans="2:10" s="32" customFormat="1" ht="15">
      <c r="B842" s="39"/>
      <c r="F842" s="33"/>
      <c r="G842" s="29"/>
      <c r="H842" s="29"/>
      <c r="I842" s="30"/>
      <c r="J842" s="30"/>
    </row>
    <row r="843" spans="2:10" s="32" customFormat="1" ht="15">
      <c r="B843" s="39"/>
      <c r="F843" s="33"/>
      <c r="G843" s="29"/>
      <c r="H843" s="29"/>
      <c r="I843" s="30"/>
      <c r="J843" s="30"/>
    </row>
    <row r="844" spans="2:10" s="50" customFormat="1" ht="15">
      <c r="B844" s="39"/>
      <c r="F844" s="51"/>
      <c r="G844" s="52"/>
      <c r="H844" s="52"/>
      <c r="I844" s="53"/>
      <c r="J844" s="30"/>
    </row>
    <row r="845" spans="2:10" s="32" customFormat="1" ht="15">
      <c r="B845" s="39"/>
      <c r="F845" s="33"/>
      <c r="G845" s="29"/>
      <c r="H845" s="29"/>
      <c r="I845" s="30"/>
      <c r="J845" s="30"/>
    </row>
    <row r="846" spans="2:10" s="32" customFormat="1" ht="15">
      <c r="B846" s="39"/>
      <c r="F846" s="33"/>
      <c r="G846" s="29"/>
      <c r="H846" s="29"/>
      <c r="I846" s="30"/>
      <c r="J846" s="30"/>
    </row>
    <row r="847" spans="2:10" s="32" customFormat="1" ht="15">
      <c r="B847" s="39"/>
      <c r="F847" s="33"/>
      <c r="G847" s="29"/>
      <c r="H847" s="29"/>
      <c r="I847" s="30"/>
      <c r="J847" s="53"/>
    </row>
    <row r="848" spans="2:10" s="32" customFormat="1" ht="15">
      <c r="B848" s="39"/>
      <c r="F848" s="33"/>
      <c r="G848" s="29"/>
      <c r="H848" s="29"/>
      <c r="I848" s="30"/>
      <c r="J848" s="30"/>
    </row>
    <row r="849" spans="2:10" s="32" customFormat="1" ht="15">
      <c r="B849" s="39"/>
      <c r="F849" s="33"/>
      <c r="G849" s="29"/>
      <c r="H849" s="29"/>
      <c r="I849" s="30"/>
      <c r="J849" s="30"/>
    </row>
    <row r="850" spans="2:10" s="32" customFormat="1" ht="15">
      <c r="B850" s="39"/>
      <c r="F850" s="33"/>
      <c r="G850" s="29"/>
      <c r="H850" s="29"/>
      <c r="I850" s="30"/>
      <c r="J850" s="30"/>
    </row>
    <row r="851" spans="2:10" s="32" customFormat="1" ht="15">
      <c r="B851" s="39"/>
      <c r="F851" s="33"/>
      <c r="G851" s="29"/>
      <c r="H851" s="29"/>
      <c r="I851" s="30"/>
      <c r="J851" s="30"/>
    </row>
    <row r="852" spans="2:10" s="50" customFormat="1" ht="15">
      <c r="B852" s="39"/>
      <c r="F852" s="51"/>
      <c r="G852" s="52"/>
      <c r="H852" s="52"/>
      <c r="I852" s="53"/>
      <c r="J852" s="30"/>
    </row>
    <row r="853" spans="2:10" s="32" customFormat="1" ht="15">
      <c r="B853" s="39"/>
      <c r="F853" s="33"/>
      <c r="G853" s="29"/>
      <c r="H853" s="29"/>
      <c r="I853" s="30"/>
      <c r="J853" s="30"/>
    </row>
    <row r="854" spans="2:10" s="32" customFormat="1" ht="15">
      <c r="B854" s="39"/>
      <c r="F854" s="33"/>
      <c r="G854" s="29"/>
      <c r="H854" s="29"/>
      <c r="I854" s="30"/>
      <c r="J854" s="30"/>
    </row>
    <row r="855" spans="2:10" s="32" customFormat="1" ht="15">
      <c r="B855" s="39"/>
      <c r="F855" s="33"/>
      <c r="G855" s="29"/>
      <c r="H855" s="29"/>
      <c r="I855" s="30"/>
      <c r="J855" s="30"/>
    </row>
    <row r="856" spans="2:10" s="32" customFormat="1" ht="15">
      <c r="B856" s="39"/>
      <c r="F856" s="33"/>
      <c r="G856" s="29"/>
      <c r="H856" s="29"/>
      <c r="I856" s="30"/>
      <c r="J856" s="30"/>
    </row>
    <row r="857" spans="2:10" s="32" customFormat="1" ht="15">
      <c r="B857" s="39"/>
      <c r="F857" s="33"/>
      <c r="G857" s="29"/>
      <c r="H857" s="29"/>
      <c r="I857" s="30"/>
      <c r="J857" s="30"/>
    </row>
    <row r="858" spans="2:10" s="32" customFormat="1" ht="15">
      <c r="B858" s="39"/>
      <c r="F858" s="33"/>
      <c r="G858" s="29"/>
      <c r="H858" s="29"/>
      <c r="I858" s="30"/>
      <c r="J858" s="30"/>
    </row>
    <row r="859" spans="2:10" s="32" customFormat="1" ht="15">
      <c r="B859" s="39"/>
      <c r="F859" s="33"/>
      <c r="G859" s="29"/>
      <c r="H859" s="29"/>
      <c r="I859" s="30"/>
      <c r="J859" s="30"/>
    </row>
    <row r="860" spans="2:10" s="32" customFormat="1" ht="15">
      <c r="B860" s="39"/>
      <c r="F860" s="33"/>
      <c r="G860" s="29"/>
      <c r="H860" s="29"/>
      <c r="I860" s="30"/>
      <c r="J860" s="30"/>
    </row>
    <row r="861" spans="2:10" s="32" customFormat="1" ht="15">
      <c r="B861" s="39"/>
      <c r="F861" s="33"/>
      <c r="G861" s="29"/>
      <c r="H861" s="29"/>
      <c r="I861" s="30"/>
      <c r="J861" s="30"/>
    </row>
    <row r="862" spans="2:10" s="32" customFormat="1" ht="15">
      <c r="B862" s="39"/>
      <c r="F862" s="33"/>
      <c r="G862" s="29"/>
      <c r="H862" s="29"/>
      <c r="I862" s="30"/>
      <c r="J862" s="30"/>
    </row>
    <row r="863" spans="2:10" s="32" customFormat="1" ht="15">
      <c r="B863" s="39"/>
      <c r="F863" s="33"/>
      <c r="G863" s="29"/>
      <c r="H863" s="29"/>
      <c r="I863" s="30"/>
      <c r="J863" s="30"/>
    </row>
    <row r="864" spans="2:10" s="32" customFormat="1" ht="15">
      <c r="B864" s="39"/>
      <c r="F864" s="33"/>
      <c r="G864" s="29"/>
      <c r="H864" s="29"/>
      <c r="I864" s="30"/>
      <c r="J864" s="30"/>
    </row>
    <row r="865" spans="2:10" s="32" customFormat="1" ht="15">
      <c r="B865" s="39"/>
      <c r="F865" s="33"/>
      <c r="G865" s="29"/>
      <c r="H865" s="29"/>
      <c r="I865" s="30"/>
      <c r="J865" s="30"/>
    </row>
    <row r="866" spans="2:10" s="32" customFormat="1" ht="15">
      <c r="B866" s="39"/>
      <c r="F866" s="33"/>
      <c r="G866" s="29"/>
      <c r="H866" s="29"/>
      <c r="I866" s="30"/>
      <c r="J866" s="30"/>
    </row>
    <row r="867" spans="2:10" s="32" customFormat="1" ht="15">
      <c r="B867" s="39"/>
      <c r="F867" s="33"/>
      <c r="G867" s="29"/>
      <c r="H867" s="29"/>
      <c r="I867" s="30"/>
      <c r="J867" s="30"/>
    </row>
    <row r="868" spans="2:10" s="32" customFormat="1" ht="15">
      <c r="B868" s="39"/>
      <c r="F868" s="33"/>
      <c r="G868" s="29"/>
      <c r="H868" s="29"/>
      <c r="I868" s="30"/>
      <c r="J868" s="30"/>
    </row>
    <row r="869" spans="2:10" s="32" customFormat="1" ht="15">
      <c r="B869" s="39"/>
      <c r="F869" s="33"/>
      <c r="G869" s="29"/>
      <c r="H869" s="29"/>
      <c r="I869" s="30"/>
      <c r="J869" s="30"/>
    </row>
    <row r="870" spans="2:10" s="32" customFormat="1" ht="15">
      <c r="B870" s="39"/>
      <c r="F870" s="33"/>
      <c r="G870" s="29"/>
      <c r="H870" s="29"/>
      <c r="I870" s="30"/>
      <c r="J870" s="30"/>
    </row>
    <row r="871" spans="2:10" s="32" customFormat="1" ht="15">
      <c r="B871" s="39"/>
      <c r="F871" s="33"/>
      <c r="G871" s="29"/>
      <c r="H871" s="29"/>
      <c r="I871" s="30"/>
      <c r="J871" s="30"/>
    </row>
    <row r="872" spans="2:10" s="32" customFormat="1" ht="15">
      <c r="B872" s="39"/>
      <c r="F872" s="33"/>
      <c r="G872" s="29"/>
      <c r="H872" s="29"/>
      <c r="I872" s="30"/>
      <c r="J872" s="30"/>
    </row>
    <row r="873" spans="2:10" s="32" customFormat="1" ht="15">
      <c r="B873" s="39"/>
      <c r="F873" s="33"/>
      <c r="G873" s="29"/>
      <c r="H873" s="29"/>
      <c r="I873" s="30"/>
      <c r="J873" s="30"/>
    </row>
    <row r="874" spans="2:10" s="32" customFormat="1" ht="15">
      <c r="B874" s="39"/>
      <c r="F874" s="33"/>
      <c r="G874" s="29"/>
      <c r="H874" s="29"/>
      <c r="I874" s="30"/>
      <c r="J874" s="30"/>
    </row>
    <row r="875" spans="2:10" s="32" customFormat="1" ht="15">
      <c r="B875" s="39"/>
      <c r="F875" s="33"/>
      <c r="G875" s="29"/>
      <c r="H875" s="29"/>
      <c r="I875" s="30"/>
      <c r="J875" s="30"/>
    </row>
    <row r="876" spans="2:10" s="32" customFormat="1" ht="15">
      <c r="B876" s="39"/>
      <c r="F876" s="33"/>
      <c r="G876" s="29"/>
      <c r="H876" s="29"/>
      <c r="I876" s="30"/>
      <c r="J876" s="30"/>
    </row>
    <row r="877" spans="2:10" s="32" customFormat="1" ht="15">
      <c r="B877" s="39"/>
      <c r="F877" s="33"/>
      <c r="G877" s="29"/>
      <c r="H877" s="29"/>
      <c r="I877" s="30"/>
      <c r="J877" s="30"/>
    </row>
    <row r="878" spans="2:10" s="32" customFormat="1" ht="15">
      <c r="B878" s="39"/>
      <c r="F878" s="33"/>
      <c r="G878" s="29"/>
      <c r="H878" s="29"/>
      <c r="I878" s="30"/>
      <c r="J878" s="30"/>
    </row>
    <row r="879" spans="2:10" s="32" customFormat="1" ht="15">
      <c r="B879" s="39"/>
      <c r="F879" s="33"/>
      <c r="G879" s="29"/>
      <c r="H879" s="29"/>
      <c r="I879" s="30"/>
      <c r="J879" s="30"/>
    </row>
    <row r="880" spans="2:10" s="32" customFormat="1" ht="15">
      <c r="B880" s="39"/>
      <c r="F880" s="33"/>
      <c r="G880" s="29"/>
      <c r="H880" s="29"/>
      <c r="I880" s="30"/>
      <c r="J880"/>
    </row>
    <row r="881" spans="2:10" s="32" customFormat="1" ht="15">
      <c r="B881" s="39"/>
      <c r="F881" s="33"/>
      <c r="G881" s="29"/>
      <c r="H881" s="29"/>
      <c r="I881" s="30"/>
      <c r="J881"/>
    </row>
    <row r="882" spans="2:10" s="32" customFormat="1" ht="15">
      <c r="B882" s="39"/>
      <c r="F882" s="33"/>
      <c r="G882" s="29"/>
      <c r="H882" s="29"/>
      <c r="I882" s="30"/>
      <c r="J882"/>
    </row>
    <row r="883" spans="2:10" s="32" customFormat="1" ht="15">
      <c r="B883" s="39"/>
      <c r="F883" s="33"/>
      <c r="G883" s="29"/>
      <c r="H883" s="29"/>
      <c r="I883" s="30"/>
      <c r="J883"/>
    </row>
    <row r="884" spans="2:10" s="32" customFormat="1" ht="15">
      <c r="B884" s="39"/>
      <c r="F884" s="33"/>
      <c r="G884" s="29"/>
      <c r="H884" s="29"/>
      <c r="I884" s="30"/>
      <c r="J884"/>
    </row>
  </sheetData>
  <sheetProtection/>
  <mergeCells count="10">
    <mergeCell ref="C10:C11"/>
    <mergeCell ref="D10:D11"/>
    <mergeCell ref="E10:E11"/>
    <mergeCell ref="F10:I10"/>
    <mergeCell ref="D2:E2"/>
    <mergeCell ref="D7:G7"/>
    <mergeCell ref="D8:G8"/>
    <mergeCell ref="A9:G9"/>
    <mergeCell ref="A10:A11"/>
    <mergeCell ref="B10:B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0" zoomScaleSheetLayoutView="70" zoomScalePageLayoutView="0" workbookViewId="0" topLeftCell="A107">
      <selection activeCell="G115" sqref="G115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10" width="17.140625" style="0" bestFit="1" customWidth="1"/>
  </cols>
  <sheetData>
    <row r="1" spans="1:7" ht="15.75">
      <c r="A1" s="2"/>
      <c r="B1" s="3"/>
      <c r="C1" s="4" t="s">
        <v>13</v>
      </c>
      <c r="D1" s="88" t="s">
        <v>39</v>
      </c>
      <c r="E1" s="89"/>
      <c r="F1" s="89"/>
      <c r="G1" s="90"/>
    </row>
    <row r="2" spans="1:7" ht="15.75">
      <c r="A2" s="5"/>
      <c r="B2" s="6"/>
      <c r="C2" s="7" t="s">
        <v>14</v>
      </c>
      <c r="D2" s="108" t="s">
        <v>807</v>
      </c>
      <c r="E2" s="109"/>
      <c r="F2" s="100"/>
      <c r="G2" s="92"/>
    </row>
    <row r="3" spans="1:7" ht="15.75">
      <c r="A3" s="5"/>
      <c r="B3" s="6"/>
      <c r="C3" s="7" t="s">
        <v>15</v>
      </c>
      <c r="D3" s="93"/>
      <c r="E3" s="94"/>
      <c r="F3" s="94"/>
      <c r="G3" s="95"/>
    </row>
    <row r="4" spans="1:7" ht="30">
      <c r="A4" s="5"/>
      <c r="B4" s="6"/>
      <c r="C4" s="8" t="s">
        <v>808</v>
      </c>
      <c r="D4" s="101" t="s">
        <v>806</v>
      </c>
      <c r="E4" s="102"/>
      <c r="F4" s="102"/>
      <c r="G4" s="103"/>
    </row>
    <row r="5" spans="1:7" ht="30">
      <c r="A5" s="5"/>
      <c r="B5" s="6"/>
      <c r="C5" s="15" t="s">
        <v>809</v>
      </c>
      <c r="D5" s="101" t="s">
        <v>803</v>
      </c>
      <c r="E5" s="102"/>
      <c r="F5" s="102"/>
      <c r="G5" s="103"/>
    </row>
    <row r="6" spans="1:7" ht="15.75">
      <c r="A6" s="5"/>
      <c r="B6" s="6"/>
      <c r="C6" s="9" t="s">
        <v>811</v>
      </c>
      <c r="D6" s="101" t="s">
        <v>804</v>
      </c>
      <c r="E6" s="102"/>
      <c r="F6" s="102"/>
      <c r="G6" s="103"/>
    </row>
    <row r="7" spans="1:7" ht="15.75">
      <c r="A7" s="5"/>
      <c r="B7" s="6"/>
      <c r="C7" s="16" t="s">
        <v>810</v>
      </c>
      <c r="D7" s="110" t="s">
        <v>805</v>
      </c>
      <c r="E7" s="111"/>
      <c r="F7" s="111"/>
      <c r="G7" s="112"/>
    </row>
    <row r="8" spans="1:7" ht="15.75">
      <c r="A8" s="10"/>
      <c r="B8" s="11"/>
      <c r="C8" s="12"/>
      <c r="D8" s="113" t="s">
        <v>25</v>
      </c>
      <c r="E8" s="114"/>
      <c r="F8" s="114"/>
      <c r="G8" s="115"/>
    </row>
    <row r="9" spans="1:7" ht="15">
      <c r="A9" s="116" t="s">
        <v>16</v>
      </c>
      <c r="B9" s="117"/>
      <c r="C9" s="117"/>
      <c r="D9" s="117"/>
      <c r="E9" s="117"/>
      <c r="F9" s="117"/>
      <c r="G9" s="117"/>
    </row>
    <row r="10" spans="1:10" s="18" customFormat="1" ht="12.75" customHeight="1">
      <c r="A10" s="105" t="s">
        <v>17</v>
      </c>
      <c r="B10" s="104" t="s">
        <v>26</v>
      </c>
      <c r="C10" s="104" t="s">
        <v>18</v>
      </c>
      <c r="D10" s="105" t="s">
        <v>10</v>
      </c>
      <c r="E10" s="106" t="s">
        <v>19</v>
      </c>
      <c r="F10" s="107" t="s">
        <v>20</v>
      </c>
      <c r="G10" s="107"/>
      <c r="H10" s="107"/>
      <c r="I10" s="107"/>
      <c r="J10" s="99"/>
    </row>
    <row r="11" spans="1:10" s="18" customFormat="1" ht="12.75" customHeight="1">
      <c r="A11" s="105"/>
      <c r="B11" s="104"/>
      <c r="C11" s="104"/>
      <c r="D11" s="105"/>
      <c r="E11" s="106"/>
      <c r="F11" s="19" t="s">
        <v>27</v>
      </c>
      <c r="G11" s="19" t="s">
        <v>28</v>
      </c>
      <c r="H11" s="19" t="s">
        <v>29</v>
      </c>
      <c r="I11" s="17" t="s">
        <v>30</v>
      </c>
      <c r="J11" s="17" t="s">
        <v>30</v>
      </c>
    </row>
    <row r="12" spans="1:10" s="13" customFormat="1" ht="15.75">
      <c r="A12" s="13" t="s">
        <v>11</v>
      </c>
      <c r="B12" s="21"/>
      <c r="C12" s="22" t="s">
        <v>12</v>
      </c>
      <c r="D12" s="22"/>
      <c r="E12" s="22"/>
      <c r="F12" s="22"/>
      <c r="G12" s="22"/>
      <c r="H12" s="22"/>
      <c r="I12" s="20"/>
      <c r="J12" s="20"/>
    </row>
    <row r="13" spans="1:10" s="49" customFormat="1" ht="45">
      <c r="A13" s="41" t="s">
        <v>6</v>
      </c>
      <c r="B13" s="42" t="s">
        <v>536</v>
      </c>
      <c r="C13" s="43" t="s">
        <v>158</v>
      </c>
      <c r="D13" s="44" t="s">
        <v>0</v>
      </c>
      <c r="E13" s="45">
        <v>12</v>
      </c>
      <c r="F13" s="46">
        <f>TRUNC('NÃO DESONERADA '!F13,2)</f>
        <v>463.42</v>
      </c>
      <c r="G13" s="47">
        <f>TRUNC(F13*1.2338,2)</f>
        <v>571.76</v>
      </c>
      <c r="H13" s="47">
        <f>TRUNC(F13*E13,2)</f>
        <v>5561.04</v>
      </c>
      <c r="I13" s="48">
        <f>TRUNC(E13*G13,2)</f>
        <v>6861.12</v>
      </c>
      <c r="J13" s="48">
        <v>6797.16</v>
      </c>
    </row>
    <row r="14" spans="1:10" s="49" customFormat="1" ht="60">
      <c r="A14" s="41" t="s">
        <v>7</v>
      </c>
      <c r="B14" s="42" t="s">
        <v>543</v>
      </c>
      <c r="C14" s="43" t="s">
        <v>163</v>
      </c>
      <c r="D14" s="44" t="s">
        <v>0</v>
      </c>
      <c r="E14" s="45">
        <v>304.92</v>
      </c>
      <c r="F14" s="46">
        <f>TRUNC('NÃO DESONERADA '!F23,2)</f>
        <v>22.24</v>
      </c>
      <c r="G14" s="47">
        <f>TRUNC(F14*1.2338,2)</f>
        <v>27.43</v>
      </c>
      <c r="H14" s="47">
        <f>TRUNC(F14*E14,2)</f>
        <v>6781.42</v>
      </c>
      <c r="I14" s="48">
        <f>TRUNC(E14*G14,2)</f>
        <v>8363.95</v>
      </c>
      <c r="J14" s="48">
        <v>8354.8</v>
      </c>
    </row>
    <row r="15" spans="1:10" s="49" customFormat="1" ht="60">
      <c r="A15" s="41" t="s">
        <v>8</v>
      </c>
      <c r="B15" s="42" t="s">
        <v>544</v>
      </c>
      <c r="C15" s="43" t="s">
        <v>166</v>
      </c>
      <c r="D15" s="44" t="s">
        <v>0</v>
      </c>
      <c r="E15" s="45">
        <v>10</v>
      </c>
      <c r="F15" s="46">
        <f>TRUNC('NÃO DESONERADA '!F30,2)</f>
        <v>441.08</v>
      </c>
      <c r="G15" s="47">
        <f>TRUNC(F15*1.2338,2)</f>
        <v>544.2</v>
      </c>
      <c r="H15" s="47">
        <f>TRUNC(F15*E15,2)</f>
        <v>4410.8</v>
      </c>
      <c r="I15" s="48">
        <f>TRUNC(E15*G15,2)</f>
        <v>5442</v>
      </c>
      <c r="J15" s="48">
        <v>5116.1</v>
      </c>
    </row>
    <row r="16" spans="1:10" s="49" customFormat="1" ht="90">
      <c r="A16" s="41" t="s">
        <v>9</v>
      </c>
      <c r="B16" s="42" t="s">
        <v>549</v>
      </c>
      <c r="C16" s="43" t="s">
        <v>167</v>
      </c>
      <c r="D16" s="44" t="s">
        <v>10</v>
      </c>
      <c r="E16" s="45">
        <v>1</v>
      </c>
      <c r="F16" s="46">
        <f>TRUNC('NÃO DESONERADA '!F49,2)</f>
        <v>2320.73</v>
      </c>
      <c r="G16" s="47">
        <f>TRUNC(F16*1.2338,2)</f>
        <v>2863.31</v>
      </c>
      <c r="H16" s="47">
        <f>TRUNC(F16*E16,2)</f>
        <v>2320.73</v>
      </c>
      <c r="I16" s="48">
        <f>TRUNC(E16*G16,2)</f>
        <v>2863.31</v>
      </c>
      <c r="J16" s="48">
        <v>2808.65</v>
      </c>
    </row>
    <row r="17" spans="1:10" s="49" customFormat="1" ht="60">
      <c r="A17" s="41" t="s">
        <v>36</v>
      </c>
      <c r="B17" s="42" t="s">
        <v>560</v>
      </c>
      <c r="C17" s="43" t="s">
        <v>124</v>
      </c>
      <c r="D17" s="44" t="s">
        <v>10</v>
      </c>
      <c r="E17" s="45">
        <v>1</v>
      </c>
      <c r="F17" s="46">
        <f>TRUNC('NÃO DESONERADA '!F93,2)</f>
        <v>3758.08</v>
      </c>
      <c r="G17" s="47">
        <f>TRUNC(F17*1.2338,2)</f>
        <v>4636.71</v>
      </c>
      <c r="H17" s="47">
        <f>TRUNC(F17*E17,2)</f>
        <v>3758.08</v>
      </c>
      <c r="I17" s="48">
        <f>TRUNC(E17*G17,2)</f>
        <v>4636.71</v>
      </c>
      <c r="J17" s="48">
        <v>4701.41</v>
      </c>
    </row>
    <row r="18" spans="1:10" s="14" customFormat="1" ht="15.75">
      <c r="A18" s="23" t="s">
        <v>23</v>
      </c>
      <c r="B18" s="25"/>
      <c r="C18" s="24"/>
      <c r="D18" s="25"/>
      <c r="E18" s="25"/>
      <c r="F18" s="25"/>
      <c r="G18" s="25" t="s">
        <v>24</v>
      </c>
      <c r="H18" s="26">
        <f>H17+H16+H15+H14+H13</f>
        <v>22832.07</v>
      </c>
      <c r="I18" s="26">
        <f>I17+I16+I15+I14+I13</f>
        <v>28167.09</v>
      </c>
      <c r="J18" s="26">
        <v>27778.12</v>
      </c>
    </row>
    <row r="19" spans="1:10" s="13" customFormat="1" ht="15.75">
      <c r="A19" s="13" t="s">
        <v>253</v>
      </c>
      <c r="B19" s="21"/>
      <c r="C19" s="22" t="s">
        <v>140</v>
      </c>
      <c r="D19" s="22"/>
      <c r="E19" s="22"/>
      <c r="F19" s="22"/>
      <c r="G19" s="22"/>
      <c r="H19" s="22"/>
      <c r="I19" s="20"/>
      <c r="J19" s="20"/>
    </row>
    <row r="20" spans="1:10" s="49" customFormat="1" ht="45">
      <c r="A20" s="41" t="s">
        <v>254</v>
      </c>
      <c r="B20" s="42" t="s">
        <v>565</v>
      </c>
      <c r="C20" s="43" t="s">
        <v>170</v>
      </c>
      <c r="D20" s="44" t="s">
        <v>0</v>
      </c>
      <c r="E20" s="45">
        <v>986.12</v>
      </c>
      <c r="F20" s="46">
        <f>TRUNC('NÃO DESONERADA '!F113,2)</f>
        <v>3.11</v>
      </c>
      <c r="G20" s="47">
        <f aca="true" t="shared" si="0" ref="G20:G26">TRUNC(F20*1.2338,2)</f>
        <v>3.83</v>
      </c>
      <c r="H20" s="47">
        <f aca="true" t="shared" si="1" ref="H20:H26">TRUNC(F20*E20,2)</f>
        <v>3066.83</v>
      </c>
      <c r="I20" s="48">
        <f aca="true" t="shared" si="2" ref="I20:I26">TRUNC(E20*G20,2)</f>
        <v>3776.83</v>
      </c>
      <c r="J20" s="48">
        <v>3599.33</v>
      </c>
    </row>
    <row r="21" spans="1:10" s="49" customFormat="1" ht="30">
      <c r="A21" s="41" t="s">
        <v>255</v>
      </c>
      <c r="B21" s="42" t="s">
        <v>568</v>
      </c>
      <c r="C21" s="43" t="s">
        <v>175</v>
      </c>
      <c r="D21" s="44" t="s">
        <v>1</v>
      </c>
      <c r="E21" s="45">
        <v>353.61</v>
      </c>
      <c r="F21" s="46">
        <f>TRUNC('NÃO DESONERADA '!F121,2)</f>
        <v>2.93</v>
      </c>
      <c r="G21" s="47">
        <f t="shared" si="0"/>
        <v>3.61</v>
      </c>
      <c r="H21" s="47">
        <f t="shared" si="1"/>
        <v>1036.07</v>
      </c>
      <c r="I21" s="48">
        <f t="shared" si="2"/>
        <v>1276.53</v>
      </c>
      <c r="J21" s="48">
        <v>1290.67</v>
      </c>
    </row>
    <row r="22" spans="1:10" s="49" customFormat="1" ht="45">
      <c r="A22" s="41" t="s">
        <v>256</v>
      </c>
      <c r="B22" s="42" t="s">
        <v>571</v>
      </c>
      <c r="C22" s="43" t="s">
        <v>141</v>
      </c>
      <c r="D22" s="44" t="s">
        <v>1</v>
      </c>
      <c r="E22" s="45">
        <v>49.49</v>
      </c>
      <c r="F22" s="46">
        <f>TRUNC('NÃO DESONERADA '!F126,2)</f>
        <v>57.95</v>
      </c>
      <c r="G22" s="47">
        <f t="shared" si="0"/>
        <v>71.49</v>
      </c>
      <c r="H22" s="47">
        <f t="shared" si="1"/>
        <v>2867.94</v>
      </c>
      <c r="I22" s="48">
        <f t="shared" si="2"/>
        <v>3538.04</v>
      </c>
      <c r="J22" s="48">
        <v>3224.27</v>
      </c>
    </row>
    <row r="23" spans="1:10" s="49" customFormat="1" ht="45">
      <c r="A23" s="41" t="s">
        <v>257</v>
      </c>
      <c r="B23" s="42" t="s">
        <v>572</v>
      </c>
      <c r="C23" s="43" t="s">
        <v>176</v>
      </c>
      <c r="D23" s="44" t="s">
        <v>1</v>
      </c>
      <c r="E23" s="45">
        <v>94.65</v>
      </c>
      <c r="F23" s="46">
        <f>TRUNC('NÃO DESONERADA '!F129,2)</f>
        <v>22.66</v>
      </c>
      <c r="G23" s="47">
        <f t="shared" si="0"/>
        <v>27.95</v>
      </c>
      <c r="H23" s="47">
        <f t="shared" si="1"/>
        <v>2144.76</v>
      </c>
      <c r="I23" s="48">
        <f t="shared" si="2"/>
        <v>2645.46</v>
      </c>
      <c r="J23" s="48">
        <v>2426.82</v>
      </c>
    </row>
    <row r="24" spans="1:10" s="49" customFormat="1" ht="45">
      <c r="A24" s="41" t="s">
        <v>258</v>
      </c>
      <c r="B24" s="42" t="s">
        <v>579</v>
      </c>
      <c r="C24" s="43" t="s">
        <v>177</v>
      </c>
      <c r="D24" s="44" t="s">
        <v>1</v>
      </c>
      <c r="E24" s="45">
        <v>429.38</v>
      </c>
      <c r="F24" s="46">
        <f>TRUNC('NÃO DESONERADA '!F135,2)</f>
        <v>1.97</v>
      </c>
      <c r="G24" s="47">
        <f t="shared" si="0"/>
        <v>2.43</v>
      </c>
      <c r="H24" s="47">
        <f t="shared" si="1"/>
        <v>845.87</v>
      </c>
      <c r="I24" s="48">
        <f t="shared" si="2"/>
        <v>1043.39</v>
      </c>
      <c r="J24" s="48">
        <v>1060.56</v>
      </c>
    </row>
    <row r="25" spans="1:10" s="49" customFormat="1" ht="30">
      <c r="A25" s="41" t="s">
        <v>259</v>
      </c>
      <c r="B25" s="42" t="s">
        <v>582</v>
      </c>
      <c r="C25" s="43" t="s">
        <v>180</v>
      </c>
      <c r="D25" s="44" t="s">
        <v>181</v>
      </c>
      <c r="E25" s="45">
        <v>5710.75</v>
      </c>
      <c r="F25" s="46">
        <f>TRUNC('NÃO DESONERADA '!F140,2)</f>
        <v>2.2</v>
      </c>
      <c r="G25" s="47">
        <f t="shared" si="0"/>
        <v>2.71</v>
      </c>
      <c r="H25" s="47">
        <f t="shared" si="1"/>
        <v>12563.65</v>
      </c>
      <c r="I25" s="48">
        <f t="shared" si="2"/>
        <v>15476.13</v>
      </c>
      <c r="J25" s="48">
        <v>15761.67</v>
      </c>
    </row>
    <row r="26" spans="1:10" s="49" customFormat="1" ht="15">
      <c r="A26" s="41" t="s">
        <v>485</v>
      </c>
      <c r="B26" s="42" t="s">
        <v>583</v>
      </c>
      <c r="C26" s="43" t="s">
        <v>182</v>
      </c>
      <c r="D26" s="44" t="s">
        <v>1</v>
      </c>
      <c r="E26" s="45">
        <v>429.38</v>
      </c>
      <c r="F26" s="46">
        <f>TRUNC('NÃO DESONERADA '!F144,2)</f>
        <v>1.28</v>
      </c>
      <c r="G26" s="47">
        <f t="shared" si="0"/>
        <v>1.57</v>
      </c>
      <c r="H26" s="47">
        <f t="shared" si="1"/>
        <v>549.6</v>
      </c>
      <c r="I26" s="48">
        <f t="shared" si="2"/>
        <v>674.12</v>
      </c>
      <c r="J26" s="48">
        <v>678.42</v>
      </c>
    </row>
    <row r="27" spans="1:10" s="14" customFormat="1" ht="15.75">
      <c r="A27" s="23" t="s">
        <v>23</v>
      </c>
      <c r="B27" s="25"/>
      <c r="C27" s="24"/>
      <c r="D27" s="25"/>
      <c r="E27" s="25"/>
      <c r="F27" s="25"/>
      <c r="G27" s="25" t="s">
        <v>24</v>
      </c>
      <c r="H27" s="26">
        <f>H26+H25+H24+H23+H22+H21+H20</f>
        <v>23074.72</v>
      </c>
      <c r="I27" s="26">
        <f>I26+I25+I24+I23+I22+I21+I20</f>
        <v>28430.5</v>
      </c>
      <c r="J27" s="26">
        <v>28041.740000000005</v>
      </c>
    </row>
    <row r="28" spans="1:10" s="13" customFormat="1" ht="15.75">
      <c r="A28" s="13" t="s">
        <v>260</v>
      </c>
      <c r="B28" s="21"/>
      <c r="C28" s="22" t="s">
        <v>486</v>
      </c>
      <c r="D28" s="22"/>
      <c r="E28" s="22"/>
      <c r="F28" s="22"/>
      <c r="G28" s="22"/>
      <c r="H28" s="22"/>
      <c r="I28" s="20"/>
      <c r="J28" s="20"/>
    </row>
    <row r="29" spans="1:10" s="49" customFormat="1" ht="30">
      <c r="A29" s="41" t="s">
        <v>261</v>
      </c>
      <c r="B29" s="42" t="s">
        <v>588</v>
      </c>
      <c r="C29" s="43" t="s">
        <v>183</v>
      </c>
      <c r="D29" s="44" t="s">
        <v>1</v>
      </c>
      <c r="E29" s="45">
        <v>16.37</v>
      </c>
      <c r="F29" s="46">
        <f>TRUNC('NÃO DESONERADA '!F151,2)</f>
        <v>232.8</v>
      </c>
      <c r="G29" s="47">
        <f aca="true" t="shared" si="3" ref="G29:G35">TRUNC(F29*1.2338,2)</f>
        <v>287.22</v>
      </c>
      <c r="H29" s="47">
        <f aca="true" t="shared" si="4" ref="H29:H35">TRUNC(F29*E29,2)</f>
        <v>3810.93</v>
      </c>
      <c r="I29" s="48">
        <f aca="true" t="shared" si="5" ref="I29:I35">TRUNC(E29*G29,2)</f>
        <v>4701.79</v>
      </c>
      <c r="J29" s="48">
        <v>4285.17</v>
      </c>
    </row>
    <row r="30" spans="1:10" s="49" customFormat="1" ht="45">
      <c r="A30" s="41" t="s">
        <v>262</v>
      </c>
      <c r="B30" s="42" t="s">
        <v>589</v>
      </c>
      <c r="C30" s="43" t="s">
        <v>184</v>
      </c>
      <c r="D30" s="44" t="s">
        <v>10</v>
      </c>
      <c r="E30" s="45">
        <v>4</v>
      </c>
      <c r="F30" s="46">
        <f>TRUNC('NÃO DESONERADA '!F155,2)</f>
        <v>141.24</v>
      </c>
      <c r="G30" s="47">
        <f t="shared" si="3"/>
        <v>174.26</v>
      </c>
      <c r="H30" s="47">
        <f t="shared" si="4"/>
        <v>564.96</v>
      </c>
      <c r="I30" s="48">
        <f t="shared" si="5"/>
        <v>697.04</v>
      </c>
      <c r="J30" s="48">
        <v>635.44</v>
      </c>
    </row>
    <row r="31" spans="1:10" s="49" customFormat="1" ht="45">
      <c r="A31" s="41" t="s">
        <v>263</v>
      </c>
      <c r="B31" s="42" t="s">
        <v>592</v>
      </c>
      <c r="C31" s="43" t="s">
        <v>185</v>
      </c>
      <c r="D31" s="44" t="s">
        <v>10</v>
      </c>
      <c r="E31" s="45">
        <v>1</v>
      </c>
      <c r="F31" s="46">
        <f>TRUNC('NÃO DESONERADA '!F158,2)</f>
        <v>163.43</v>
      </c>
      <c r="G31" s="47">
        <f t="shared" si="3"/>
        <v>201.63</v>
      </c>
      <c r="H31" s="47">
        <f t="shared" si="4"/>
        <v>163.43</v>
      </c>
      <c r="I31" s="48">
        <f t="shared" si="5"/>
        <v>201.63</v>
      </c>
      <c r="J31" s="48">
        <v>183.83</v>
      </c>
    </row>
    <row r="32" spans="1:10" s="49" customFormat="1" ht="45">
      <c r="A32" s="41" t="s">
        <v>264</v>
      </c>
      <c r="B32" s="42" t="s">
        <v>593</v>
      </c>
      <c r="C32" s="43" t="s">
        <v>186</v>
      </c>
      <c r="D32" s="44" t="s">
        <v>10</v>
      </c>
      <c r="E32" s="45">
        <v>1</v>
      </c>
      <c r="F32" s="46">
        <f>TRUNC('NÃO DESONERADA '!F161,2)</f>
        <v>39.18</v>
      </c>
      <c r="G32" s="47">
        <f t="shared" si="3"/>
        <v>48.34</v>
      </c>
      <c r="H32" s="47">
        <f t="shared" si="4"/>
        <v>39.18</v>
      </c>
      <c r="I32" s="48">
        <f t="shared" si="5"/>
        <v>48.34</v>
      </c>
      <c r="J32" s="48">
        <v>44.06</v>
      </c>
    </row>
    <row r="33" spans="1:10" s="49" customFormat="1" ht="29.25">
      <c r="A33" s="41" t="s">
        <v>265</v>
      </c>
      <c r="B33" s="42" t="s">
        <v>594</v>
      </c>
      <c r="C33" s="43" t="s">
        <v>187</v>
      </c>
      <c r="D33" s="44" t="s">
        <v>0</v>
      </c>
      <c r="E33" s="45">
        <v>1</v>
      </c>
      <c r="F33" s="46">
        <f>TRUNC('NÃO DESONERADA '!F164,2)</f>
        <v>123.48</v>
      </c>
      <c r="G33" s="47">
        <f t="shared" si="3"/>
        <v>152.34</v>
      </c>
      <c r="H33" s="47">
        <f t="shared" si="4"/>
        <v>123.48</v>
      </c>
      <c r="I33" s="48">
        <f t="shared" si="5"/>
        <v>152.34</v>
      </c>
      <c r="J33" s="48">
        <v>138.86</v>
      </c>
    </row>
    <row r="34" spans="1:10" s="49" customFormat="1" ht="29.25">
      <c r="A34" s="41" t="s">
        <v>266</v>
      </c>
      <c r="B34" s="42" t="s">
        <v>594</v>
      </c>
      <c r="C34" s="43" t="s">
        <v>188</v>
      </c>
      <c r="D34" s="44" t="s">
        <v>0</v>
      </c>
      <c r="E34" s="45">
        <v>1</v>
      </c>
      <c r="F34" s="46">
        <f>TRUNC('NÃO DESONERADA '!F174,2)</f>
        <v>441.11</v>
      </c>
      <c r="G34" s="47">
        <f t="shared" si="3"/>
        <v>544.24</v>
      </c>
      <c r="H34" s="47">
        <f t="shared" si="4"/>
        <v>441.11</v>
      </c>
      <c r="I34" s="48">
        <f t="shared" si="5"/>
        <v>544.24</v>
      </c>
      <c r="J34" s="48">
        <v>506.79</v>
      </c>
    </row>
    <row r="35" spans="1:10" s="49" customFormat="1" ht="30">
      <c r="A35" s="41" t="s">
        <v>267</v>
      </c>
      <c r="B35" s="42" t="s">
        <v>597</v>
      </c>
      <c r="C35" s="43" t="s">
        <v>598</v>
      </c>
      <c r="D35" s="44" t="s">
        <v>0</v>
      </c>
      <c r="E35" s="45">
        <v>2.2</v>
      </c>
      <c r="F35" s="46">
        <f>TRUNC('NÃO DESONERADA '!F188,2)</f>
        <v>17.04</v>
      </c>
      <c r="G35" s="47">
        <f t="shared" si="3"/>
        <v>21.02</v>
      </c>
      <c r="H35" s="47">
        <f t="shared" si="4"/>
        <v>37.48</v>
      </c>
      <c r="I35" s="48">
        <f t="shared" si="5"/>
        <v>46.24</v>
      </c>
      <c r="J35" s="30"/>
    </row>
    <row r="36" spans="1:11" s="14" customFormat="1" ht="15.75">
      <c r="A36" s="23" t="s">
        <v>23</v>
      </c>
      <c r="B36" s="25"/>
      <c r="C36" s="24"/>
      <c r="D36" s="25"/>
      <c r="E36" s="25"/>
      <c r="F36" s="25"/>
      <c r="G36" s="25" t="s">
        <v>487</v>
      </c>
      <c r="H36" s="26">
        <f>H35+H34+H33+H32+H31+H30+H29</f>
        <v>5180.57</v>
      </c>
      <c r="I36" s="26">
        <f>I35+I34+I33+I32+I31+I30+I29</f>
        <v>6391.62</v>
      </c>
      <c r="J36" s="20"/>
      <c r="K36" s="14">
        <v>6391.62</v>
      </c>
    </row>
    <row r="37" spans="1:10" s="13" customFormat="1" ht="15.75">
      <c r="A37" s="13" t="s">
        <v>268</v>
      </c>
      <c r="B37" s="21"/>
      <c r="C37" s="22" t="s">
        <v>191</v>
      </c>
      <c r="D37" s="22"/>
      <c r="E37" s="22"/>
      <c r="F37" s="22"/>
      <c r="G37" s="22"/>
      <c r="H37" s="22"/>
      <c r="I37" s="20"/>
      <c r="J37" s="48">
        <v>4765.07</v>
      </c>
    </row>
    <row r="38" spans="1:10" s="49" customFormat="1" ht="45">
      <c r="A38" s="41" t="s">
        <v>269</v>
      </c>
      <c r="B38" s="42" t="s">
        <v>571</v>
      </c>
      <c r="C38" s="43" t="s">
        <v>141</v>
      </c>
      <c r="D38" s="44" t="s">
        <v>1</v>
      </c>
      <c r="E38" s="45">
        <v>73.14</v>
      </c>
      <c r="F38" s="46">
        <f>TRUNC('NÃO DESONERADA '!F193,2)</f>
        <v>57.95</v>
      </c>
      <c r="G38" s="47">
        <f aca="true" t="shared" si="6" ref="G38:G53">TRUNC(F38*1.2338,2)</f>
        <v>71.49</v>
      </c>
      <c r="H38" s="47">
        <f aca="true" t="shared" si="7" ref="H38:H53">TRUNC(F38*E38,2)</f>
        <v>4238.46</v>
      </c>
      <c r="I38" s="48">
        <f aca="true" t="shared" si="8" ref="I38:I53">TRUNC(E38*G38,2)</f>
        <v>5228.77</v>
      </c>
      <c r="J38" s="30"/>
    </row>
    <row r="39" spans="1:10" s="49" customFormat="1" ht="30">
      <c r="A39" s="41" t="s">
        <v>270</v>
      </c>
      <c r="B39" s="42" t="s">
        <v>599</v>
      </c>
      <c r="C39" s="43" t="s">
        <v>192</v>
      </c>
      <c r="D39" s="44" t="s">
        <v>2</v>
      </c>
      <c r="E39" s="45">
        <v>9</v>
      </c>
      <c r="F39" s="46">
        <f>TRUNC('NÃO DESONERADA '!F196,2)</f>
        <v>23.86</v>
      </c>
      <c r="G39" s="47">
        <f t="shared" si="6"/>
        <v>29.43</v>
      </c>
      <c r="H39" s="47">
        <f t="shared" si="7"/>
        <v>214.74</v>
      </c>
      <c r="I39" s="48">
        <f t="shared" si="8"/>
        <v>264.87</v>
      </c>
      <c r="J39" s="30"/>
    </row>
    <row r="40" spans="1:10" s="49" customFormat="1" ht="45">
      <c r="A40" s="41" t="s">
        <v>271</v>
      </c>
      <c r="B40" s="42" t="s">
        <v>572</v>
      </c>
      <c r="C40" s="43" t="s">
        <v>176</v>
      </c>
      <c r="D40" s="44" t="s">
        <v>1</v>
      </c>
      <c r="E40" s="45">
        <v>40.37</v>
      </c>
      <c r="F40" s="46">
        <f>TRUNC('NÃO DESONERADA '!F199,2)</f>
        <v>22.66</v>
      </c>
      <c r="G40" s="47">
        <f t="shared" si="6"/>
        <v>27.95</v>
      </c>
      <c r="H40" s="47">
        <f t="shared" si="7"/>
        <v>914.78</v>
      </c>
      <c r="I40" s="48">
        <f t="shared" si="8"/>
        <v>1128.34</v>
      </c>
      <c r="J40" s="30"/>
    </row>
    <row r="41" spans="1:10" s="49" customFormat="1" ht="45">
      <c r="A41" s="41" t="s">
        <v>272</v>
      </c>
      <c r="B41" s="42" t="s">
        <v>600</v>
      </c>
      <c r="C41" s="43" t="s">
        <v>193</v>
      </c>
      <c r="D41" s="44" t="s">
        <v>1</v>
      </c>
      <c r="E41" s="45">
        <v>5.44</v>
      </c>
      <c r="F41" s="46">
        <f>TRUNC('NÃO DESONERADA '!F205,2)</f>
        <v>482.7</v>
      </c>
      <c r="G41" s="47">
        <f t="shared" si="6"/>
        <v>595.55</v>
      </c>
      <c r="H41" s="47">
        <f t="shared" si="7"/>
        <v>2625.88</v>
      </c>
      <c r="I41" s="48">
        <f t="shared" si="8"/>
        <v>3239.79</v>
      </c>
      <c r="J41" s="30"/>
    </row>
    <row r="42" spans="1:10" s="49" customFormat="1" ht="45">
      <c r="A42" s="41" t="s">
        <v>273</v>
      </c>
      <c r="B42" s="42" t="s">
        <v>605</v>
      </c>
      <c r="C42" s="43" t="s">
        <v>194</v>
      </c>
      <c r="D42" s="44" t="s">
        <v>1</v>
      </c>
      <c r="E42" s="45">
        <v>37.95</v>
      </c>
      <c r="F42" s="46">
        <f>TRUNC('NÃO DESONERADA '!F210,2)</f>
        <v>519.55</v>
      </c>
      <c r="G42" s="47">
        <f t="shared" si="6"/>
        <v>641.02</v>
      </c>
      <c r="H42" s="47">
        <f t="shared" si="7"/>
        <v>19716.92</v>
      </c>
      <c r="I42" s="48">
        <f t="shared" si="8"/>
        <v>24326.7</v>
      </c>
      <c r="J42" s="30"/>
    </row>
    <row r="43" spans="1:10" s="49" customFormat="1" ht="60">
      <c r="A43" s="41" t="s">
        <v>274</v>
      </c>
      <c r="B43" s="42" t="s">
        <v>606</v>
      </c>
      <c r="C43" s="43" t="s">
        <v>197</v>
      </c>
      <c r="D43" s="44" t="s">
        <v>1</v>
      </c>
      <c r="E43" s="45">
        <v>6.77</v>
      </c>
      <c r="F43" s="46">
        <f>TRUNC('NÃO DESONERADA '!F217,2)</f>
        <v>546.61</v>
      </c>
      <c r="G43" s="47">
        <f t="shared" si="6"/>
        <v>674.4</v>
      </c>
      <c r="H43" s="47">
        <f t="shared" si="7"/>
        <v>3700.54</v>
      </c>
      <c r="I43" s="48">
        <f t="shared" si="8"/>
        <v>4565.68</v>
      </c>
      <c r="J43" s="30"/>
    </row>
    <row r="44" spans="1:10" s="49" customFormat="1" ht="75">
      <c r="A44" s="41" t="s">
        <v>275</v>
      </c>
      <c r="B44" s="42" t="s">
        <v>607</v>
      </c>
      <c r="C44" s="43" t="s">
        <v>199</v>
      </c>
      <c r="D44" s="44" t="s">
        <v>0</v>
      </c>
      <c r="E44" s="45">
        <v>127.86</v>
      </c>
      <c r="F44" s="46">
        <f>TRUNC('NÃO DESONERADA '!F225,2)</f>
        <v>84.36</v>
      </c>
      <c r="G44" s="47">
        <f t="shared" si="6"/>
        <v>104.08</v>
      </c>
      <c r="H44" s="47">
        <f t="shared" si="7"/>
        <v>10786.26</v>
      </c>
      <c r="I44" s="48">
        <f t="shared" si="8"/>
        <v>13307.66</v>
      </c>
      <c r="J44" s="30"/>
    </row>
    <row r="45" spans="1:10" s="49" customFormat="1" ht="30">
      <c r="A45" s="41" t="s">
        <v>276</v>
      </c>
      <c r="B45" s="42" t="s">
        <v>612</v>
      </c>
      <c r="C45" s="43" t="s">
        <v>204</v>
      </c>
      <c r="D45" s="44" t="s">
        <v>0</v>
      </c>
      <c r="E45" s="45">
        <v>205.03</v>
      </c>
      <c r="F45" s="46">
        <f>TRUNC('NÃO DESONERADA '!F235,2)</f>
        <v>79.67</v>
      </c>
      <c r="G45" s="47">
        <f t="shared" si="6"/>
        <v>98.29</v>
      </c>
      <c r="H45" s="47">
        <f t="shared" si="7"/>
        <v>16334.74</v>
      </c>
      <c r="I45" s="48">
        <f t="shared" si="8"/>
        <v>20152.39</v>
      </c>
      <c r="J45" s="30"/>
    </row>
    <row r="46" spans="1:10" s="49" customFormat="1" ht="75">
      <c r="A46" s="41" t="s">
        <v>277</v>
      </c>
      <c r="B46" s="42" t="s">
        <v>627</v>
      </c>
      <c r="C46" s="43" t="s">
        <v>211</v>
      </c>
      <c r="D46" s="44" t="s">
        <v>3</v>
      </c>
      <c r="E46" s="45">
        <v>66.03</v>
      </c>
      <c r="F46" s="46">
        <f>TRUNC('NÃO DESONERADA '!F247,2)</f>
        <v>13.7</v>
      </c>
      <c r="G46" s="47">
        <f t="shared" si="6"/>
        <v>16.9</v>
      </c>
      <c r="H46" s="47">
        <f t="shared" si="7"/>
        <v>904.61</v>
      </c>
      <c r="I46" s="48">
        <f t="shared" si="8"/>
        <v>1115.9</v>
      </c>
      <c r="J46" s="30"/>
    </row>
    <row r="47" spans="1:10" s="49" customFormat="1" ht="60">
      <c r="A47" s="41" t="s">
        <v>278</v>
      </c>
      <c r="B47" s="42" t="s">
        <v>630</v>
      </c>
      <c r="C47" s="43" t="s">
        <v>218</v>
      </c>
      <c r="D47" s="44" t="s">
        <v>3</v>
      </c>
      <c r="E47" s="45">
        <v>499.23</v>
      </c>
      <c r="F47" s="46">
        <f>TRUNC('NÃO DESONERADA '!F257,2)</f>
        <v>13.83</v>
      </c>
      <c r="G47" s="47">
        <f t="shared" si="6"/>
        <v>17.06</v>
      </c>
      <c r="H47" s="47">
        <f t="shared" si="7"/>
        <v>6904.35</v>
      </c>
      <c r="I47" s="48">
        <f t="shared" si="8"/>
        <v>8516.86</v>
      </c>
      <c r="J47" s="30"/>
    </row>
    <row r="48" spans="1:10" s="49" customFormat="1" ht="60">
      <c r="A48" s="41" t="s">
        <v>279</v>
      </c>
      <c r="B48" s="42" t="s">
        <v>633</v>
      </c>
      <c r="C48" s="43" t="s">
        <v>223</v>
      </c>
      <c r="D48" s="44" t="s">
        <v>3</v>
      </c>
      <c r="E48" s="45">
        <v>2827.72</v>
      </c>
      <c r="F48" s="46">
        <f>TRUNC('NÃO DESONERADA '!F266,2)</f>
        <v>12.9</v>
      </c>
      <c r="G48" s="47">
        <f t="shared" si="6"/>
        <v>15.91</v>
      </c>
      <c r="H48" s="47">
        <f t="shared" si="7"/>
        <v>36477.58</v>
      </c>
      <c r="I48" s="48">
        <f t="shared" si="8"/>
        <v>44989.02</v>
      </c>
      <c r="J48" s="30"/>
    </row>
    <row r="49" spans="1:10" s="49" customFormat="1" ht="30">
      <c r="A49" s="41" t="s">
        <v>280</v>
      </c>
      <c r="B49" s="42" t="s">
        <v>812</v>
      </c>
      <c r="C49" s="43" t="s">
        <v>232</v>
      </c>
      <c r="D49" s="44" t="s">
        <v>0</v>
      </c>
      <c r="E49" s="45">
        <v>280.8</v>
      </c>
      <c r="F49" s="46">
        <f>TRUNC('NÃO DESONERADA '!F277,2)</f>
        <v>13.2</v>
      </c>
      <c r="G49" s="47">
        <f t="shared" si="6"/>
        <v>16.28</v>
      </c>
      <c r="H49" s="47">
        <f t="shared" si="7"/>
        <v>3706.56</v>
      </c>
      <c r="I49" s="48">
        <f t="shared" si="8"/>
        <v>4571.42</v>
      </c>
      <c r="J49" s="30"/>
    </row>
    <row r="50" spans="1:10" s="49" customFormat="1" ht="30">
      <c r="A50" s="41" t="s">
        <v>281</v>
      </c>
      <c r="B50" s="42" t="s">
        <v>638</v>
      </c>
      <c r="C50" s="43" t="s">
        <v>234</v>
      </c>
      <c r="D50" s="44" t="s">
        <v>0</v>
      </c>
      <c r="E50" s="45">
        <v>176.47</v>
      </c>
      <c r="F50" s="46">
        <f>TRUNC('NÃO DESONERADA '!F281,2)</f>
        <v>13.87</v>
      </c>
      <c r="G50" s="47">
        <f t="shared" si="6"/>
        <v>17.11</v>
      </c>
      <c r="H50" s="47">
        <f t="shared" si="7"/>
        <v>2447.63</v>
      </c>
      <c r="I50" s="48">
        <f t="shared" si="8"/>
        <v>3019.4</v>
      </c>
      <c r="J50" s="30"/>
    </row>
    <row r="51" spans="1:10" s="49" customFormat="1" ht="30">
      <c r="A51" s="41" t="s">
        <v>282</v>
      </c>
      <c r="B51" s="42" t="s">
        <v>637</v>
      </c>
      <c r="C51" s="43" t="s">
        <v>239</v>
      </c>
      <c r="D51" s="44" t="s">
        <v>1</v>
      </c>
      <c r="E51" s="45">
        <v>12.55</v>
      </c>
      <c r="F51" s="46">
        <f>TRUNC('NÃO DESONERADA '!F287,2)</f>
        <v>137.89</v>
      </c>
      <c r="G51" s="47">
        <f t="shared" si="6"/>
        <v>170.12</v>
      </c>
      <c r="H51" s="47">
        <f t="shared" si="7"/>
        <v>1730.51</v>
      </c>
      <c r="I51" s="48">
        <f t="shared" si="8"/>
        <v>2135</v>
      </c>
      <c r="J51" s="30"/>
    </row>
    <row r="52" spans="1:10" s="49" customFormat="1" ht="30">
      <c r="A52" s="41" t="s">
        <v>283</v>
      </c>
      <c r="B52" s="42" t="s">
        <v>641</v>
      </c>
      <c r="C52" s="43" t="s">
        <v>240</v>
      </c>
      <c r="D52" s="44" t="s">
        <v>2</v>
      </c>
      <c r="E52" s="45">
        <v>14.07</v>
      </c>
      <c r="F52" s="46">
        <f>TRUNC('NÃO DESONERADA '!F291,2)</f>
        <v>17.13</v>
      </c>
      <c r="G52" s="47">
        <f t="shared" si="6"/>
        <v>21.13</v>
      </c>
      <c r="H52" s="47">
        <f t="shared" si="7"/>
        <v>241.01</v>
      </c>
      <c r="I52" s="48">
        <f t="shared" si="8"/>
        <v>297.29</v>
      </c>
      <c r="J52" s="30"/>
    </row>
    <row r="53" spans="1:10" s="49" customFormat="1" ht="45" customHeight="1">
      <c r="A53" s="41" t="s">
        <v>284</v>
      </c>
      <c r="B53" s="42" t="s">
        <v>642</v>
      </c>
      <c r="C53" s="43" t="s">
        <v>245</v>
      </c>
      <c r="D53" s="44" t="s">
        <v>0</v>
      </c>
      <c r="E53" s="45">
        <v>30.96</v>
      </c>
      <c r="F53" s="46">
        <f>TRUNC('NÃO DESONERADA '!F296,2)</f>
        <v>97.49</v>
      </c>
      <c r="G53" s="47">
        <f t="shared" si="6"/>
        <v>120.28</v>
      </c>
      <c r="H53" s="47">
        <f t="shared" si="7"/>
        <v>3018.29</v>
      </c>
      <c r="I53" s="48">
        <f t="shared" si="8"/>
        <v>3723.86</v>
      </c>
      <c r="J53" s="30"/>
    </row>
    <row r="54" spans="1:10" s="14" customFormat="1" ht="15.75">
      <c r="A54" s="23" t="s">
        <v>23</v>
      </c>
      <c r="B54" s="25"/>
      <c r="C54" s="24"/>
      <c r="D54" s="25"/>
      <c r="E54" s="25"/>
      <c r="F54" s="25"/>
      <c r="G54" s="25" t="s">
        <v>522</v>
      </c>
      <c r="H54" s="26">
        <f>H53+H52+H51+H50+H49+H48+H47+H46+H45+H44+H43+H42+H41+H40+H39+H38</f>
        <v>113962.86</v>
      </c>
      <c r="I54" s="26">
        <f>I53+I52+I51+I50+I49+I48+I47+I46+I45+I44+I43+I42+I41+I40+I39+I38</f>
        <v>140582.94999999998</v>
      </c>
      <c r="J54" s="20"/>
    </row>
    <row r="55" spans="1:10" s="13" customFormat="1" ht="15.75">
      <c r="A55" s="13" t="s">
        <v>285</v>
      </c>
      <c r="B55" s="21"/>
      <c r="C55" s="22" t="s">
        <v>250</v>
      </c>
      <c r="D55" s="22"/>
      <c r="E55" s="22"/>
      <c r="F55" s="22"/>
      <c r="G55" s="22"/>
      <c r="H55" s="22"/>
      <c r="I55" s="20"/>
      <c r="J55" s="48">
        <v>5926.4</v>
      </c>
    </row>
    <row r="56" spans="1:10" s="49" customFormat="1" ht="75">
      <c r="A56" s="41" t="s">
        <v>792</v>
      </c>
      <c r="B56" s="42" t="s">
        <v>795</v>
      </c>
      <c r="C56" s="43" t="s">
        <v>788</v>
      </c>
      <c r="D56" s="44" t="s">
        <v>10</v>
      </c>
      <c r="E56" s="45">
        <v>8</v>
      </c>
      <c r="F56" s="46">
        <f>TRUNC('NÃO DESONERADA '!F306,2)</f>
        <v>619.64</v>
      </c>
      <c r="G56" s="47">
        <f>TRUNC(F56*1.2338,2)</f>
        <v>764.51</v>
      </c>
      <c r="H56" s="47">
        <f>TRUNC(F56*E56,2)</f>
        <v>4957.12</v>
      </c>
      <c r="I56" s="48">
        <f>TRUNC(E56*G56,2)</f>
        <v>6116.08</v>
      </c>
      <c r="J56" s="30"/>
    </row>
    <row r="57" spans="1:10" s="49" customFormat="1" ht="75">
      <c r="A57" s="41" t="s">
        <v>793</v>
      </c>
      <c r="B57" s="42" t="s">
        <v>796</v>
      </c>
      <c r="C57" s="43" t="s">
        <v>791</v>
      </c>
      <c r="D57" s="44" t="s">
        <v>10</v>
      </c>
      <c r="E57" s="45">
        <v>3</v>
      </c>
      <c r="F57" s="46">
        <v>1502.62</v>
      </c>
      <c r="G57" s="47">
        <v>1853.93</v>
      </c>
      <c r="H57" s="47">
        <v>4507.86</v>
      </c>
      <c r="I57" s="48">
        <v>5561.79</v>
      </c>
      <c r="J57" s="30"/>
    </row>
    <row r="58" spans="1:11" s="49" customFormat="1" ht="60">
      <c r="A58" s="41" t="s">
        <v>794</v>
      </c>
      <c r="B58" s="83" t="s">
        <v>157</v>
      </c>
      <c r="C58" s="43" t="s">
        <v>520</v>
      </c>
      <c r="D58" s="44" t="s">
        <v>10</v>
      </c>
      <c r="E58" s="44">
        <v>3</v>
      </c>
      <c r="F58" s="45">
        <f>'NÃO DESONERADA '!F352</f>
        <v>8422</v>
      </c>
      <c r="G58" s="47">
        <f>TRUNC(F58*1.2338,2)</f>
        <v>10391.06</v>
      </c>
      <c r="H58" s="47">
        <f>TRUNC(F58*E58,2)</f>
        <v>25266</v>
      </c>
      <c r="I58" s="48">
        <f>TRUNC(E58*G58,2)</f>
        <v>31173.18</v>
      </c>
      <c r="J58" s="26">
        <v>42641.450000000004</v>
      </c>
      <c r="K58" s="49" t="e">
        <f>#REF!*3.788</f>
        <v>#REF!</v>
      </c>
    </row>
    <row r="59" spans="1:10" s="14" customFormat="1" ht="15.75">
      <c r="A59" s="23" t="s">
        <v>23</v>
      </c>
      <c r="B59" s="25"/>
      <c r="C59" s="24"/>
      <c r="D59" s="25"/>
      <c r="E59" s="25"/>
      <c r="F59" s="25"/>
      <c r="G59" s="25" t="s">
        <v>521</v>
      </c>
      <c r="H59" s="26">
        <f>H58+H57+H56</f>
        <v>34730.98</v>
      </c>
      <c r="I59" s="26">
        <f>I58+I57+I56</f>
        <v>42851.05</v>
      </c>
      <c r="J59" s="20"/>
    </row>
    <row r="60" spans="1:10" s="13" customFormat="1" ht="15.75">
      <c r="A60" s="13" t="s">
        <v>286</v>
      </c>
      <c r="B60" s="21"/>
      <c r="C60" s="22" t="s">
        <v>148</v>
      </c>
      <c r="D60" s="22"/>
      <c r="E60" s="22"/>
      <c r="F60" s="22"/>
      <c r="G60" s="22"/>
      <c r="H60" s="22"/>
      <c r="I60" s="20"/>
      <c r="J60" s="48">
        <v>917.15</v>
      </c>
    </row>
    <row r="61" spans="1:10" s="49" customFormat="1" ht="30" customHeight="1">
      <c r="A61" s="41" t="s">
        <v>287</v>
      </c>
      <c r="B61" s="42" t="s">
        <v>651</v>
      </c>
      <c r="C61" s="43" t="s">
        <v>302</v>
      </c>
      <c r="D61" s="44" t="s">
        <v>10</v>
      </c>
      <c r="E61" s="45">
        <v>13</v>
      </c>
      <c r="F61" s="46">
        <f>TRUNC('NÃO DESONERADA '!F355,2)</f>
        <v>57.64</v>
      </c>
      <c r="G61" s="47">
        <f aca="true" t="shared" si="9" ref="G61:G76">TRUNC(F61*1.2338,2)</f>
        <v>71.11</v>
      </c>
      <c r="H61" s="47">
        <f aca="true" t="shared" si="10" ref="H61:H76">TRUNC(F61*E61,2)</f>
        <v>749.32</v>
      </c>
      <c r="I61" s="48">
        <f aca="true" t="shared" si="11" ref="I61:I76">TRUNC(E61*G61,2)</f>
        <v>924.43</v>
      </c>
      <c r="J61" s="30"/>
    </row>
    <row r="62" spans="1:10" s="49" customFormat="1" ht="30">
      <c r="A62" s="41" t="s">
        <v>288</v>
      </c>
      <c r="B62" s="42" t="s">
        <v>656</v>
      </c>
      <c r="C62" s="43" t="s">
        <v>303</v>
      </c>
      <c r="D62" s="44" t="s">
        <v>10</v>
      </c>
      <c r="E62" s="45">
        <v>3</v>
      </c>
      <c r="F62" s="46">
        <f>TRUNC('NÃO DESONERADA '!F366,2)</f>
        <v>12.02</v>
      </c>
      <c r="G62" s="47">
        <f t="shared" si="9"/>
        <v>14.83</v>
      </c>
      <c r="H62" s="47">
        <f t="shared" si="10"/>
        <v>36.06</v>
      </c>
      <c r="I62" s="48">
        <f t="shared" si="11"/>
        <v>44.49</v>
      </c>
      <c r="J62" s="30"/>
    </row>
    <row r="63" spans="1:10" s="49" customFormat="1" ht="45">
      <c r="A63" s="41" t="s">
        <v>289</v>
      </c>
      <c r="B63" s="42" t="s">
        <v>658</v>
      </c>
      <c r="C63" s="43" t="s">
        <v>307</v>
      </c>
      <c r="D63" s="44" t="s">
        <v>10</v>
      </c>
      <c r="E63" s="45">
        <v>3</v>
      </c>
      <c r="F63" s="46">
        <f>TRUNC('NÃO DESONERADA '!F371,2)</f>
        <v>211.58</v>
      </c>
      <c r="G63" s="47">
        <f t="shared" si="9"/>
        <v>261.04</v>
      </c>
      <c r="H63" s="47">
        <f t="shared" si="10"/>
        <v>634.74</v>
      </c>
      <c r="I63" s="48">
        <f t="shared" si="11"/>
        <v>783.12</v>
      </c>
      <c r="J63" s="30"/>
    </row>
    <row r="64" spans="1:10" s="49" customFormat="1" ht="60">
      <c r="A64" s="41" t="s">
        <v>290</v>
      </c>
      <c r="B64" s="42" t="s">
        <v>659</v>
      </c>
      <c r="C64" s="43" t="s">
        <v>311</v>
      </c>
      <c r="D64" s="44" t="s">
        <v>10</v>
      </c>
      <c r="E64" s="45">
        <v>10</v>
      </c>
      <c r="F64" s="46">
        <f>TRUNC('NÃO DESONERADA '!F381,2)</f>
        <v>485.56</v>
      </c>
      <c r="G64" s="47">
        <f t="shared" si="9"/>
        <v>599.08</v>
      </c>
      <c r="H64" s="47">
        <f t="shared" si="10"/>
        <v>4855.6</v>
      </c>
      <c r="I64" s="48">
        <f t="shared" si="11"/>
        <v>5990.8</v>
      </c>
      <c r="J64" s="30"/>
    </row>
    <row r="65" spans="1:10" s="49" customFormat="1" ht="45">
      <c r="A65" s="41" t="s">
        <v>291</v>
      </c>
      <c r="B65" s="42" t="s">
        <v>666</v>
      </c>
      <c r="C65" s="43" t="s">
        <v>523</v>
      </c>
      <c r="D65" s="44" t="s">
        <v>10</v>
      </c>
      <c r="E65" s="45">
        <v>3</v>
      </c>
      <c r="F65" s="46">
        <f>TRUNC('NÃO DESONERADA '!F397,2)</f>
        <v>187.55</v>
      </c>
      <c r="G65" s="47">
        <f t="shared" si="9"/>
        <v>231.39</v>
      </c>
      <c r="H65" s="47">
        <f t="shared" si="10"/>
        <v>562.65</v>
      </c>
      <c r="I65" s="48">
        <f t="shared" si="11"/>
        <v>694.17</v>
      </c>
      <c r="J65" s="30"/>
    </row>
    <row r="66" spans="1:10" s="49" customFormat="1" ht="89.25">
      <c r="A66" s="41" t="s">
        <v>292</v>
      </c>
      <c r="B66" s="42" t="s">
        <v>669</v>
      </c>
      <c r="C66" s="43" t="s">
        <v>326</v>
      </c>
      <c r="D66" s="44" t="s">
        <v>10</v>
      </c>
      <c r="E66" s="45">
        <v>10</v>
      </c>
      <c r="F66" s="46">
        <f>TRUNC('NÃO DESONERADA '!F409,2)</f>
        <v>2814.02</v>
      </c>
      <c r="G66" s="47">
        <f t="shared" si="9"/>
        <v>3471.93</v>
      </c>
      <c r="H66" s="47">
        <f t="shared" si="10"/>
        <v>28140.2</v>
      </c>
      <c r="I66" s="48">
        <f t="shared" si="11"/>
        <v>34719.3</v>
      </c>
      <c r="J66" s="30"/>
    </row>
    <row r="67" spans="1:10" s="49" customFormat="1" ht="74.25">
      <c r="A67" s="41" t="s">
        <v>293</v>
      </c>
      <c r="B67" s="42" t="s">
        <v>676</v>
      </c>
      <c r="C67" s="43" t="s">
        <v>327</v>
      </c>
      <c r="D67" s="44" t="s">
        <v>10</v>
      </c>
      <c r="E67" s="45">
        <v>3</v>
      </c>
      <c r="F67" s="46">
        <f>TRUNC('NÃO DESONERADA '!F433,2)</f>
        <v>1304.53</v>
      </c>
      <c r="G67" s="47">
        <f t="shared" si="9"/>
        <v>1609.52</v>
      </c>
      <c r="H67" s="47">
        <f t="shared" si="10"/>
        <v>3913.59</v>
      </c>
      <c r="I67" s="48">
        <f t="shared" si="11"/>
        <v>4828.56</v>
      </c>
      <c r="J67" s="30"/>
    </row>
    <row r="68" spans="1:10" s="49" customFormat="1" ht="30">
      <c r="A68" s="41" t="s">
        <v>331</v>
      </c>
      <c r="B68" s="42" t="s">
        <v>680</v>
      </c>
      <c r="C68" s="43" t="s">
        <v>681</v>
      </c>
      <c r="D68" s="44" t="s">
        <v>2</v>
      </c>
      <c r="E68" s="45">
        <v>1294.26</v>
      </c>
      <c r="F68" s="46">
        <f>TRUNC('NÃO DESONERADA '!F452,2)</f>
        <v>6.9</v>
      </c>
      <c r="G68" s="47">
        <f t="shared" si="9"/>
        <v>8.51</v>
      </c>
      <c r="H68" s="47">
        <f t="shared" si="10"/>
        <v>8930.39</v>
      </c>
      <c r="I68" s="48">
        <f t="shared" si="11"/>
        <v>11014.15</v>
      </c>
      <c r="J68" s="30"/>
    </row>
    <row r="69" spans="1:10" s="49" customFormat="1" ht="30">
      <c r="A69" s="41" t="s">
        <v>294</v>
      </c>
      <c r="B69" s="42" t="s">
        <v>683</v>
      </c>
      <c r="C69" s="43" t="s">
        <v>332</v>
      </c>
      <c r="D69" s="44" t="s">
        <v>2</v>
      </c>
      <c r="E69" s="45">
        <v>230.26</v>
      </c>
      <c r="F69" s="46">
        <f>TRUNC('NÃO DESONERADA '!F458,2)</f>
        <v>11.98</v>
      </c>
      <c r="G69" s="47">
        <f t="shared" si="9"/>
        <v>14.78</v>
      </c>
      <c r="H69" s="47">
        <f t="shared" si="10"/>
        <v>2758.51</v>
      </c>
      <c r="I69" s="48">
        <f t="shared" si="11"/>
        <v>3403.24</v>
      </c>
      <c r="J69" s="30"/>
    </row>
    <row r="70" spans="1:10" s="49" customFormat="1" ht="45">
      <c r="A70" s="41" t="s">
        <v>493</v>
      </c>
      <c r="B70" s="42" t="s">
        <v>571</v>
      </c>
      <c r="C70" s="43" t="s">
        <v>141</v>
      </c>
      <c r="D70" s="44" t="s">
        <v>1</v>
      </c>
      <c r="E70" s="45">
        <v>13.18</v>
      </c>
      <c r="F70" s="46">
        <f>TRUNC('NÃO DESONERADA '!F463,2)</f>
        <v>57.95</v>
      </c>
      <c r="G70" s="47">
        <f t="shared" si="9"/>
        <v>71.49</v>
      </c>
      <c r="H70" s="47">
        <f t="shared" si="10"/>
        <v>763.78</v>
      </c>
      <c r="I70" s="48">
        <f t="shared" si="11"/>
        <v>942.23</v>
      </c>
      <c r="J70" s="30"/>
    </row>
    <row r="71" spans="1:10" s="49" customFormat="1" ht="45">
      <c r="A71" s="41" t="s">
        <v>295</v>
      </c>
      <c r="B71" s="42" t="s">
        <v>572</v>
      </c>
      <c r="C71" s="43" t="s">
        <v>176</v>
      </c>
      <c r="D71" s="44" t="s">
        <v>1</v>
      </c>
      <c r="E71" s="45">
        <v>13.18</v>
      </c>
      <c r="F71" s="46">
        <f>TRUNC('NÃO DESONERADA '!F466,2)</f>
        <v>22.66</v>
      </c>
      <c r="G71" s="47">
        <f t="shared" si="9"/>
        <v>27.95</v>
      </c>
      <c r="H71" s="47">
        <f t="shared" si="10"/>
        <v>298.65</v>
      </c>
      <c r="I71" s="48">
        <f t="shared" si="11"/>
        <v>368.38</v>
      </c>
      <c r="J71" s="30"/>
    </row>
    <row r="72" spans="1:10" s="49" customFormat="1" ht="30">
      <c r="A72" s="41" t="s">
        <v>296</v>
      </c>
      <c r="B72" s="42" t="s">
        <v>685</v>
      </c>
      <c r="C72" s="43" t="s">
        <v>334</v>
      </c>
      <c r="D72" s="44" t="s">
        <v>10</v>
      </c>
      <c r="E72" s="45">
        <v>4</v>
      </c>
      <c r="F72" s="46">
        <f>TRUNC('NÃO DESONERADA '!F472,2)</f>
        <v>54.82</v>
      </c>
      <c r="G72" s="47">
        <f t="shared" si="9"/>
        <v>67.63</v>
      </c>
      <c r="H72" s="47">
        <f t="shared" si="10"/>
        <v>219.28</v>
      </c>
      <c r="I72" s="48">
        <f t="shared" si="11"/>
        <v>270.52</v>
      </c>
      <c r="J72" s="30"/>
    </row>
    <row r="73" spans="1:10" s="49" customFormat="1" ht="30">
      <c r="A73" s="41" t="s">
        <v>297</v>
      </c>
      <c r="B73" s="42" t="s">
        <v>688</v>
      </c>
      <c r="C73" s="43" t="s">
        <v>337</v>
      </c>
      <c r="D73" s="44" t="s">
        <v>10</v>
      </c>
      <c r="E73" s="45">
        <v>1</v>
      </c>
      <c r="F73" s="46">
        <f>TRUNC('NÃO DESONERADA '!F478,2)</f>
        <v>93.64</v>
      </c>
      <c r="G73" s="47">
        <f t="shared" si="9"/>
        <v>115.53</v>
      </c>
      <c r="H73" s="47">
        <f t="shared" si="10"/>
        <v>93.64</v>
      </c>
      <c r="I73" s="48">
        <f t="shared" si="11"/>
        <v>115.53</v>
      </c>
      <c r="J73" s="30"/>
    </row>
    <row r="74" spans="1:10" s="49" customFormat="1" ht="45">
      <c r="A74" s="41" t="s">
        <v>298</v>
      </c>
      <c r="B74" s="42" t="s">
        <v>691</v>
      </c>
      <c r="C74" s="43" t="s">
        <v>340</v>
      </c>
      <c r="D74" s="44" t="s">
        <v>10</v>
      </c>
      <c r="E74" s="45">
        <v>1</v>
      </c>
      <c r="F74" s="46">
        <f>TRUNC('NÃO DESONERADA '!F484,2)</f>
        <v>424.12</v>
      </c>
      <c r="G74" s="47">
        <f t="shared" si="9"/>
        <v>523.27</v>
      </c>
      <c r="H74" s="47">
        <f t="shared" si="10"/>
        <v>424.12</v>
      </c>
      <c r="I74" s="48">
        <f t="shared" si="11"/>
        <v>523.27</v>
      </c>
      <c r="J74" s="30"/>
    </row>
    <row r="75" spans="1:10" s="49" customFormat="1" ht="75">
      <c r="A75" s="41" t="s">
        <v>299</v>
      </c>
      <c r="B75" s="42" t="s">
        <v>693</v>
      </c>
      <c r="C75" s="43" t="s">
        <v>342</v>
      </c>
      <c r="D75" s="44" t="s">
        <v>10</v>
      </c>
      <c r="E75" s="45">
        <v>1</v>
      </c>
      <c r="F75" s="46">
        <f>TRUNC('NÃO DESONERADA '!F489,2)</f>
        <v>1147.34</v>
      </c>
      <c r="G75" s="47">
        <f t="shared" si="9"/>
        <v>1415.58</v>
      </c>
      <c r="H75" s="47">
        <f t="shared" si="10"/>
        <v>1147.34</v>
      </c>
      <c r="I75" s="48">
        <f t="shared" si="11"/>
        <v>1415.58</v>
      </c>
      <c r="J75" s="30"/>
    </row>
    <row r="76" spans="1:10" s="49" customFormat="1" ht="60">
      <c r="A76" s="41" t="s">
        <v>300</v>
      </c>
      <c r="B76" s="42" t="s">
        <v>696</v>
      </c>
      <c r="C76" s="43" t="s">
        <v>369</v>
      </c>
      <c r="D76" s="44" t="s">
        <v>10</v>
      </c>
      <c r="E76" s="45">
        <v>1</v>
      </c>
      <c r="F76" s="46">
        <f>TRUNC('NÃO DESONERADA '!F508,2)</f>
        <v>809.36</v>
      </c>
      <c r="G76" s="47">
        <f t="shared" si="9"/>
        <v>998.58</v>
      </c>
      <c r="H76" s="47">
        <f t="shared" si="10"/>
        <v>809.36</v>
      </c>
      <c r="I76" s="48">
        <f t="shared" si="11"/>
        <v>998.58</v>
      </c>
      <c r="J76" s="30"/>
    </row>
    <row r="77" spans="1:10" s="49" customFormat="1" ht="15">
      <c r="A77" s="41" t="s">
        <v>301</v>
      </c>
      <c r="B77" s="42"/>
      <c r="C77" s="43" t="s">
        <v>386</v>
      </c>
      <c r="D77" s="44"/>
      <c r="E77" s="45"/>
      <c r="F77" s="46"/>
      <c r="G77" s="47"/>
      <c r="H77" s="47"/>
      <c r="I77" s="48"/>
      <c r="J77" s="48">
        <v>5.86</v>
      </c>
    </row>
    <row r="78" spans="1:10" s="49" customFormat="1" ht="45">
      <c r="A78" s="41" t="s">
        <v>491</v>
      </c>
      <c r="B78" s="42" t="s">
        <v>571</v>
      </c>
      <c r="C78" s="43" t="s">
        <v>141</v>
      </c>
      <c r="D78" s="44" t="s">
        <v>1</v>
      </c>
      <c r="E78" s="45">
        <v>0.09</v>
      </c>
      <c r="F78" s="46">
        <f>TRUNC('NÃO DESONERADA '!F517,2)</f>
        <v>57.95</v>
      </c>
      <c r="G78" s="47">
        <f aca="true" t="shared" si="12" ref="G78:G84">TRUNC(F78*1.2338,2)</f>
        <v>71.49</v>
      </c>
      <c r="H78" s="47">
        <f aca="true" t="shared" si="13" ref="H78:H84">TRUNC(F78*E78,2)</f>
        <v>5.21</v>
      </c>
      <c r="I78" s="48">
        <f aca="true" t="shared" si="14" ref="I78:I84">TRUNC(E78*G78,2)</f>
        <v>6.43</v>
      </c>
      <c r="J78" s="30"/>
    </row>
    <row r="79" spans="1:10" s="49" customFormat="1" ht="75">
      <c r="A79" s="41" t="s">
        <v>385</v>
      </c>
      <c r="B79" s="42" t="s">
        <v>703</v>
      </c>
      <c r="C79" s="43" t="s">
        <v>372</v>
      </c>
      <c r="D79" s="44" t="s">
        <v>1</v>
      </c>
      <c r="E79" s="45">
        <v>0.13</v>
      </c>
      <c r="F79" s="46">
        <f>TRUNC('NÃO DESONERADA '!F520,2)</f>
        <v>2614.25</v>
      </c>
      <c r="G79" s="47">
        <f t="shared" si="12"/>
        <v>3225.46</v>
      </c>
      <c r="H79" s="47">
        <f t="shared" si="13"/>
        <v>339.85</v>
      </c>
      <c r="I79" s="48">
        <f t="shared" si="14"/>
        <v>419.3</v>
      </c>
      <c r="J79" s="30"/>
    </row>
    <row r="80" spans="1:10" s="49" customFormat="1" ht="60">
      <c r="A80" s="41" t="s">
        <v>387</v>
      </c>
      <c r="B80" s="42" t="s">
        <v>710</v>
      </c>
      <c r="C80" s="43" t="s">
        <v>388</v>
      </c>
      <c r="D80" s="44" t="s">
        <v>0</v>
      </c>
      <c r="E80" s="45">
        <v>2.76</v>
      </c>
      <c r="F80" s="46">
        <f>TRUNC('NÃO DESONERADA '!F537,2)</f>
        <v>115.6</v>
      </c>
      <c r="G80" s="47">
        <f t="shared" si="12"/>
        <v>142.62</v>
      </c>
      <c r="H80" s="47">
        <f t="shared" si="13"/>
        <v>319.05</v>
      </c>
      <c r="I80" s="48">
        <f t="shared" si="14"/>
        <v>393.63</v>
      </c>
      <c r="J80" s="30"/>
    </row>
    <row r="81" spans="1:10" s="49" customFormat="1" ht="45">
      <c r="A81" s="41" t="s">
        <v>392</v>
      </c>
      <c r="B81" s="42" t="s">
        <v>713</v>
      </c>
      <c r="C81" s="43" t="s">
        <v>393</v>
      </c>
      <c r="D81" s="44" t="s">
        <v>0</v>
      </c>
      <c r="E81" s="45">
        <v>5.78</v>
      </c>
      <c r="F81" s="46">
        <f>TRUNC('NÃO DESONERADA '!F545,2)</f>
        <v>4.11</v>
      </c>
      <c r="G81" s="47">
        <f t="shared" si="12"/>
        <v>5.07</v>
      </c>
      <c r="H81" s="47">
        <f t="shared" si="13"/>
        <v>23.75</v>
      </c>
      <c r="I81" s="48">
        <f t="shared" si="14"/>
        <v>29.3</v>
      </c>
      <c r="J81" s="30"/>
    </row>
    <row r="82" spans="1:10" s="49" customFormat="1" ht="60">
      <c r="A82" s="41" t="s">
        <v>394</v>
      </c>
      <c r="B82" s="42" t="s">
        <v>716</v>
      </c>
      <c r="C82" s="43" t="s">
        <v>395</v>
      </c>
      <c r="D82" s="44" t="s">
        <v>0</v>
      </c>
      <c r="E82" s="45">
        <v>5.78</v>
      </c>
      <c r="F82" s="46">
        <f>TRUNC('NÃO DESONERADA '!F550,2)</f>
        <v>35.02</v>
      </c>
      <c r="G82" s="47">
        <f t="shared" si="12"/>
        <v>43.2</v>
      </c>
      <c r="H82" s="47">
        <f t="shared" si="13"/>
        <v>202.41</v>
      </c>
      <c r="I82" s="48">
        <f t="shared" si="14"/>
        <v>249.69</v>
      </c>
      <c r="J82" s="30"/>
    </row>
    <row r="83" spans="1:10" s="49" customFormat="1" ht="27" customHeight="1">
      <c r="A83" s="41" t="s">
        <v>399</v>
      </c>
      <c r="B83" s="42" t="s">
        <v>717</v>
      </c>
      <c r="C83" s="43" t="s">
        <v>396</v>
      </c>
      <c r="D83" s="44" t="s">
        <v>0</v>
      </c>
      <c r="E83" s="45">
        <v>5.78</v>
      </c>
      <c r="F83" s="46">
        <f>TRUNC('NÃO DESONERADA '!F555,2)</f>
        <v>2.9</v>
      </c>
      <c r="G83" s="47">
        <f t="shared" si="12"/>
        <v>3.57</v>
      </c>
      <c r="H83" s="47">
        <f t="shared" si="13"/>
        <v>16.76</v>
      </c>
      <c r="I83" s="48">
        <f t="shared" si="14"/>
        <v>20.63</v>
      </c>
      <c r="J83" s="30"/>
    </row>
    <row r="84" spans="1:10" s="49" customFormat="1" ht="30">
      <c r="A84" s="41" t="s">
        <v>400</v>
      </c>
      <c r="B84" s="42" t="s">
        <v>723</v>
      </c>
      <c r="C84" s="43" t="s">
        <v>401</v>
      </c>
      <c r="D84" s="44" t="s">
        <v>0</v>
      </c>
      <c r="E84" s="45">
        <v>5.78</v>
      </c>
      <c r="F84" s="46">
        <f>TRUNC('NÃO DESONERADA '!F560,2)</f>
        <v>43</v>
      </c>
      <c r="G84" s="47">
        <f t="shared" si="12"/>
        <v>53.05</v>
      </c>
      <c r="H84" s="47">
        <f t="shared" si="13"/>
        <v>248.54</v>
      </c>
      <c r="I84" s="48">
        <f t="shared" si="14"/>
        <v>306.62</v>
      </c>
      <c r="J84" s="30"/>
    </row>
    <row r="85" spans="1:10" s="14" customFormat="1" ht="15.75">
      <c r="A85" s="23" t="s">
        <v>23</v>
      </c>
      <c r="B85" s="25"/>
      <c r="C85" s="24"/>
      <c r="D85" s="25"/>
      <c r="E85" s="25"/>
      <c r="F85" s="25"/>
      <c r="G85" s="25" t="s">
        <v>504</v>
      </c>
      <c r="H85" s="26">
        <f>H84+H83+H82+H81+H80+H79+H78+H76+H75+H74+H73+H72+H69+H68+H67+H66+H65+H64+H63+H62+H61+H70+H71</f>
        <v>55492.799999999996</v>
      </c>
      <c r="I85" s="26">
        <f>I84+I83+I82+I81+I80+I79+I78+I76+I75+I74+I73+I72+I69+I68+I67+I66+I65+I64+I63+I62+I61+I70+I71</f>
        <v>68461.95</v>
      </c>
      <c r="J85" s="20"/>
    </row>
    <row r="86" spans="1:10" s="13" customFormat="1" ht="15.75">
      <c r="A86" s="13" t="s">
        <v>496</v>
      </c>
      <c r="B86" s="21"/>
      <c r="C86" s="22" t="s">
        <v>495</v>
      </c>
      <c r="D86" s="22"/>
      <c r="E86" s="22"/>
      <c r="F86" s="22"/>
      <c r="G86" s="22"/>
      <c r="H86" s="22"/>
      <c r="I86" s="20"/>
      <c r="J86" s="48">
        <v>344.13</v>
      </c>
    </row>
    <row r="87" spans="1:10" s="49" customFormat="1" ht="29.25">
      <c r="A87" s="41" t="s">
        <v>497</v>
      </c>
      <c r="B87" s="42" t="s">
        <v>724</v>
      </c>
      <c r="C87" s="43" t="s">
        <v>494</v>
      </c>
      <c r="D87" s="44" t="s">
        <v>1</v>
      </c>
      <c r="E87" s="45">
        <v>2.72</v>
      </c>
      <c r="F87" s="46">
        <f>TRUNC('NÃO DESONERADA '!F572,2)</f>
        <v>103.31</v>
      </c>
      <c r="G87" s="47">
        <f aca="true" t="shared" si="15" ref="G87:G92">TRUNC(F87*1.2338,2)</f>
        <v>127.46</v>
      </c>
      <c r="H87" s="47">
        <f aca="true" t="shared" si="16" ref="H87:H92">TRUNC(F87*E87,2)</f>
        <v>281</v>
      </c>
      <c r="I87" s="48">
        <f aca="true" t="shared" si="17" ref="I87:I92">TRUNC(E87*G87,2)</f>
        <v>346.69</v>
      </c>
      <c r="J87" s="53"/>
    </row>
    <row r="88" spans="1:10" s="49" customFormat="1" ht="30">
      <c r="A88" s="41" t="s">
        <v>498</v>
      </c>
      <c r="B88" s="42" t="s">
        <v>729</v>
      </c>
      <c r="C88" s="43" t="s">
        <v>410</v>
      </c>
      <c r="D88" s="44" t="s">
        <v>0</v>
      </c>
      <c r="E88" s="45">
        <v>388.33</v>
      </c>
      <c r="F88" s="46">
        <f>TRUNC('NÃO DESONERADA '!F579,2)</f>
        <v>71.15</v>
      </c>
      <c r="G88" s="47">
        <f t="shared" si="15"/>
        <v>87.78</v>
      </c>
      <c r="H88" s="47">
        <f t="shared" si="16"/>
        <v>27629.67</v>
      </c>
      <c r="I88" s="48">
        <f t="shared" si="17"/>
        <v>34087.6</v>
      </c>
      <c r="J88" s="30"/>
    </row>
    <row r="89" spans="1:10" s="49" customFormat="1" ht="75">
      <c r="A89" s="41" t="s">
        <v>499</v>
      </c>
      <c r="B89" s="42" t="s">
        <v>742</v>
      </c>
      <c r="C89" s="43" t="s">
        <v>412</v>
      </c>
      <c r="D89" s="44" t="s">
        <v>2</v>
      </c>
      <c r="E89" s="45">
        <v>239.35</v>
      </c>
      <c r="F89" s="46">
        <f>TRUNC('NÃO DESONERADA '!F590,2)</f>
        <v>68.01</v>
      </c>
      <c r="G89" s="47">
        <f t="shared" si="15"/>
        <v>83.91</v>
      </c>
      <c r="H89" s="47">
        <f t="shared" si="16"/>
        <v>16278.19</v>
      </c>
      <c r="I89" s="48">
        <f t="shared" si="17"/>
        <v>20083.85</v>
      </c>
      <c r="J89" s="30"/>
    </row>
    <row r="90" spans="1:10" s="49" customFormat="1" ht="75">
      <c r="A90" s="41" t="s">
        <v>500</v>
      </c>
      <c r="B90" s="42" t="s">
        <v>742</v>
      </c>
      <c r="C90" s="43" t="s">
        <v>412</v>
      </c>
      <c r="D90" s="44" t="s">
        <v>2</v>
      </c>
      <c r="E90" s="45">
        <v>11.04</v>
      </c>
      <c r="F90" s="46">
        <f>TRUNC('NÃO DESONERADA '!F599,2)</f>
        <v>68.01</v>
      </c>
      <c r="G90" s="47">
        <f t="shared" si="15"/>
        <v>83.91</v>
      </c>
      <c r="H90" s="47">
        <f t="shared" si="16"/>
        <v>750.83</v>
      </c>
      <c r="I90" s="48">
        <f t="shared" si="17"/>
        <v>926.36</v>
      </c>
      <c r="J90" s="30"/>
    </row>
    <row r="91" spans="1:10" s="49" customFormat="1" ht="45">
      <c r="A91" s="41" t="s">
        <v>501</v>
      </c>
      <c r="B91" s="42" t="s">
        <v>749</v>
      </c>
      <c r="C91" s="43" t="s">
        <v>413</v>
      </c>
      <c r="D91" s="44" t="s">
        <v>0</v>
      </c>
      <c r="E91" s="45">
        <v>7.84</v>
      </c>
      <c r="F91" s="46">
        <f>TRUNC('NÃO DESONERADA '!F608,2)</f>
        <v>133.72</v>
      </c>
      <c r="G91" s="47">
        <f t="shared" si="15"/>
        <v>164.98</v>
      </c>
      <c r="H91" s="47">
        <f t="shared" si="16"/>
        <v>1048.36</v>
      </c>
      <c r="I91" s="48">
        <f t="shared" si="17"/>
        <v>1293.44</v>
      </c>
      <c r="J91" s="30"/>
    </row>
    <row r="92" spans="1:10" s="49" customFormat="1" ht="45">
      <c r="A92" s="41" t="s">
        <v>503</v>
      </c>
      <c r="B92" s="42" t="s">
        <v>749</v>
      </c>
      <c r="C92" s="43" t="s">
        <v>413</v>
      </c>
      <c r="D92" s="44" t="s">
        <v>0</v>
      </c>
      <c r="E92" s="45">
        <v>37.98</v>
      </c>
      <c r="F92" s="46">
        <f>TRUNC('NÃO DESONERADA '!F617,2)</f>
        <v>133.72</v>
      </c>
      <c r="G92" s="47">
        <f t="shared" si="15"/>
        <v>164.98</v>
      </c>
      <c r="H92" s="47">
        <f t="shared" si="16"/>
        <v>5078.68</v>
      </c>
      <c r="I92" s="48">
        <f t="shared" si="17"/>
        <v>6265.94</v>
      </c>
      <c r="J92" s="30"/>
    </row>
    <row r="93" spans="1:10" s="14" customFormat="1" ht="15.75">
      <c r="A93" s="23" t="s">
        <v>23</v>
      </c>
      <c r="B93" s="25"/>
      <c r="C93" s="24"/>
      <c r="D93" s="25"/>
      <c r="E93" s="25"/>
      <c r="F93" s="25"/>
      <c r="G93" s="25" t="s">
        <v>505</v>
      </c>
      <c r="H93" s="26">
        <f>H92+H91+H90+H89+H88+H87</f>
        <v>51066.729999999996</v>
      </c>
      <c r="I93" s="26">
        <f>I92+I91+I90+I89+I88+I87</f>
        <v>63003.88</v>
      </c>
      <c r="J93" s="20"/>
    </row>
    <row r="94" spans="1:10" s="13" customFormat="1" ht="15.75">
      <c r="A94" s="13" t="s">
        <v>506</v>
      </c>
      <c r="B94" s="21"/>
      <c r="C94" s="22" t="s">
        <v>419</v>
      </c>
      <c r="D94" s="22"/>
      <c r="E94" s="22"/>
      <c r="F94" s="22"/>
      <c r="G94" s="22"/>
      <c r="H94" s="22"/>
      <c r="I94" s="20"/>
      <c r="J94" s="48">
        <v>1175.53</v>
      </c>
    </row>
    <row r="95" spans="1:10" s="49" customFormat="1" ht="30">
      <c r="A95" s="41" t="s">
        <v>427</v>
      </c>
      <c r="B95" s="42" t="s">
        <v>756</v>
      </c>
      <c r="C95" s="43" t="s">
        <v>420</v>
      </c>
      <c r="D95" s="44" t="s">
        <v>0</v>
      </c>
      <c r="E95" s="45">
        <v>301.42</v>
      </c>
      <c r="F95" s="46">
        <f>TRUNC('NÃO DESONERADA '!F628,2)</f>
        <v>3.16</v>
      </c>
      <c r="G95" s="47">
        <f>TRUNC(F95*1.2338,2)</f>
        <v>3.89</v>
      </c>
      <c r="H95" s="47">
        <f>TRUNC(F95*E95,2)</f>
        <v>952.48</v>
      </c>
      <c r="I95" s="48">
        <f>TRUNC(E95*G95,2)</f>
        <v>1172.52</v>
      </c>
      <c r="J95" s="30"/>
    </row>
    <row r="96" spans="1:10" s="49" customFormat="1" ht="15">
      <c r="A96" s="41" t="s">
        <v>428</v>
      </c>
      <c r="B96" s="42" t="s">
        <v>757</v>
      </c>
      <c r="C96" s="43" t="s">
        <v>422</v>
      </c>
      <c r="D96" s="44" t="s">
        <v>3</v>
      </c>
      <c r="E96" s="45">
        <v>820.54</v>
      </c>
      <c r="F96" s="46">
        <f>TRUNC('NÃO DESONERADA '!F633,2)</f>
        <v>23.77</v>
      </c>
      <c r="G96" s="47">
        <f>TRUNC(F96*1.2338,2)</f>
        <v>29.32</v>
      </c>
      <c r="H96" s="47">
        <f>TRUNC(F96*E96,2)</f>
        <v>19504.23</v>
      </c>
      <c r="I96" s="48">
        <f>TRUNC(E96*G96,2)</f>
        <v>24058.23</v>
      </c>
      <c r="J96" s="30"/>
    </row>
    <row r="97" spans="1:10" s="49" customFormat="1" ht="45">
      <c r="A97" s="41" t="s">
        <v>429</v>
      </c>
      <c r="B97" s="42" t="s">
        <v>600</v>
      </c>
      <c r="C97" s="43" t="s">
        <v>193</v>
      </c>
      <c r="D97" s="44" t="s">
        <v>1</v>
      </c>
      <c r="E97" s="45">
        <v>14.06</v>
      </c>
      <c r="F97" s="46">
        <f>TRUNC('NÃO DESONERADA '!F640,2)</f>
        <v>482.7</v>
      </c>
      <c r="G97" s="47">
        <f>TRUNC(F97*1.2338,2)</f>
        <v>595.55</v>
      </c>
      <c r="H97" s="47">
        <f>TRUNC(F97*E97,2)</f>
        <v>6786.76</v>
      </c>
      <c r="I97" s="48">
        <f>TRUNC(E97*G97,2)</f>
        <v>8373.43</v>
      </c>
      <c r="J97" s="30"/>
    </row>
    <row r="98" spans="1:10" s="49" customFormat="1" ht="45">
      <c r="A98" s="41" t="s">
        <v>430</v>
      </c>
      <c r="B98" s="42" t="s">
        <v>605</v>
      </c>
      <c r="C98" s="43" t="s">
        <v>194</v>
      </c>
      <c r="D98" s="44" t="s">
        <v>1</v>
      </c>
      <c r="E98" s="45">
        <v>27.72</v>
      </c>
      <c r="F98" s="46">
        <f>TRUNC('NÃO DESONERADA '!F645,2)</f>
        <v>519.55</v>
      </c>
      <c r="G98" s="47">
        <f>TRUNC(F98*1.2338,2)</f>
        <v>641.02</v>
      </c>
      <c r="H98" s="47">
        <f>TRUNC(F98*E98,2)</f>
        <v>14401.92</v>
      </c>
      <c r="I98" s="48">
        <f>TRUNC(E98*G98,2)</f>
        <v>17769.07</v>
      </c>
      <c r="J98" s="30"/>
    </row>
    <row r="99" spans="1:10" s="49" customFormat="1" ht="30">
      <c r="A99" s="41" t="s">
        <v>431</v>
      </c>
      <c r="B99" s="42" t="s">
        <v>612</v>
      </c>
      <c r="C99" s="43" t="s">
        <v>204</v>
      </c>
      <c r="D99" s="44" t="s">
        <v>0</v>
      </c>
      <c r="E99" s="45">
        <v>50.13</v>
      </c>
      <c r="F99" s="46">
        <f>TRUNC('NÃO DESONERADA '!F652,2)</f>
        <v>79.67</v>
      </c>
      <c r="G99" s="47">
        <f>TRUNC(F99*1.2338,2)</f>
        <v>98.29</v>
      </c>
      <c r="H99" s="47">
        <f>TRUNC(F99*E99,2)</f>
        <v>3993.85</v>
      </c>
      <c r="I99" s="48">
        <f>TRUNC(E99*G99,2)</f>
        <v>4927.27</v>
      </c>
      <c r="J99" s="30"/>
    </row>
    <row r="100" spans="1:11" s="14" customFormat="1" ht="15.75">
      <c r="A100" s="23" t="s">
        <v>23</v>
      </c>
      <c r="B100" s="25"/>
      <c r="C100" s="24"/>
      <c r="D100" s="25"/>
      <c r="E100" s="25"/>
      <c r="F100" s="25"/>
      <c r="G100" s="25" t="s">
        <v>508</v>
      </c>
      <c r="H100" s="26">
        <f>H99+H98+H97+H96+H95</f>
        <v>45639.24</v>
      </c>
      <c r="I100" s="26">
        <f>I99+I98+I97+I96+I95</f>
        <v>56300.52</v>
      </c>
      <c r="J100" s="20"/>
      <c r="K100" s="14">
        <v>56300.52</v>
      </c>
    </row>
    <row r="101" spans="1:10" s="13" customFormat="1" ht="15.75">
      <c r="A101" s="13" t="s">
        <v>507</v>
      </c>
      <c r="B101" s="21"/>
      <c r="C101" s="22" t="s">
        <v>432</v>
      </c>
      <c r="D101" s="22"/>
      <c r="E101" s="22"/>
      <c r="F101" s="22"/>
      <c r="G101" s="22"/>
      <c r="H101" s="22"/>
      <c r="I101" s="20"/>
      <c r="J101" s="48">
        <v>492.64</v>
      </c>
    </row>
    <row r="102" spans="1:10" s="49" customFormat="1" ht="45">
      <c r="A102" s="41" t="s">
        <v>442</v>
      </c>
      <c r="B102" s="42" t="s">
        <v>763</v>
      </c>
      <c r="C102" s="43" t="s">
        <v>433</v>
      </c>
      <c r="D102" s="44" t="s">
        <v>10</v>
      </c>
      <c r="E102" s="45">
        <v>8</v>
      </c>
      <c r="F102" s="46">
        <f>TRUNC('NÃO DESONERADA '!F666,2)</f>
        <v>49.71</v>
      </c>
      <c r="G102" s="47">
        <f>TRUNC(F102*1.2338,2)</f>
        <v>61.33</v>
      </c>
      <c r="H102" s="47">
        <f>TRUNC(F102*E102,2)</f>
        <v>397.68</v>
      </c>
      <c r="I102" s="48">
        <f>TRUNC(E102*G102,2)</f>
        <v>490.64</v>
      </c>
      <c r="J102" s="30"/>
    </row>
    <row r="103" spans="1:10" s="49" customFormat="1" ht="75">
      <c r="A103" s="41" t="s">
        <v>443</v>
      </c>
      <c r="B103" s="42" t="s">
        <v>764</v>
      </c>
      <c r="C103" s="43" t="s">
        <v>444</v>
      </c>
      <c r="D103" s="44" t="s">
        <v>2</v>
      </c>
      <c r="E103" s="45">
        <v>17.1</v>
      </c>
      <c r="F103" s="46">
        <f>TRUNC('NÃO DESONERADA '!F673,2)</f>
        <v>244.19</v>
      </c>
      <c r="G103" s="47">
        <f>TRUNC(F103*1.2338,2)</f>
        <v>301.28</v>
      </c>
      <c r="H103" s="47">
        <f>TRUNC(F103*E103,2)</f>
        <v>4175.64</v>
      </c>
      <c r="I103" s="48">
        <f>TRUNC(E103*G103,2)</f>
        <v>5151.88</v>
      </c>
      <c r="J103" s="30"/>
    </row>
    <row r="104" spans="1:10" s="14" customFormat="1" ht="15.75">
      <c r="A104" s="23" t="s">
        <v>23</v>
      </c>
      <c r="B104" s="25"/>
      <c r="C104" s="24"/>
      <c r="D104" s="25"/>
      <c r="E104" s="25"/>
      <c r="F104" s="25"/>
      <c r="G104" s="25" t="s">
        <v>509</v>
      </c>
      <c r="H104" s="26">
        <f>H103+H102</f>
        <v>4573.320000000001</v>
      </c>
      <c r="I104" s="26">
        <f>I103+I102</f>
        <v>5642.52</v>
      </c>
      <c r="J104" s="20"/>
    </row>
    <row r="105" spans="1:10" s="13" customFormat="1" ht="15.75">
      <c r="A105" s="13">
        <v>11</v>
      </c>
      <c r="B105" s="21"/>
      <c r="C105" s="22" t="s">
        <v>453</v>
      </c>
      <c r="D105" s="22"/>
      <c r="E105" s="22"/>
      <c r="F105" s="22"/>
      <c r="G105" s="22"/>
      <c r="H105" s="22"/>
      <c r="I105" s="20"/>
      <c r="J105" s="48">
        <v>4226.4</v>
      </c>
    </row>
    <row r="106" spans="1:10" s="49" customFormat="1" ht="30">
      <c r="A106" s="41" t="s">
        <v>454</v>
      </c>
      <c r="B106" s="42" t="s">
        <v>771</v>
      </c>
      <c r="C106" s="43" t="s">
        <v>455</v>
      </c>
      <c r="D106" s="44" t="s">
        <v>1</v>
      </c>
      <c r="E106" s="45">
        <v>16</v>
      </c>
      <c r="F106" s="46">
        <f>TRUNC('NÃO DESONERADA '!F693,2)</f>
        <v>208.22</v>
      </c>
      <c r="G106" s="47">
        <f>TRUNC(F106*1.2338,2)</f>
        <v>256.9</v>
      </c>
      <c r="H106" s="47">
        <f>TRUNC(F106*E106,2)</f>
        <v>3331.52</v>
      </c>
      <c r="I106" s="48">
        <f>TRUNC(E106*G106,2)</f>
        <v>4110.4</v>
      </c>
      <c r="J106" s="30"/>
    </row>
    <row r="107" spans="1:10" s="49" customFormat="1" ht="30">
      <c r="A107" s="41" t="s">
        <v>458</v>
      </c>
      <c r="B107" s="42" t="s">
        <v>772</v>
      </c>
      <c r="C107" s="43" t="s">
        <v>460</v>
      </c>
      <c r="D107" s="44" t="s">
        <v>10</v>
      </c>
      <c r="E107" s="45">
        <v>31</v>
      </c>
      <c r="F107" s="46">
        <f>TRUNC('NÃO DESONERADA '!F697,2)</f>
        <v>34.55</v>
      </c>
      <c r="G107" s="47">
        <f>TRUNC(F107*1.2338,2)</f>
        <v>42.62</v>
      </c>
      <c r="H107" s="47">
        <f>TRUNC(F107*E107,2)</f>
        <v>1071.05</v>
      </c>
      <c r="I107" s="48">
        <f>TRUNC(E107*G107,2)</f>
        <v>1321.22</v>
      </c>
      <c r="J107" s="30"/>
    </row>
    <row r="108" spans="1:10" s="49" customFormat="1" ht="30">
      <c r="A108" s="41" t="s">
        <v>462</v>
      </c>
      <c r="B108" s="42" t="s">
        <v>777</v>
      </c>
      <c r="C108" s="43" t="s">
        <v>463</v>
      </c>
      <c r="D108" s="44" t="s">
        <v>10</v>
      </c>
      <c r="E108" s="45">
        <v>7</v>
      </c>
      <c r="F108" s="46">
        <f>TRUNC('NÃO DESONERADA '!F708,2)</f>
        <v>31.87</v>
      </c>
      <c r="G108" s="47">
        <f>TRUNC(F108*1.2338,2)</f>
        <v>39.32</v>
      </c>
      <c r="H108" s="47">
        <f>TRUNC(F108*E108,2)</f>
        <v>223.09</v>
      </c>
      <c r="I108" s="48">
        <f>TRUNC(E108*G108,2)</f>
        <v>275.24</v>
      </c>
      <c r="J108" s="30"/>
    </row>
    <row r="109" spans="1:10" s="14" customFormat="1" ht="15.75">
      <c r="A109" s="23" t="s">
        <v>23</v>
      </c>
      <c r="B109" s="25"/>
      <c r="C109" s="24"/>
      <c r="D109" s="25"/>
      <c r="E109" s="25"/>
      <c r="F109" s="25"/>
      <c r="G109" s="25" t="s">
        <v>512</v>
      </c>
      <c r="H109" s="26">
        <f>H108+H107+H106</f>
        <v>4625.66</v>
      </c>
      <c r="I109" s="26">
        <f>I108+I107+I106</f>
        <v>5706.86</v>
      </c>
      <c r="J109" s="20"/>
    </row>
    <row r="110" spans="1:10" s="13" customFormat="1" ht="15.75">
      <c r="A110" s="13" t="s">
        <v>513</v>
      </c>
      <c r="B110" s="21"/>
      <c r="C110" s="22" t="s">
        <v>467</v>
      </c>
      <c r="D110" s="22"/>
      <c r="E110" s="22"/>
      <c r="F110" s="22"/>
      <c r="G110" s="22"/>
      <c r="H110" s="22"/>
      <c r="I110" s="20"/>
      <c r="J110" s="48">
        <v>161.71</v>
      </c>
    </row>
    <row r="111" spans="1:10" s="49" customFormat="1" ht="45">
      <c r="A111" s="41" t="s">
        <v>468</v>
      </c>
      <c r="B111" s="42" t="s">
        <v>713</v>
      </c>
      <c r="C111" s="43" t="s">
        <v>393</v>
      </c>
      <c r="D111" s="44" t="s">
        <v>0</v>
      </c>
      <c r="E111" s="45">
        <v>32.67</v>
      </c>
      <c r="F111" s="46">
        <f>TRUNC('NÃO DESONERADA '!F716,2)</f>
        <v>4.11</v>
      </c>
      <c r="G111" s="47">
        <f>TRUNC(F111*1.2338,2)</f>
        <v>5.07</v>
      </c>
      <c r="H111" s="47">
        <f>TRUNC(F111*E111,2)</f>
        <v>134.27</v>
      </c>
      <c r="I111" s="48">
        <f>TRUNC(E111*G111,2)</f>
        <v>165.63</v>
      </c>
      <c r="J111" s="30"/>
    </row>
    <row r="112" spans="1:10" s="49" customFormat="1" ht="60">
      <c r="A112" s="41" t="s">
        <v>514</v>
      </c>
      <c r="B112" s="42" t="s">
        <v>716</v>
      </c>
      <c r="C112" s="43" t="s">
        <v>395</v>
      </c>
      <c r="D112" s="44" t="s">
        <v>0</v>
      </c>
      <c r="E112" s="45">
        <v>32.67</v>
      </c>
      <c r="F112" s="46">
        <f>TRUNC('NÃO DESONERADA '!F721,2)</f>
        <v>35.02</v>
      </c>
      <c r="G112" s="47">
        <f>TRUNC(F112*1.2338,2)</f>
        <v>43.2</v>
      </c>
      <c r="H112" s="47">
        <f>TRUNC(F112*E112,2)</f>
        <v>1144.1</v>
      </c>
      <c r="I112" s="48">
        <f>TRUNC(E112*G112,2)</f>
        <v>1411.34</v>
      </c>
      <c r="J112" s="30"/>
    </row>
    <row r="113" spans="1:10" s="14" customFormat="1" ht="15.75">
      <c r="A113" s="23" t="s">
        <v>23</v>
      </c>
      <c r="B113" s="25"/>
      <c r="C113" s="24"/>
      <c r="D113" s="25"/>
      <c r="E113" s="25"/>
      <c r="F113" s="25"/>
      <c r="G113" s="25" t="s">
        <v>515</v>
      </c>
      <c r="H113" s="26">
        <f>H111+H112</f>
        <v>1278.37</v>
      </c>
      <c r="I113" s="26">
        <f>I111+I112</f>
        <v>1576.9699999999998</v>
      </c>
      <c r="J113" s="20"/>
    </row>
    <row r="114" spans="1:10" s="13" customFormat="1" ht="15.75">
      <c r="A114" s="13" t="s">
        <v>516</v>
      </c>
      <c r="B114" s="21"/>
      <c r="C114" s="22" t="s">
        <v>469</v>
      </c>
      <c r="D114" s="22"/>
      <c r="E114" s="22"/>
      <c r="F114" s="22"/>
      <c r="G114" s="22"/>
      <c r="H114" s="22"/>
      <c r="I114" s="20"/>
      <c r="J114" s="48">
        <v>12161.71</v>
      </c>
    </row>
    <row r="115" spans="1:10" s="49" customFormat="1" ht="45">
      <c r="A115" s="41" t="s">
        <v>470</v>
      </c>
      <c r="B115" s="42" t="s">
        <v>780</v>
      </c>
      <c r="C115" s="43" t="s">
        <v>471</v>
      </c>
      <c r="D115" s="44" t="s">
        <v>0</v>
      </c>
      <c r="E115" s="45">
        <v>105.8</v>
      </c>
      <c r="F115" s="46">
        <f>TRUNC('NÃO DESONERADA '!F728,2)</f>
        <v>90.03</v>
      </c>
      <c r="G115" s="47">
        <f>TRUNC(F115*1.2338,2)</f>
        <v>111.07</v>
      </c>
      <c r="H115" s="47">
        <f>TRUNC(F115*E115,2)</f>
        <v>9525.17</v>
      </c>
      <c r="I115" s="48">
        <f>TRUNC(E115*G115,2)</f>
        <v>11751.2</v>
      </c>
      <c r="J115" s="30"/>
    </row>
    <row r="116" spans="1:10" s="49" customFormat="1" ht="15">
      <c r="A116" s="41" t="s">
        <v>476</v>
      </c>
      <c r="B116" s="42" t="s">
        <v>781</v>
      </c>
      <c r="C116" s="43" t="s">
        <v>478</v>
      </c>
      <c r="D116" s="44" t="s">
        <v>0</v>
      </c>
      <c r="E116" s="45">
        <v>173.71</v>
      </c>
      <c r="F116" s="46">
        <f>TRUNC('NÃO DESONERADA '!F734,2)</f>
        <v>8.3</v>
      </c>
      <c r="G116" s="47">
        <f>TRUNC(F116*1.2338,2)</f>
        <v>10.24</v>
      </c>
      <c r="H116" s="47">
        <f>TRUNC(F116*E116,2)</f>
        <v>1441.79</v>
      </c>
      <c r="I116" s="48">
        <f>TRUNC(E116*G116,2)</f>
        <v>1778.79</v>
      </c>
      <c r="J116" s="30"/>
    </row>
    <row r="117" spans="1:10" s="14" customFormat="1" ht="15.75">
      <c r="A117" s="23" t="s">
        <v>23</v>
      </c>
      <c r="B117" s="25"/>
      <c r="C117" s="24"/>
      <c r="D117" s="25"/>
      <c r="E117" s="25"/>
      <c r="F117" s="25"/>
      <c r="G117" s="25" t="s">
        <v>517</v>
      </c>
      <c r="H117" s="26">
        <f>H115+H116</f>
        <v>10966.96</v>
      </c>
      <c r="I117" s="26">
        <f>I115+I116</f>
        <v>13529.990000000002</v>
      </c>
      <c r="J117" s="20"/>
    </row>
    <row r="118" spans="1:10" s="13" customFormat="1" ht="15.75">
      <c r="A118" s="13" t="s">
        <v>518</v>
      </c>
      <c r="B118" s="21"/>
      <c r="C118" s="22" t="s">
        <v>479</v>
      </c>
      <c r="D118" s="22"/>
      <c r="E118" s="22"/>
      <c r="F118" s="22"/>
      <c r="G118" s="22"/>
      <c r="H118" s="22"/>
      <c r="I118" s="20"/>
      <c r="J118" s="48">
        <v>1004.53</v>
      </c>
    </row>
    <row r="119" spans="1:10" s="49" customFormat="1" ht="15">
      <c r="A119" s="41" t="s">
        <v>480</v>
      </c>
      <c r="B119" s="42" t="s">
        <v>783</v>
      </c>
      <c r="C119" s="43" t="s">
        <v>481</v>
      </c>
      <c r="D119" s="44" t="s">
        <v>1</v>
      </c>
      <c r="E119" s="45">
        <v>29.58</v>
      </c>
      <c r="F119" s="46">
        <f>TRUNC('NÃO DESONERADA '!F741,2)</f>
        <v>28.54</v>
      </c>
      <c r="G119" s="47">
        <f>TRUNC(F119*1.2338,2)</f>
        <v>35.21</v>
      </c>
      <c r="H119" s="47">
        <f>TRUNC(F119*E119,2)</f>
        <v>844.21</v>
      </c>
      <c r="I119" s="48">
        <f>TRUNC(E119*G119,2)</f>
        <v>1041.51</v>
      </c>
      <c r="J119" s="30"/>
    </row>
    <row r="120" spans="1:10" s="49" customFormat="1" ht="30">
      <c r="A120" s="41" t="s">
        <v>483</v>
      </c>
      <c r="B120" s="42" t="s">
        <v>582</v>
      </c>
      <c r="C120" s="43" t="s">
        <v>180</v>
      </c>
      <c r="D120" s="44" t="s">
        <v>181</v>
      </c>
      <c r="E120" s="45">
        <v>393.41</v>
      </c>
      <c r="F120" s="46">
        <f>TRUNC('NÃO DESONERADA '!F745,2)</f>
        <v>2.2</v>
      </c>
      <c r="G120" s="47">
        <f>TRUNC(F120*1.2338,2)</f>
        <v>2.71</v>
      </c>
      <c r="H120" s="47">
        <f>TRUNC(F120*E120,2)</f>
        <v>865.5</v>
      </c>
      <c r="I120" s="48">
        <f>TRUNC(E120*G120,2)</f>
        <v>1066.14</v>
      </c>
      <c r="J120" s="30"/>
    </row>
    <row r="121" spans="1:10" s="49" customFormat="1" ht="15">
      <c r="A121" s="41" t="s">
        <v>484</v>
      </c>
      <c r="B121" s="42" t="s">
        <v>583</v>
      </c>
      <c r="C121" s="43" t="s">
        <v>182</v>
      </c>
      <c r="D121" s="44" t="s">
        <v>1</v>
      </c>
      <c r="E121" s="45">
        <v>29.58</v>
      </c>
      <c r="F121" s="46">
        <f>TRUNC('NÃO DESONERADA '!F749,2)</f>
        <v>1.28</v>
      </c>
      <c r="G121" s="47">
        <f>TRUNC(F121*1.2338,2)</f>
        <v>1.57</v>
      </c>
      <c r="H121" s="47">
        <f>TRUNC(F121*E121,2)</f>
        <v>37.86</v>
      </c>
      <c r="I121" s="48">
        <f>TRUNC(E121*G121,2)</f>
        <v>46.44</v>
      </c>
      <c r="J121" s="30"/>
    </row>
    <row r="122" spans="1:10" s="14" customFormat="1" ht="15.75">
      <c r="A122" s="23" t="s">
        <v>23</v>
      </c>
      <c r="B122" s="25"/>
      <c r="C122" s="24"/>
      <c r="D122" s="25"/>
      <c r="E122" s="25"/>
      <c r="F122" s="25"/>
      <c r="G122" s="25" t="s">
        <v>519</v>
      </c>
      <c r="H122" s="26">
        <f>H119+H121+H120</f>
        <v>1747.5700000000002</v>
      </c>
      <c r="I122" s="26">
        <f>I119+I121+I120</f>
        <v>2154.09</v>
      </c>
      <c r="J122" s="26">
        <v>531732.65</v>
      </c>
    </row>
    <row r="123" spans="1:10" s="14" customFormat="1" ht="15.75">
      <c r="A123" s="23" t="s">
        <v>23</v>
      </c>
      <c r="B123" s="25"/>
      <c r="C123" s="24"/>
      <c r="D123" s="25"/>
      <c r="E123" s="25"/>
      <c r="F123" s="25"/>
      <c r="G123" s="25" t="s">
        <v>50</v>
      </c>
      <c r="H123" s="26">
        <f>H122+H117+H113+H109+H104+H100+H93+H85+H59+H54+H36+H27+H18</f>
        <v>375171.85000000003</v>
      </c>
      <c r="I123" s="26">
        <f>I122+I117+I113+I109+I104+I100+I93+I85+I59+I54+I36+I27+I18</f>
        <v>462799.98999999993</v>
      </c>
      <c r="J123" s="30"/>
    </row>
  </sheetData>
  <sheetProtection/>
  <mergeCells count="10">
    <mergeCell ref="D2:E2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Thais da Silva Miranda</cp:lastModifiedBy>
  <cp:lastPrinted>2021-09-13T17:35:46Z</cp:lastPrinted>
  <dcterms:created xsi:type="dcterms:W3CDTF">2017-11-22T13:14:51Z</dcterms:created>
  <dcterms:modified xsi:type="dcterms:W3CDTF">2021-11-24T12:08:15Z</dcterms:modified>
  <cp:category/>
  <cp:version/>
  <cp:contentType/>
  <cp:contentStatus/>
</cp:coreProperties>
</file>