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wmf" ContentType="image/x-wmf"/>
  <Override PartName="/xl/drawings/drawing4.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40" yWindow="855" windowWidth="20115" windowHeight="7215" activeTab="2"/>
  </bookViews>
  <sheets>
    <sheet name="MEMÓRIA ONERADA" sheetId="9" r:id="rId1"/>
    <sheet name="MEMÓRIA RESUMIDA" sheetId="21" r:id="rId2"/>
    <sheet name=" PLANILHA ONERADA" sheetId="12" r:id="rId3"/>
    <sheet name="Cronograma " sheetId="6" r:id="rId4"/>
  </sheets>
  <externalReferences>
    <externalReference r:id="rId5"/>
    <externalReference r:id="rId6"/>
    <externalReference r:id="rId7"/>
  </externalReferences>
  <definedNames>
    <definedName name="__shared_1_0_0">#REF!*#REF!</definedName>
    <definedName name="__shared_1_1_0">#REF!*#REF!</definedName>
    <definedName name="__shared_1_2_0">#REF!*#REF!</definedName>
    <definedName name="__shared_1_3_0">#REF!*#REF!</definedName>
    <definedName name="__shared_1_3_1">#REF!*#REF!</definedName>
    <definedName name="__shared_1_4_0">#REF!*#REF!</definedName>
    <definedName name="__shared_1_5_0">#REF!*#REF!</definedName>
    <definedName name="__shared_2_0_0">#REF!*#REF!</definedName>
    <definedName name="__shared_3_0_0">SUM(#REF!)</definedName>
    <definedName name="_xlnm.Extract" localSheetId="3">'Cronograma '!#REF!</definedName>
    <definedName name="_xlnm.Print_Area" localSheetId="2">' PLANILHA ONERADA'!$A$1:$I$79</definedName>
    <definedName name="_xlnm.Print_Area" localSheetId="3">'Cronograma '!$A$1:$I$28</definedName>
    <definedName name="_xlnm.Print_Area" localSheetId="0">'MEMÓRIA ONERADA'!$A$1:$G$383</definedName>
    <definedName name="_xlnm.Print_Area" localSheetId="1">'MEMÓRIA RESUMIDA'!$A$1:$G$79</definedName>
    <definedName name="BDI" localSheetId="2">#REF!</definedName>
    <definedName name="BDI" localSheetId="3">#REF!</definedName>
    <definedName name="BDI" localSheetId="0">#REF!</definedName>
    <definedName name="BDI" localSheetId="1">#REF!</definedName>
    <definedName name="BDI">#REF!</definedName>
    <definedName name="_xlnm.Criteria" localSheetId="3">'Cronograma '!#REF!</definedName>
    <definedName name="cronog">#REF!</definedName>
    <definedName name="MEM_A">#REF!</definedName>
    <definedName name="MEN_B">#REF!</definedName>
    <definedName name="OnerADO">#REF!</definedName>
    <definedName name="ORÇ_A">#REF!</definedName>
    <definedName name="ORÇ_B">#REF!</definedName>
    <definedName name="ORÇ_D">#REF!</definedName>
    <definedName name="orcb">#REF!</definedName>
    <definedName name="_xlnm.Print_Titles" localSheetId="2">' PLANILHA ONERADA'!$1:$11</definedName>
    <definedName name="_xlnm.Print_Titles" localSheetId="3">'Cronograma '!$10:$12</definedName>
    <definedName name="_xlnm.Print_Titles" localSheetId="0">'MEMÓRIA ONERADA'!$9:$11</definedName>
    <definedName name="_xlnm.Print_Titles" localSheetId="1">'MEMÓRIA RESUMIDA'!$9:$11</definedName>
  </definedNames>
  <calcPr calcId="125725" fullCalcOnLoad="1" iterate="1"/>
</workbook>
</file>

<file path=xl/calcChain.xml><?xml version="1.0" encoding="utf-8"?>
<calcChain xmlns="http://schemas.openxmlformats.org/spreadsheetml/2006/main">
  <c r="E205" i="9"/>
  <c r="F259"/>
  <c r="F260"/>
  <c r="G260"/>
  <c r="F265"/>
  <c r="G265"/>
  <c r="F264"/>
  <c r="G264"/>
  <c r="F263"/>
  <c r="G263"/>
  <c r="F262"/>
  <c r="G262"/>
  <c r="G261"/>
  <c r="G247"/>
  <c r="F249"/>
  <c r="G249"/>
  <c r="F248"/>
  <c r="G248"/>
  <c r="B49" i="12"/>
  <c r="C49"/>
  <c r="D49"/>
  <c r="E49"/>
  <c r="F255" i="9"/>
  <c r="G255"/>
  <c r="F254"/>
  <c r="G254"/>
  <c r="F253"/>
  <c r="G253"/>
  <c r="F252"/>
  <c r="G252"/>
  <c r="F398"/>
  <c r="G398"/>
  <c r="F397"/>
  <c r="G397"/>
  <c r="F396"/>
  <c r="G396"/>
  <c r="F395"/>
  <c r="G395"/>
  <c r="F394"/>
  <c r="G394"/>
  <c r="E392"/>
  <c r="G390"/>
  <c r="F392"/>
  <c r="F391"/>
  <c r="G391"/>
  <c r="A55" i="12"/>
  <c r="B55"/>
  <c r="C55"/>
  <c r="D55"/>
  <c r="E55"/>
  <c r="E371" i="9"/>
  <c r="E76" i="21"/>
  <c r="E76" i="12" s="1"/>
  <c r="F131" i="9"/>
  <c r="G131"/>
  <c r="F130"/>
  <c r="G130"/>
  <c r="F129"/>
  <c r="G129"/>
  <c r="F128"/>
  <c r="G128"/>
  <c r="F127"/>
  <c r="G127"/>
  <c r="F126"/>
  <c r="G126"/>
  <c r="G208"/>
  <c r="F207"/>
  <c r="G207"/>
  <c r="E42" i="21"/>
  <c r="E42" i="12" s="1"/>
  <c r="B54"/>
  <c r="C54"/>
  <c r="D54"/>
  <c r="A54"/>
  <c r="E54"/>
  <c r="F280" i="9"/>
  <c r="G280"/>
  <c r="F279"/>
  <c r="G279"/>
  <c r="F278"/>
  <c r="G278"/>
  <c r="F277"/>
  <c r="G277"/>
  <c r="F276"/>
  <c r="G276"/>
  <c r="F376"/>
  <c r="G376"/>
  <c r="G377"/>
  <c r="F375"/>
  <c r="F297"/>
  <c r="G297"/>
  <c r="F296"/>
  <c r="G296"/>
  <c r="F295"/>
  <c r="G295"/>
  <c r="F294"/>
  <c r="G294"/>
  <c r="F291"/>
  <c r="G291"/>
  <c r="F290"/>
  <c r="G290"/>
  <c r="F289"/>
  <c r="G289"/>
  <c r="F288"/>
  <c r="G288"/>
  <c r="F285"/>
  <c r="G285"/>
  <c r="F284"/>
  <c r="G284"/>
  <c r="F283"/>
  <c r="G283"/>
  <c r="E74" i="21"/>
  <c r="E74" i="12"/>
  <c r="G329" i="9"/>
  <c r="F332"/>
  <c r="G332"/>
  <c r="F331"/>
  <c r="G331"/>
  <c r="F330"/>
  <c r="G330"/>
  <c r="F328"/>
  <c r="G328"/>
  <c r="F327"/>
  <c r="G327"/>
  <c r="E317"/>
  <c r="E316"/>
  <c r="F315"/>
  <c r="G315"/>
  <c r="E56"/>
  <c r="E55"/>
  <c r="E54"/>
  <c r="E53"/>
  <c r="F56"/>
  <c r="F55"/>
  <c r="F54"/>
  <c r="F53"/>
  <c r="F273"/>
  <c r="G273"/>
  <c r="F272"/>
  <c r="G272"/>
  <c r="F271"/>
  <c r="G271"/>
  <c r="F270"/>
  <c r="G270"/>
  <c r="F269"/>
  <c r="G269"/>
  <c r="E237"/>
  <c r="G237"/>
  <c r="G225"/>
  <c r="A48" i="12"/>
  <c r="B48"/>
  <c r="C48"/>
  <c r="D48"/>
  <c r="E48"/>
  <c r="F243" i="9"/>
  <c r="G243"/>
  <c r="F242"/>
  <c r="G242"/>
  <c r="G241"/>
  <c r="F42"/>
  <c r="G42"/>
  <c r="G43"/>
  <c r="F41"/>
  <c r="E27" i="21"/>
  <c r="E27" i="12"/>
  <c r="E20" i="21"/>
  <c r="E20" i="12" s="1"/>
  <c r="F24"/>
  <c r="F28"/>
  <c r="F32"/>
  <c r="F40"/>
  <c r="F50"/>
  <c r="F56"/>
  <c r="F60"/>
  <c r="F65"/>
  <c r="F71"/>
  <c r="F78"/>
  <c r="F79"/>
  <c r="C12"/>
  <c r="B14" i="6"/>
  <c r="B13" i="12"/>
  <c r="C13"/>
  <c r="D13"/>
  <c r="B14"/>
  <c r="C14"/>
  <c r="D14"/>
  <c r="B15"/>
  <c r="C15"/>
  <c r="D15"/>
  <c r="B16"/>
  <c r="C16"/>
  <c r="D16"/>
  <c r="B17"/>
  <c r="C17"/>
  <c r="D17"/>
  <c r="B18"/>
  <c r="C18"/>
  <c r="D18"/>
  <c r="B19"/>
  <c r="C19"/>
  <c r="D19"/>
  <c r="B20"/>
  <c r="C20"/>
  <c r="D20"/>
  <c r="B21"/>
  <c r="C21"/>
  <c r="D21"/>
  <c r="B22"/>
  <c r="C22"/>
  <c r="D22"/>
  <c r="B23"/>
  <c r="C23"/>
  <c r="D23"/>
  <c r="C25"/>
  <c r="B15" i="6" s="1"/>
  <c r="B26" i="12"/>
  <c r="C26"/>
  <c r="D26"/>
  <c r="B27"/>
  <c r="C27"/>
  <c r="D27"/>
  <c r="C29"/>
  <c r="B16" i="6" s="1"/>
  <c r="D29" i="12"/>
  <c r="B30"/>
  <c r="C30"/>
  <c r="D30"/>
  <c r="B31"/>
  <c r="C31"/>
  <c r="D31"/>
  <c r="C33"/>
  <c r="B17" i="6"/>
  <c r="D33" i="12"/>
  <c r="B34"/>
  <c r="C34"/>
  <c r="D34"/>
  <c r="B35"/>
  <c r="C35"/>
  <c r="D35"/>
  <c r="B36"/>
  <c r="C36"/>
  <c r="D36"/>
  <c r="B37"/>
  <c r="C37"/>
  <c r="D37"/>
  <c r="B38"/>
  <c r="C38"/>
  <c r="D38"/>
  <c r="B39"/>
  <c r="C39"/>
  <c r="D39"/>
  <c r="C41"/>
  <c r="B18" i="6"/>
  <c r="B42" i="12"/>
  <c r="C42"/>
  <c r="D42"/>
  <c r="B43"/>
  <c r="C43"/>
  <c r="D43"/>
  <c r="B44"/>
  <c r="C44"/>
  <c r="D44"/>
  <c r="B45"/>
  <c r="C45"/>
  <c r="D45"/>
  <c r="B46"/>
  <c r="C46"/>
  <c r="D46"/>
  <c r="B47"/>
  <c r="C47"/>
  <c r="D47"/>
  <c r="C51"/>
  <c r="B19" i="6"/>
  <c r="D51" i="12"/>
  <c r="B52"/>
  <c r="C52"/>
  <c r="D52"/>
  <c r="B53"/>
  <c r="C53"/>
  <c r="D53"/>
  <c r="C57"/>
  <c r="B20" i="6" s="1"/>
  <c r="B58" i="12"/>
  <c r="C58"/>
  <c r="D58"/>
  <c r="B59"/>
  <c r="C59"/>
  <c r="D59"/>
  <c r="C61"/>
  <c r="B21" i="6" s="1"/>
  <c r="B62" i="12"/>
  <c r="C62"/>
  <c r="D62"/>
  <c r="B63"/>
  <c r="C63"/>
  <c r="D63"/>
  <c r="B64"/>
  <c r="C64"/>
  <c r="D64"/>
  <c r="C66"/>
  <c r="B22" i="6"/>
  <c r="B67" i="12"/>
  <c r="C67"/>
  <c r="D67"/>
  <c r="B68"/>
  <c r="C68"/>
  <c r="D68"/>
  <c r="B69"/>
  <c r="C69"/>
  <c r="D69"/>
  <c r="B70"/>
  <c r="C70"/>
  <c r="D70"/>
  <c r="C72"/>
  <c r="B23" i="6" s="1"/>
  <c r="B73" i="12"/>
  <c r="C73"/>
  <c r="D73"/>
  <c r="B74"/>
  <c r="C74"/>
  <c r="D74"/>
  <c r="B75"/>
  <c r="C75"/>
  <c r="D75"/>
  <c r="B76"/>
  <c r="C76"/>
  <c r="D76"/>
  <c r="B77"/>
  <c r="C77"/>
  <c r="D77"/>
  <c r="A77"/>
  <c r="A78"/>
  <c r="A79"/>
  <c r="A75"/>
  <c r="A76"/>
  <c r="A69"/>
  <c r="A70"/>
  <c r="A71"/>
  <c r="A72"/>
  <c r="A73"/>
  <c r="A74"/>
  <c r="A13"/>
  <c r="A14"/>
  <c r="A15"/>
  <c r="A16"/>
  <c r="A17"/>
  <c r="A18"/>
  <c r="A19"/>
  <c r="A20"/>
  <c r="A21"/>
  <c r="A22"/>
  <c r="A23"/>
  <c r="A24"/>
  <c r="A25"/>
  <c r="A26"/>
  <c r="A27"/>
  <c r="A28"/>
  <c r="A29"/>
  <c r="A30"/>
  <c r="A31"/>
  <c r="A32"/>
  <c r="A33"/>
  <c r="A34"/>
  <c r="A35"/>
  <c r="A36"/>
  <c r="A37"/>
  <c r="A38"/>
  <c r="A39"/>
  <c r="A40"/>
  <c r="A41"/>
  <c r="A42"/>
  <c r="A43"/>
  <c r="A44"/>
  <c r="A45"/>
  <c r="A46"/>
  <c r="A47"/>
  <c r="A50"/>
  <c r="A51"/>
  <c r="A52"/>
  <c r="A53"/>
  <c r="A56"/>
  <c r="A57"/>
  <c r="A58"/>
  <c r="A59"/>
  <c r="A60"/>
  <c r="A61"/>
  <c r="A62"/>
  <c r="A63"/>
  <c r="A64"/>
  <c r="A65"/>
  <c r="A66"/>
  <c r="A67"/>
  <c r="A68"/>
  <c r="A12"/>
  <c r="E69" i="21"/>
  <c r="E69" i="12"/>
  <c r="E68" i="21"/>
  <c r="E68" i="12" s="1"/>
  <c r="E67" i="21"/>
  <c r="E67" i="12"/>
  <c r="E64" i="21"/>
  <c r="E64" i="12" s="1"/>
  <c r="E63" i="21"/>
  <c r="E63" i="12"/>
  <c r="E62" i="21"/>
  <c r="E62" i="12" s="1"/>
  <c r="E59" i="21"/>
  <c r="E59" i="12"/>
  <c r="E58" i="21"/>
  <c r="E58" i="12" s="1"/>
  <c r="E53" i="21"/>
  <c r="E53" i="12"/>
  <c r="E52" i="21"/>
  <c r="E52" i="12" s="1"/>
  <c r="E47" i="21"/>
  <c r="E47" i="12"/>
  <c r="E46" i="21"/>
  <c r="E46" i="12" s="1"/>
  <c r="E45" i="21"/>
  <c r="E45" i="12" s="1"/>
  <c r="E44" i="21"/>
  <c r="E44" i="12" s="1"/>
  <c r="E43" i="21"/>
  <c r="E43" i="12"/>
  <c r="E39" i="21"/>
  <c r="E39" i="12" s="1"/>
  <c r="E38" i="21"/>
  <c r="E38" i="12" s="1"/>
  <c r="E37" i="21"/>
  <c r="E37" i="12" s="1"/>
  <c r="E36" i="21"/>
  <c r="E36" i="12" s="1"/>
  <c r="E35" i="21"/>
  <c r="E35" i="12" s="1"/>
  <c r="E34" i="21"/>
  <c r="E34" i="12" s="1"/>
  <c r="E31" i="21"/>
  <c r="E31" i="12" s="1"/>
  <c r="E30" i="21"/>
  <c r="E30" i="12" s="1"/>
  <c r="E26" i="21"/>
  <c r="E26" i="12" s="1"/>
  <c r="E23" i="21"/>
  <c r="E23" i="12" s="1"/>
  <c r="E22" i="21"/>
  <c r="E22" i="12" s="1"/>
  <c r="E21" i="21"/>
  <c r="E21" i="12" s="1"/>
  <c r="E19" i="21"/>
  <c r="E19" i="12" s="1"/>
  <c r="E18"/>
  <c r="E17" i="21"/>
  <c r="E17" i="12"/>
  <c r="E16" i="21"/>
  <c r="E16" i="12"/>
  <c r="E15" i="21"/>
  <c r="E15" i="12"/>
  <c r="E14" i="21"/>
  <c r="E14" i="12"/>
  <c r="E13" i="21"/>
  <c r="E13" i="12"/>
  <c r="F380" i="9"/>
  <c r="G380"/>
  <c r="G381"/>
  <c r="F379"/>
  <c r="F378"/>
  <c r="F77" i="21"/>
  <c r="F77" i="12" s="1"/>
  <c r="G77" s="1"/>
  <c r="F373" i="9"/>
  <c r="G373"/>
  <c r="G374"/>
  <c r="F372"/>
  <c r="G372"/>
  <c r="F369"/>
  <c r="G369"/>
  <c r="G370"/>
  <c r="F368"/>
  <c r="G368"/>
  <c r="F365"/>
  <c r="G365"/>
  <c r="G366"/>
  <c r="F364"/>
  <c r="G364"/>
  <c r="F361"/>
  <c r="G361"/>
  <c r="G362"/>
  <c r="F360"/>
  <c r="F359"/>
  <c r="E353"/>
  <c r="E70" i="21"/>
  <c r="E70" i="12" s="1"/>
  <c r="F236" i="9"/>
  <c r="G236"/>
  <c r="G238"/>
  <c r="F235"/>
  <c r="G235"/>
  <c r="F232"/>
  <c r="G232"/>
  <c r="G233"/>
  <c r="F231"/>
  <c r="F220"/>
  <c r="G220"/>
  <c r="F219"/>
  <c r="G219"/>
  <c r="F218"/>
  <c r="G218"/>
  <c r="F152"/>
  <c r="G152"/>
  <c r="F151"/>
  <c r="G151"/>
  <c r="F150"/>
  <c r="G150"/>
  <c r="F149"/>
  <c r="G149"/>
  <c r="F148"/>
  <c r="G148"/>
  <c r="F145"/>
  <c r="G145"/>
  <c r="F144"/>
  <c r="G144"/>
  <c r="F120"/>
  <c r="G120"/>
  <c r="F119"/>
  <c r="G119"/>
  <c r="F118"/>
  <c r="G118"/>
  <c r="F117"/>
  <c r="G117"/>
  <c r="F116"/>
  <c r="G116"/>
  <c r="F355"/>
  <c r="G355"/>
  <c r="G356"/>
  <c r="F354"/>
  <c r="G354"/>
  <c r="F350"/>
  <c r="G350"/>
  <c r="F349"/>
  <c r="G349"/>
  <c r="F348"/>
  <c r="G348"/>
  <c r="F343"/>
  <c r="G343"/>
  <c r="F342"/>
  <c r="G342"/>
  <c r="F338"/>
  <c r="G338"/>
  <c r="G339"/>
  <c r="F337"/>
  <c r="G337"/>
  <c r="F323"/>
  <c r="G323"/>
  <c r="F322"/>
  <c r="G322"/>
  <c r="F321"/>
  <c r="G321"/>
  <c r="F317"/>
  <c r="F316"/>
  <c r="F314"/>
  <c r="G314"/>
  <c r="F308"/>
  <c r="G308"/>
  <c r="G309"/>
  <c r="F307"/>
  <c r="F303"/>
  <c r="G303"/>
  <c r="G304"/>
  <c r="F302"/>
  <c r="F228"/>
  <c r="G228"/>
  <c r="F227"/>
  <c r="G227"/>
  <c r="F226"/>
  <c r="G226"/>
  <c r="F214"/>
  <c r="G214"/>
  <c r="F213"/>
  <c r="G213"/>
  <c r="F212"/>
  <c r="G212"/>
  <c r="F201"/>
  <c r="G201"/>
  <c r="F200"/>
  <c r="G200"/>
  <c r="F199"/>
  <c r="G199"/>
  <c r="F198"/>
  <c r="G198"/>
  <c r="F197"/>
  <c r="G197"/>
  <c r="F196"/>
  <c r="G196"/>
  <c r="F195"/>
  <c r="G195"/>
  <c r="F190"/>
  <c r="G190"/>
  <c r="F189"/>
  <c r="G189"/>
  <c r="F188"/>
  <c r="G188"/>
  <c r="F187"/>
  <c r="G187"/>
  <c r="F186"/>
  <c r="G186"/>
  <c r="F185"/>
  <c r="G185"/>
  <c r="F184"/>
  <c r="G184"/>
  <c r="F179"/>
  <c r="G179"/>
  <c r="F178"/>
  <c r="G178"/>
  <c r="F177"/>
  <c r="G177"/>
  <c r="F176"/>
  <c r="G176"/>
  <c r="F175"/>
  <c r="G175"/>
  <c r="F174"/>
  <c r="G174"/>
  <c r="F173"/>
  <c r="G173"/>
  <c r="G156"/>
  <c r="G157"/>
  <c r="F155"/>
  <c r="F168"/>
  <c r="G168"/>
  <c r="F167"/>
  <c r="G167"/>
  <c r="F166"/>
  <c r="G166"/>
  <c r="F165"/>
  <c r="G165"/>
  <c r="F164"/>
  <c r="G164"/>
  <c r="F163"/>
  <c r="G163"/>
  <c r="F162"/>
  <c r="G162"/>
  <c r="G161"/>
  <c r="F138"/>
  <c r="G138"/>
  <c r="F137"/>
  <c r="G137"/>
  <c r="F136"/>
  <c r="G136"/>
  <c r="F135"/>
  <c r="G135"/>
  <c r="F111"/>
  <c r="G111"/>
  <c r="F110"/>
  <c r="G110"/>
  <c r="F109"/>
  <c r="G109"/>
  <c r="F108"/>
  <c r="G108"/>
  <c r="F107"/>
  <c r="G107"/>
  <c r="F106"/>
  <c r="G106"/>
  <c r="F105"/>
  <c r="G105"/>
  <c r="F104"/>
  <c r="G104"/>
  <c r="F103"/>
  <c r="G103"/>
  <c r="F102"/>
  <c r="G102"/>
  <c r="F101"/>
  <c r="G101"/>
  <c r="F100"/>
  <c r="G100"/>
  <c r="F99"/>
  <c r="G99"/>
  <c r="F98"/>
  <c r="G98"/>
  <c r="F97"/>
  <c r="G97"/>
  <c r="F96"/>
  <c r="G96"/>
  <c r="F95"/>
  <c r="G95"/>
  <c r="F94"/>
  <c r="G94"/>
  <c r="F93"/>
  <c r="G93"/>
  <c r="F92"/>
  <c r="G92"/>
  <c r="F91"/>
  <c r="G91"/>
  <c r="F90"/>
  <c r="G90"/>
  <c r="F89"/>
  <c r="G89"/>
  <c r="F88"/>
  <c r="G88"/>
  <c r="F87"/>
  <c r="G87"/>
  <c r="F86"/>
  <c r="G86"/>
  <c r="F80"/>
  <c r="G80"/>
  <c r="G81"/>
  <c r="F79"/>
  <c r="F78"/>
  <c r="G78"/>
  <c r="F75"/>
  <c r="G75"/>
  <c r="G76"/>
  <c r="F74"/>
  <c r="F70"/>
  <c r="G70"/>
  <c r="F69"/>
  <c r="G69"/>
  <c r="F65"/>
  <c r="G65"/>
  <c r="G66"/>
  <c r="F64"/>
  <c r="G64"/>
  <c r="F60"/>
  <c r="G60"/>
  <c r="G61"/>
  <c r="F59"/>
  <c r="F50"/>
  <c r="G50"/>
  <c r="F49"/>
  <c r="G49"/>
  <c r="F48"/>
  <c r="G48"/>
  <c r="F47"/>
  <c r="G47"/>
  <c r="F37"/>
  <c r="G37"/>
  <c r="G38"/>
  <c r="F36"/>
  <c r="F35"/>
  <c r="F32"/>
  <c r="G32"/>
  <c r="G33"/>
  <c r="F31"/>
  <c r="F30"/>
  <c r="F27"/>
  <c r="G27"/>
  <c r="G28"/>
  <c r="F26"/>
  <c r="F22"/>
  <c r="G22"/>
  <c r="F21"/>
  <c r="G21"/>
  <c r="F20"/>
  <c r="G20"/>
  <c r="F19"/>
  <c r="G19"/>
  <c r="F18"/>
  <c r="G18"/>
  <c r="F17"/>
  <c r="G17"/>
  <c r="F16"/>
  <c r="G16"/>
  <c r="F15"/>
  <c r="G15"/>
  <c r="E77" i="21"/>
  <c r="E77" i="12" s="1"/>
  <c r="E73" i="21"/>
  <c r="E367" i="9"/>
  <c r="E75" i="21"/>
  <c r="G266" i="9"/>
  <c r="G250"/>
  <c r="F246"/>
  <c r="G246"/>
  <c r="F336"/>
  <c r="G336"/>
  <c r="G55"/>
  <c r="G317"/>
  <c r="G146"/>
  <c r="F143"/>
  <c r="G143"/>
  <c r="G53"/>
  <c r="G256"/>
  <c r="F251"/>
  <c r="G251"/>
  <c r="F353"/>
  <c r="F70" i="21"/>
  <c r="F70" i="12" s="1"/>
  <c r="G70" s="1"/>
  <c r="G399" i="9"/>
  <c r="G112"/>
  <c r="F85"/>
  <c r="F84"/>
  <c r="G84"/>
  <c r="G324"/>
  <c r="F320"/>
  <c r="F319"/>
  <c r="G319"/>
  <c r="G351"/>
  <c r="F347"/>
  <c r="F346"/>
  <c r="G298"/>
  <c r="G392"/>
  <c r="G393"/>
  <c r="F389"/>
  <c r="G389"/>
  <c r="G360"/>
  <c r="G121"/>
  <c r="F115"/>
  <c r="G115"/>
  <c r="G56"/>
  <c r="G54"/>
  <c r="G316"/>
  <c r="G333"/>
  <c r="F326"/>
  <c r="G326"/>
  <c r="F363"/>
  <c r="F74" i="21"/>
  <c r="F74" i="12" s="1"/>
  <c r="G31" i="9"/>
  <c r="G71"/>
  <c r="F68"/>
  <c r="F67"/>
  <c r="G67"/>
  <c r="F40"/>
  <c r="G41"/>
  <c r="G74"/>
  <c r="F73"/>
  <c r="F293"/>
  <c r="F55" i="21"/>
  <c r="G55" s="1"/>
  <c r="G379" i="9"/>
  <c r="G378"/>
  <c r="G51"/>
  <c r="F46"/>
  <c r="G46"/>
  <c r="G139"/>
  <c r="F134"/>
  <c r="G134"/>
  <c r="G221"/>
  <c r="F217"/>
  <c r="F216"/>
  <c r="G274"/>
  <c r="F268"/>
  <c r="F67" i="21"/>
  <c r="G67"/>
  <c r="G353" i="9"/>
  <c r="G77" i="21"/>
  <c r="F367" i="9"/>
  <c r="G153"/>
  <c r="F147"/>
  <c r="G147"/>
  <c r="G231"/>
  <c r="F230"/>
  <c r="F73" i="21"/>
  <c r="F73" i="12"/>
  <c r="G73" s="1"/>
  <c r="I73" s="1"/>
  <c r="G359" i="9"/>
  <c r="G281"/>
  <c r="G132"/>
  <c r="F125"/>
  <c r="G125"/>
  <c r="G209"/>
  <c r="F206"/>
  <c r="G206"/>
  <c r="G302"/>
  <c r="F301"/>
  <c r="G26"/>
  <c r="F25"/>
  <c r="F14" i="21"/>
  <c r="G215" i="9"/>
  <c r="F211"/>
  <c r="G286"/>
  <c r="F282"/>
  <c r="G282"/>
  <c r="G202"/>
  <c r="F194"/>
  <c r="F154"/>
  <c r="G155"/>
  <c r="G191"/>
  <c r="F183"/>
  <c r="E75" i="12"/>
  <c r="G169" i="9"/>
  <c r="F160"/>
  <c r="G180"/>
  <c r="F172"/>
  <c r="F171"/>
  <c r="G229"/>
  <c r="F224"/>
  <c r="G292"/>
  <c r="F287"/>
  <c r="G287"/>
  <c r="G375"/>
  <c r="F371"/>
  <c r="F23" i="21"/>
  <c r="G79" i="9"/>
  <c r="F234"/>
  <c r="E73" i="12"/>
  <c r="G344" i="9"/>
  <c r="F341"/>
  <c r="G341"/>
  <c r="G30"/>
  <c r="F15" i="21"/>
  <c r="G15" s="1"/>
  <c r="F16"/>
  <c r="G35" i="9"/>
  <c r="F58"/>
  <c r="G59"/>
  <c r="G23"/>
  <c r="F14"/>
  <c r="F306"/>
  <c r="G307"/>
  <c r="F63"/>
  <c r="G36"/>
  <c r="G244"/>
  <c r="F240"/>
  <c r="G320"/>
  <c r="G70" i="21"/>
  <c r="G318" i="9"/>
  <c r="F313"/>
  <c r="F312"/>
  <c r="G312"/>
  <c r="G68"/>
  <c r="F63" i="21"/>
  <c r="G63" s="1"/>
  <c r="F245" i="9"/>
  <c r="G245"/>
  <c r="G85"/>
  <c r="F26" i="21"/>
  <c r="G26" s="1"/>
  <c r="G28" s="1"/>
  <c r="F124" i="9"/>
  <c r="F30" i="21"/>
  <c r="F114" i="9"/>
  <c r="G114"/>
  <c r="G122"/>
  <c r="F325"/>
  <c r="G325"/>
  <c r="F55" i="12"/>
  <c r="G55"/>
  <c r="I55" s="1"/>
  <c r="G347" i="9"/>
  <c r="F21" i="21"/>
  <c r="G21"/>
  <c r="G57" i="9"/>
  <c r="F52"/>
  <c r="G52"/>
  <c r="F45"/>
  <c r="G217"/>
  <c r="F44" i="21"/>
  <c r="F44" i="12" s="1"/>
  <c r="G44" s="1"/>
  <c r="G216" i="9"/>
  <c r="F340"/>
  <c r="F68" i="21"/>
  <c r="F133" i="9"/>
  <c r="G133"/>
  <c r="F142"/>
  <c r="G142"/>
  <c r="F275"/>
  <c r="G275"/>
  <c r="G363"/>
  <c r="F75" i="21"/>
  <c r="G367" i="9"/>
  <c r="G268"/>
  <c r="F267"/>
  <c r="F17" i="21"/>
  <c r="G40" i="9"/>
  <c r="F67" i="12"/>
  <c r="G73" i="21"/>
  <c r="G73" i="9"/>
  <c r="F22" i="21"/>
  <c r="G293" i="9"/>
  <c r="F69" i="21"/>
  <c r="G346" i="9"/>
  <c r="F52" i="21"/>
  <c r="G172" i="9"/>
  <c r="F205"/>
  <c r="G205"/>
  <c r="G230"/>
  <c r="F46" i="21"/>
  <c r="G25" i="9"/>
  <c r="F35" i="21"/>
  <c r="G154" i="9"/>
  <c r="F23" i="12"/>
  <c r="G23" i="21"/>
  <c r="F210" i="9"/>
  <c r="G211"/>
  <c r="H73" i="12"/>
  <c r="G160" i="9"/>
  <c r="F159"/>
  <c r="F182"/>
  <c r="G183"/>
  <c r="G194"/>
  <c r="F193"/>
  <c r="G234"/>
  <c r="F47" i="21"/>
  <c r="F76"/>
  <c r="G371" i="9"/>
  <c r="G301"/>
  <c r="F58" i="21"/>
  <c r="G224" i="9"/>
  <c r="F223"/>
  <c r="F37" i="21"/>
  <c r="G171" i="9"/>
  <c r="G58"/>
  <c r="F19" i="21"/>
  <c r="F15" i="12"/>
  <c r="F62" i="21"/>
  <c r="G240" i="9"/>
  <c r="F239"/>
  <c r="F14" i="12"/>
  <c r="G14" i="21"/>
  <c r="G124" i="9"/>
  <c r="G63"/>
  <c r="F20" i="21"/>
  <c r="F59"/>
  <c r="G306" i="9"/>
  <c r="G14"/>
  <c r="F13"/>
  <c r="F16" i="12"/>
  <c r="G16" i="21"/>
  <c r="G313" i="9"/>
  <c r="F21" i="12"/>
  <c r="F26"/>
  <c r="G26"/>
  <c r="F34" i="21"/>
  <c r="G34" s="1"/>
  <c r="G40" s="1"/>
  <c r="F49"/>
  <c r="F49" i="12" s="1"/>
  <c r="G334" i="9"/>
  <c r="F54" i="21"/>
  <c r="G54"/>
  <c r="F27"/>
  <c r="F27" i="12"/>
  <c r="G27" s="1"/>
  <c r="I27" s="1"/>
  <c r="H55"/>
  <c r="F64" i="21"/>
  <c r="F64" i="12" s="1"/>
  <c r="G64" s="1"/>
  <c r="G340" i="9"/>
  <c r="G357"/>
  <c r="F18" i="21"/>
  <c r="G18" s="1"/>
  <c r="G45" i="9"/>
  <c r="G44" i="21"/>
  <c r="F31"/>
  <c r="G31"/>
  <c r="G382" i="9"/>
  <c r="F42" i="21"/>
  <c r="F42" i="12" s="1"/>
  <c r="G42" s="1"/>
  <c r="H67"/>
  <c r="G67"/>
  <c r="I67"/>
  <c r="F69"/>
  <c r="G69" i="21"/>
  <c r="F17" i="12"/>
  <c r="G17" i="21"/>
  <c r="F75" i="12"/>
  <c r="G75" i="21"/>
  <c r="F22" i="12"/>
  <c r="G22" i="21"/>
  <c r="G259" i="9"/>
  <c r="F53" i="21"/>
  <c r="G267" i="9"/>
  <c r="G140"/>
  <c r="F46" i="12"/>
  <c r="G46" i="21"/>
  <c r="F38"/>
  <c r="G182" i="9"/>
  <c r="F35" i="12"/>
  <c r="G35" i="21"/>
  <c r="G310" i="9"/>
  <c r="F45" i="21"/>
  <c r="G223" i="9"/>
  <c r="G193"/>
  <c r="F39" i="21"/>
  <c r="F36"/>
  <c r="G159" i="9"/>
  <c r="G23" i="12"/>
  <c r="F76"/>
  <c r="G76" i="21"/>
  <c r="F43"/>
  <c r="G210" i="9"/>
  <c r="F58" i="12"/>
  <c r="G58" i="21"/>
  <c r="G47"/>
  <c r="F47" i="12"/>
  <c r="G59" i="21"/>
  <c r="F59" i="12"/>
  <c r="F62"/>
  <c r="G62" i="21"/>
  <c r="F19" i="12"/>
  <c r="G19" i="21"/>
  <c r="H16" i="12"/>
  <c r="G16"/>
  <c r="I16"/>
  <c r="F30"/>
  <c r="G30" i="21"/>
  <c r="G32" s="1"/>
  <c r="F48"/>
  <c r="G239" i="9"/>
  <c r="G52" i="21"/>
  <c r="F52" i="12"/>
  <c r="G68" i="21"/>
  <c r="F68" i="12"/>
  <c r="G21"/>
  <c r="G20" i="21"/>
  <c r="F20" i="12"/>
  <c r="G13" i="9"/>
  <c r="F13" i="21"/>
  <c r="G14" i="12"/>
  <c r="I14" s="1"/>
  <c r="H14"/>
  <c r="G15"/>
  <c r="I15" s="1"/>
  <c r="H15"/>
  <c r="G37" i="21"/>
  <c r="F37" i="12"/>
  <c r="F34"/>
  <c r="G34" s="1"/>
  <c r="H27"/>
  <c r="G49" i="21"/>
  <c r="F54" i="12"/>
  <c r="G54"/>
  <c r="I54" s="1"/>
  <c r="G257" i="9"/>
  <c r="G383"/>
  <c r="G27" i="21"/>
  <c r="F18" i="12"/>
  <c r="H18" s="1"/>
  <c r="G42" i="21"/>
  <c r="G50" s="1"/>
  <c r="F31" i="12"/>
  <c r="G31"/>
  <c r="G71" i="21"/>
  <c r="G82" i="9"/>
  <c r="G299"/>
  <c r="G75" i="12"/>
  <c r="I75" s="1"/>
  <c r="H75"/>
  <c r="G22"/>
  <c r="G17"/>
  <c r="I17" s="1"/>
  <c r="H17"/>
  <c r="G69"/>
  <c r="I69"/>
  <c r="H69"/>
  <c r="G53" i="21"/>
  <c r="F53" i="12"/>
  <c r="G60" i="21"/>
  <c r="G203" i="9"/>
  <c r="G46" i="12"/>
  <c r="G47"/>
  <c r="I47" s="1"/>
  <c r="H47"/>
  <c r="G58"/>
  <c r="G35"/>
  <c r="G38" i="21"/>
  <c r="F38" i="12"/>
  <c r="G36" i="21"/>
  <c r="F36" i="12"/>
  <c r="F45"/>
  <c r="G45" i="21"/>
  <c r="G76" i="12"/>
  <c r="F39"/>
  <c r="G39" i="21"/>
  <c r="F43" i="12"/>
  <c r="G43" i="21"/>
  <c r="G62" i="12"/>
  <c r="G30"/>
  <c r="G59"/>
  <c r="I59" s="1"/>
  <c r="H59"/>
  <c r="G19"/>
  <c r="G52"/>
  <c r="G37"/>
  <c r="G13" i="21"/>
  <c r="F13" i="12"/>
  <c r="G20"/>
  <c r="G68"/>
  <c r="F48"/>
  <c r="G48" i="21"/>
  <c r="H54" i="12"/>
  <c r="G18"/>
  <c r="I18"/>
  <c r="G53"/>
  <c r="I53"/>
  <c r="H53"/>
  <c r="G43"/>
  <c r="I43"/>
  <c r="H43"/>
  <c r="G38"/>
  <c r="G36"/>
  <c r="G39"/>
  <c r="G45"/>
  <c r="H48"/>
  <c r="G48"/>
  <c r="I48"/>
  <c r="G13"/>
  <c r="I13" s="1"/>
  <c r="H13"/>
  <c r="H49" l="1"/>
  <c r="G49"/>
  <c r="I49" s="1"/>
  <c r="H74"/>
  <c r="G74"/>
  <c r="I74" s="1"/>
  <c r="I70"/>
  <c r="H70"/>
  <c r="H21"/>
  <c r="I21"/>
  <c r="H30"/>
  <c r="I30"/>
  <c r="I32" s="1"/>
  <c r="I16" i="6" s="1"/>
  <c r="H36" i="12"/>
  <c r="I36"/>
  <c r="H46"/>
  <c r="I46"/>
  <c r="I64"/>
  <c r="H64"/>
  <c r="H20"/>
  <c r="I20"/>
  <c r="I24" s="1"/>
  <c r="H42"/>
  <c r="I42"/>
  <c r="I19"/>
  <c r="H19"/>
  <c r="H24" s="1"/>
  <c r="I26"/>
  <c r="I28" s="1"/>
  <c r="I15" i="6" s="1"/>
  <c r="H26" i="12"/>
  <c r="H28" s="1"/>
  <c r="I35"/>
  <c r="H35"/>
  <c r="I39"/>
  <c r="H39"/>
  <c r="H45"/>
  <c r="I45"/>
  <c r="H52"/>
  <c r="H56" s="1"/>
  <c r="I52"/>
  <c r="I56" s="1"/>
  <c r="I19" i="6" s="1"/>
  <c r="I68" i="12"/>
  <c r="I71" s="1"/>
  <c r="I22" i="6" s="1"/>
  <c r="H68" i="12"/>
  <c r="H71" s="1"/>
  <c r="G24" i="21"/>
  <c r="G56"/>
  <c r="H23" i="12"/>
  <c r="I23"/>
  <c r="H34"/>
  <c r="H40" s="1"/>
  <c r="I34"/>
  <c r="I38"/>
  <c r="H38"/>
  <c r="I44"/>
  <c r="H44"/>
  <c r="H58"/>
  <c r="H60" s="1"/>
  <c r="I58"/>
  <c r="I60" s="1"/>
  <c r="I20" i="6" s="1"/>
  <c r="G65" i="21"/>
  <c r="H77" i="12"/>
  <c r="I77"/>
  <c r="H22"/>
  <c r="I22"/>
  <c r="H31"/>
  <c r="I31"/>
  <c r="H37"/>
  <c r="I37"/>
  <c r="I62"/>
  <c r="H62"/>
  <c r="H76"/>
  <c r="I76"/>
  <c r="I78" s="1"/>
  <c r="I23" i="6" s="1"/>
  <c r="G64" i="21"/>
  <c r="F63" i="12"/>
  <c r="G74" i="21"/>
  <c r="G78" s="1"/>
  <c r="I14" i="6" l="1"/>
  <c r="F23"/>
  <c r="H23"/>
  <c r="D23"/>
  <c r="J23" s="1"/>
  <c r="K23" s="1"/>
  <c r="F15"/>
  <c r="D15"/>
  <c r="G63" i="12"/>
  <c r="I63" s="1"/>
  <c r="I65" s="1"/>
  <c r="I21" i="6" s="1"/>
  <c r="H63" i="12"/>
  <c r="H19" i="6"/>
  <c r="D19"/>
  <c r="J19" s="1"/>
  <c r="K19" s="1"/>
  <c r="F19"/>
  <c r="D20"/>
  <c r="H20"/>
  <c r="F20"/>
  <c r="H22"/>
  <c r="K22"/>
  <c r="D22"/>
  <c r="J22" s="1"/>
  <c r="F22"/>
  <c r="I40" i="12"/>
  <c r="I17" i="6" s="1"/>
  <c r="H50" i="12"/>
  <c r="H65"/>
  <c r="I50"/>
  <c r="I18" i="6" s="1"/>
  <c r="G79" i="21"/>
  <c r="H32" i="12"/>
  <c r="H79" s="1"/>
  <c r="F16" i="6"/>
  <c r="D16"/>
  <c r="H78" i="12"/>
  <c r="D21" i="6" l="1"/>
  <c r="F21"/>
  <c r="H21"/>
  <c r="H17"/>
  <c r="F17"/>
  <c r="D17"/>
  <c r="F14"/>
  <c r="D14"/>
  <c r="I24"/>
  <c r="F18"/>
  <c r="H18"/>
  <c r="D18"/>
  <c r="J16"/>
  <c r="K16" s="1"/>
  <c r="J20"/>
  <c r="K20" s="1"/>
  <c r="J15"/>
  <c r="K15" s="1"/>
  <c r="I79" i="12"/>
  <c r="J14" i="6" l="1"/>
  <c r="K14" s="1"/>
  <c r="C25"/>
  <c r="J17"/>
  <c r="K17" s="1"/>
  <c r="J18"/>
  <c r="K18" s="1"/>
  <c r="E25"/>
  <c r="E27" s="1"/>
  <c r="G25"/>
  <c r="G27" s="1"/>
  <c r="J21"/>
  <c r="K21" s="1"/>
  <c r="C27" l="1"/>
  <c r="C28" s="1"/>
  <c r="E28" s="1"/>
  <c r="G28" s="1"/>
  <c r="C26"/>
  <c r="E26" s="1"/>
  <c r="G26" s="1"/>
</calcChain>
</file>

<file path=xl/sharedStrings.xml><?xml version="1.0" encoding="utf-8"?>
<sst xmlns="http://schemas.openxmlformats.org/spreadsheetml/2006/main" count="1371" uniqueCount="598">
  <si>
    <t>M3</t>
  </si>
  <si>
    <t>M</t>
  </si>
  <si>
    <t>KG</t>
  </si>
  <si>
    <t>H</t>
  </si>
  <si>
    <t>TOTAL</t>
  </si>
  <si>
    <t>1.1</t>
  </si>
  <si>
    <t>UN</t>
  </si>
  <si>
    <t>1.0</t>
  </si>
  <si>
    <t xml:space="preserve">Estado do Rio de Janeiro                                                        </t>
  </si>
  <si>
    <t>Prefeitura Municipal de Barra Mansa</t>
  </si>
  <si>
    <t xml:space="preserve">Secretaria Municipal de Planejamento Urbano </t>
  </si>
  <si>
    <t xml:space="preserve">MEMÓRIA DE CÁLCULO </t>
  </si>
  <si>
    <t>ITEM</t>
  </si>
  <si>
    <t>CODIGO EMOP/ SINAPI</t>
  </si>
  <si>
    <t>DISCRIMINAÇÃO</t>
  </si>
  <si>
    <t>QUANT.</t>
  </si>
  <si>
    <t>PREÇOS (R$)</t>
  </si>
  <si>
    <t>UNIT</t>
  </si>
  <si>
    <t>ORÇAMENTO: Engº Alfredo A N M Cunha</t>
  </si>
  <si>
    <t>Orçamentista: Eng. Alfredo Antonio Nicolau M. Cunha</t>
  </si>
  <si>
    <t xml:space="preserve">CRONOGRAMA  FÍSICO-FINANCEIRO </t>
  </si>
  <si>
    <t>DESCRIÇÃO</t>
  </si>
  <si>
    <t>PERÍODO</t>
  </si>
  <si>
    <t>30 DIAS</t>
  </si>
  <si>
    <t>60 DIAS</t>
  </si>
  <si>
    <t>TOTAL DOS</t>
  </si>
  <si>
    <t>FÍSICO</t>
  </si>
  <si>
    <t>FINANCEIRO</t>
  </si>
  <si>
    <t>SERVIÇOS</t>
  </si>
  <si>
    <t>TOTAL DA OBRA POR MEDIÇÃO</t>
  </si>
  <si>
    <t>TOTAL ACUMULADO DA OBRA</t>
  </si>
  <si>
    <t>Desembolso parcial por medição %</t>
  </si>
  <si>
    <t>Desembolso máximo acumulado %</t>
  </si>
  <si>
    <t>X</t>
  </si>
  <si>
    <t>TOTAL GERAL=</t>
  </si>
  <si>
    <t>APROVAÇÃO: Eng. Eros dos Santos</t>
  </si>
  <si>
    <t>UNIT COM BDI</t>
  </si>
  <si>
    <r>
      <t>Secretaria Municipal de Planejamento Urbano</t>
    </r>
    <r>
      <rPr>
        <sz val="20"/>
        <rFont val="Arial"/>
        <family val="2"/>
      </rPr>
      <t xml:space="preserve"> </t>
    </r>
  </si>
  <si>
    <t>DATA: 24-06-2021</t>
  </si>
  <si>
    <t>01999</t>
  </si>
  <si>
    <t>01983</t>
  </si>
  <si>
    <r>
      <t>Data-Base:   EMOP -  RJ / SINAPI e SCO-RJ-</t>
    </r>
    <r>
      <rPr>
        <b/>
        <sz val="12"/>
        <color indexed="8"/>
        <rFont val="Arial"/>
        <family val="2"/>
      </rPr>
      <t xml:space="preserve"> O</t>
    </r>
    <r>
      <rPr>
        <b/>
        <sz val="12"/>
        <color indexed="8"/>
        <rFont val="Arial"/>
        <family val="2"/>
      </rPr>
      <t>nerado -</t>
    </r>
    <r>
      <rPr>
        <sz val="12"/>
        <color indexed="8"/>
        <rFont val="Arial"/>
        <family val="2"/>
      </rPr>
      <t xml:space="preserve"> Base ABRIL-2021</t>
    </r>
  </si>
  <si>
    <t>Data-Base:   EMOP -  RJ / SINAPI e SCO-RJ- Onerado - Base ABRIL-2021</t>
  </si>
  <si>
    <t xml:space="preserve">Serviço : Reforma da Quadra para Futebol Society </t>
  </si>
  <si>
    <t>Local: Bairro Metalúrgico</t>
  </si>
  <si>
    <t>ORÇAMENTO Nº 018-21</t>
  </si>
  <si>
    <t>LEVANTAMENTO:  Arqtª Lélia Magda</t>
  </si>
  <si>
    <t>PROJETO: Arqtª Lélia Magda</t>
  </si>
  <si>
    <t>SERVIÇOS PRELIMINARES</t>
  </si>
  <si>
    <t>-</t>
  </si>
  <si>
    <t>1.1.1.</t>
  </si>
  <si>
    <t>M2</t>
  </si>
  <si>
    <t>1.1.2.</t>
  </si>
  <si>
    <t>1.1.3.</t>
  </si>
  <si>
    <t>1.1.4.</t>
  </si>
  <si>
    <t>1.1.5.</t>
  </si>
  <si>
    <t>1.1.6.</t>
  </si>
  <si>
    <t>1.1.7.</t>
  </si>
  <si>
    <t>1.1.8.</t>
  </si>
  <si>
    <t>1.1.9.</t>
  </si>
  <si>
    <t>1.1.10.</t>
  </si>
  <si>
    <t>1.1.11.</t>
  </si>
  <si>
    <t>1.2.</t>
  </si>
  <si>
    <t>CONCRETO ARMADO</t>
  </si>
  <si>
    <t>1.2.1.</t>
  </si>
  <si>
    <t>1.2.2.</t>
  </si>
  <si>
    <t>1.3.</t>
  </si>
  <si>
    <t>ALVENARIA E REVESTIMENTOS</t>
  </si>
  <si>
    <t>1.3.1.</t>
  </si>
  <si>
    <t>1.3.2.</t>
  </si>
  <si>
    <t>1.4.</t>
  </si>
  <si>
    <t>1.4.1.</t>
  </si>
  <si>
    <t>1.4.4.</t>
  </si>
  <si>
    <t>1.4.5.</t>
  </si>
  <si>
    <t>1.5.</t>
  </si>
  <si>
    <t>ALAMBRADO</t>
  </si>
  <si>
    <t>1.5.1.</t>
  </si>
  <si>
    <t>1.6.</t>
  </si>
  <si>
    <t>INSTALAÇÃO ELÉTRICA</t>
  </si>
  <si>
    <t>1.6.1.</t>
  </si>
  <si>
    <t>1.6.2.</t>
  </si>
  <si>
    <t>1.7.</t>
  </si>
  <si>
    <t>MOBILIÁRIO ESPORTIVO</t>
  </si>
  <si>
    <t>1.7.1.</t>
  </si>
  <si>
    <t>PAR</t>
  </si>
  <si>
    <t>1.7.2.</t>
  </si>
  <si>
    <t>1.8.</t>
  </si>
  <si>
    <t>PINTURA</t>
  </si>
  <si>
    <t>1.8.1.</t>
  </si>
  <si>
    <t>1.8.2.</t>
  </si>
  <si>
    <t>1.8.3.</t>
  </si>
  <si>
    <t>1.9.</t>
  </si>
  <si>
    <t>1.9.1.</t>
  </si>
  <si>
    <t>1.9.2.</t>
  </si>
  <si>
    <t>1.9.3.</t>
  </si>
  <si>
    <t>T</t>
  </si>
  <si>
    <t>1.9.4.</t>
  </si>
  <si>
    <t>T X KM</t>
  </si>
  <si>
    <t>02.020.0001-0</t>
  </si>
  <si>
    <t>09.005.0009-0</t>
  </si>
  <si>
    <t>05.001.0147-0</t>
  </si>
  <si>
    <t>05.001.0138-0</t>
  </si>
  <si>
    <t>05.026.0004-0</t>
  </si>
  <si>
    <t>21.004.0140-0</t>
  </si>
  <si>
    <t>05.005.0054-0</t>
  </si>
  <si>
    <t>05.002.0001-0</t>
  </si>
  <si>
    <t>05.001.0142-0</t>
  </si>
  <si>
    <t>05.001.0007-0</t>
  </si>
  <si>
    <t>SO00000095952</t>
  </si>
  <si>
    <t>SO00000087794</t>
  </si>
  <si>
    <t>13.333.0010-0</t>
  </si>
  <si>
    <t>08.027.0040-0</t>
  </si>
  <si>
    <t>54.001.0160-1</t>
  </si>
  <si>
    <t>09.015.0074-0</t>
  </si>
  <si>
    <t>18.200.0004-0</t>
  </si>
  <si>
    <t>18.200.0005-0</t>
  </si>
  <si>
    <t>SO00000088489</t>
  </si>
  <si>
    <t>04.014.0095-0</t>
  </si>
  <si>
    <t>04.006.0014-1</t>
  </si>
  <si>
    <t>04.005.0004-0</t>
  </si>
  <si>
    <t>00453</t>
  </si>
  <si>
    <t>00368</t>
  </si>
  <si>
    <t>00294</t>
  </si>
  <si>
    <t>GL</t>
  </si>
  <si>
    <t>00160</t>
  </si>
  <si>
    <t>01967</t>
  </si>
  <si>
    <t>01966</t>
  </si>
  <si>
    <t>01001</t>
  </si>
  <si>
    <t>01901</t>
  </si>
  <si>
    <t>01993</t>
  </si>
  <si>
    <t>00171</t>
  </si>
  <si>
    <t>00165</t>
  </si>
  <si>
    <t>01944</t>
  </si>
  <si>
    <t>01943</t>
  </si>
  <si>
    <t>01919</t>
  </si>
  <si>
    <t>10905</t>
  </si>
  <si>
    <t>01545</t>
  </si>
  <si>
    <t>01544</t>
  </si>
  <si>
    <t>So00000095952</t>
  </si>
  <si>
    <t>So0001527</t>
  </si>
  <si>
    <t>So00000092764</t>
  </si>
  <si>
    <t>So00000095945</t>
  </si>
  <si>
    <t>So00000092415</t>
  </si>
  <si>
    <t>So00000092427</t>
  </si>
  <si>
    <t>So00000092451</t>
  </si>
  <si>
    <t>So00000092463</t>
  </si>
  <si>
    <t>So00000092510</t>
  </si>
  <si>
    <t>So00000092522</t>
  </si>
  <si>
    <t>So00000092759</t>
  </si>
  <si>
    <t>So00000092760</t>
  </si>
  <si>
    <t>So00000092761</t>
  </si>
  <si>
    <t>So00000095944</t>
  </si>
  <si>
    <t>So00000092763</t>
  </si>
  <si>
    <t>So00000092765</t>
  </si>
  <si>
    <t>So00000092766</t>
  </si>
  <si>
    <t>So00000092768</t>
  </si>
  <si>
    <t>So00000092769</t>
  </si>
  <si>
    <t>So00000092770</t>
  </si>
  <si>
    <t>So00000092874</t>
  </si>
  <si>
    <t>So00000096533</t>
  </si>
  <si>
    <t>So00000096543</t>
  </si>
  <si>
    <t>So00000096544</t>
  </si>
  <si>
    <t>So00000096546</t>
  </si>
  <si>
    <t>So00000101982</t>
  </si>
  <si>
    <t>So00000092762</t>
  </si>
  <si>
    <t>So0037395</t>
  </si>
  <si>
    <t>CENTO</t>
  </si>
  <si>
    <t>So00000088316</t>
  </si>
  <si>
    <t>So00000088309</t>
  </si>
  <si>
    <t>So00000087292</t>
  </si>
  <si>
    <t>So00000087794</t>
  </si>
  <si>
    <t>So0037411</t>
  </si>
  <si>
    <t>So00000087369</t>
  </si>
  <si>
    <t>So00000094994</t>
  </si>
  <si>
    <t>So0004517</t>
  </si>
  <si>
    <t>So0004460</t>
  </si>
  <si>
    <t>So0003777</t>
  </si>
  <si>
    <t>So00000088262</t>
  </si>
  <si>
    <t>So00000094964</t>
  </si>
  <si>
    <t>13.333.0015-0</t>
  </si>
  <si>
    <t>11228</t>
  </si>
  <si>
    <t>05350</t>
  </si>
  <si>
    <t>00150</t>
  </si>
  <si>
    <t>01978</t>
  </si>
  <si>
    <t>03429</t>
  </si>
  <si>
    <t>03077</t>
  </si>
  <si>
    <t>11227</t>
  </si>
  <si>
    <t>01991</t>
  </si>
  <si>
    <t>01764</t>
  </si>
  <si>
    <t>01745</t>
  </si>
  <si>
    <t>01640</t>
  </si>
  <si>
    <t>01635</t>
  </si>
  <si>
    <t>01607</t>
  </si>
  <si>
    <t>00173</t>
  </si>
  <si>
    <t>06913</t>
  </si>
  <si>
    <t>05331</t>
  </si>
  <si>
    <t>05332</t>
  </si>
  <si>
    <t>So00000101619</t>
  </si>
  <si>
    <t>So00000088415</t>
  </si>
  <si>
    <t>So0006085</t>
  </si>
  <si>
    <t>L</t>
  </si>
  <si>
    <t>So00000088310</t>
  </si>
  <si>
    <t>So00000088489</t>
  </si>
  <si>
    <t>So0007356</t>
  </si>
  <si>
    <t>05.001.0171-0</t>
  </si>
  <si>
    <t>10962</t>
  </si>
  <si>
    <t>01006</t>
  </si>
  <si>
    <t>01004</t>
  </si>
  <si>
    <t>SO00000101176</t>
  </si>
  <si>
    <t>So00000101176</t>
  </si>
  <si>
    <t>So00000095583</t>
  </si>
  <si>
    <t>So00000095578</t>
  </si>
  <si>
    <t>So00000094970</t>
  </si>
  <si>
    <t>SUB-TOTAL 1.1</t>
  </si>
  <si>
    <t>SUB-TOTAL 1.2</t>
  </si>
  <si>
    <t>SUB-TOTAL 1.3</t>
  </si>
  <si>
    <t>SUB-TOTAL 1.4</t>
  </si>
  <si>
    <t>SUB-TOTAL 1.5</t>
  </si>
  <si>
    <t>SUB-TOTAL 1.6</t>
  </si>
  <si>
    <t>SUB-TOTAL 1.7</t>
  </si>
  <si>
    <t>SUB-TOTAL 1.8</t>
  </si>
  <si>
    <t>SUB-TOTAL 1.9</t>
  </si>
  <si>
    <t>05.001.0147-5</t>
  </si>
  <si>
    <t>COMPOISÇÃO</t>
  </si>
  <si>
    <t>1.4.2</t>
  </si>
  <si>
    <t>1.4.3</t>
  </si>
  <si>
    <t>13.302.0010-0</t>
  </si>
  <si>
    <t>14566</t>
  </si>
  <si>
    <t>So00000098546</t>
  </si>
  <si>
    <t>So0004226</t>
  </si>
  <si>
    <t>So0004014</t>
  </si>
  <si>
    <t>So0000511</t>
  </si>
  <si>
    <t>So00000088270</t>
  </si>
  <si>
    <t>So00000088243</t>
  </si>
  <si>
    <t>13.302.0010-0 + 98546</t>
  </si>
  <si>
    <t>m²</t>
  </si>
  <si>
    <t>1.5.2</t>
  </si>
  <si>
    <t>1.5.3</t>
  </si>
  <si>
    <t>1.5.4</t>
  </si>
  <si>
    <t>09.015.0074-5</t>
  </si>
  <si>
    <t>54.001.0160-5</t>
  </si>
  <si>
    <t>1.5.5</t>
  </si>
  <si>
    <t>1.5.6</t>
  </si>
  <si>
    <t>14.007.0294-0</t>
  </si>
  <si>
    <t>14.007.0330-0</t>
  </si>
  <si>
    <t>02956</t>
  </si>
  <si>
    <t>1.5.7</t>
  </si>
  <si>
    <t>1.10.</t>
  </si>
  <si>
    <t>ANDAIMES</t>
  </si>
  <si>
    <t>1.10.1</t>
  </si>
  <si>
    <t>1.10.2</t>
  </si>
  <si>
    <t>1.10.3</t>
  </si>
  <si>
    <t>1.10.4</t>
  </si>
  <si>
    <t>SUB-TOTAL 1.10</t>
  </si>
  <si>
    <t>05.006.0001-1</t>
  </si>
  <si>
    <t>M2XMES</t>
  </si>
  <si>
    <t>14836</t>
  </si>
  <si>
    <t>05.008.0001-0</t>
  </si>
  <si>
    <t>04.020.0122-0</t>
  </si>
  <si>
    <t>M2XKM</t>
  </si>
  <si>
    <t>05.005.0012-1</t>
  </si>
  <si>
    <t>05937</t>
  </si>
  <si>
    <t>1.10.5</t>
  </si>
  <si>
    <t>05.008.0009-0</t>
  </si>
  <si>
    <t>2.0</t>
  </si>
  <si>
    <t>3.0</t>
  </si>
  <si>
    <t>4.0</t>
  </si>
  <si>
    <t>5.0</t>
  </si>
  <si>
    <t>6.0</t>
  </si>
  <si>
    <t>7.0</t>
  </si>
  <si>
    <t>8.0</t>
  </si>
  <si>
    <t>9.0</t>
  </si>
  <si>
    <t>10.0</t>
  </si>
  <si>
    <t>90 DIAS</t>
  </si>
  <si>
    <t>Local:   Bairro Metalúrgico</t>
  </si>
  <si>
    <t>09.005.0009-5</t>
  </si>
  <si>
    <t>05.001.0138-5</t>
  </si>
  <si>
    <t>09.015.0080-0</t>
  </si>
  <si>
    <t>MERCADO</t>
  </si>
  <si>
    <t>09.015.0080-5</t>
  </si>
  <si>
    <t>1.1.10</t>
  </si>
  <si>
    <t>1.1.11</t>
  </si>
  <si>
    <t>PJ 05.20.0055 (/)</t>
  </si>
  <si>
    <t>MAT064820</t>
  </si>
  <si>
    <t>Grama sintetica, com fios de 50mm de altura, areia especial, granulos de borracha. Fornecimento e instalacao</t>
  </si>
  <si>
    <t>00915</t>
  </si>
  <si>
    <t>05.005.0054-5</t>
  </si>
  <si>
    <t>mercado</t>
  </si>
  <si>
    <t>14769</t>
  </si>
  <si>
    <t>14.007.0330-5</t>
  </si>
  <si>
    <t>So00000097881</t>
  </si>
  <si>
    <t>So0043429</t>
  </si>
  <si>
    <t>So00000097733</t>
  </si>
  <si>
    <t>18.200.0004-5</t>
  </si>
  <si>
    <t>14492</t>
  </si>
  <si>
    <t>04.014.0095-5</t>
  </si>
  <si>
    <t>05.027.0011-0</t>
  </si>
  <si>
    <t>00246</t>
  </si>
  <si>
    <t>15022</t>
  </si>
  <si>
    <t>un</t>
  </si>
  <si>
    <t>a</t>
  </si>
  <si>
    <t>b</t>
  </si>
  <si>
    <t>05.026.0004-0 + 05.027.0011-0</t>
  </si>
  <si>
    <t>COMPOSIÇÃO</t>
  </si>
  <si>
    <t>0010917</t>
  </si>
  <si>
    <t>1.4.4</t>
  </si>
  <si>
    <t>1.4.6.</t>
  </si>
  <si>
    <t>1.4.5</t>
  </si>
  <si>
    <t>1.4.6</t>
  </si>
  <si>
    <t>SO00000094994 ALTERADO</t>
  </si>
  <si>
    <t>1.6.3</t>
  </si>
  <si>
    <t>1.6.4</t>
  </si>
  <si>
    <t>00324</t>
  </si>
  <si>
    <t>SO00000088415 alterado</t>
  </si>
  <si>
    <t>00124</t>
  </si>
  <si>
    <t>17.017.0350-0</t>
  </si>
  <si>
    <t>07425</t>
  </si>
  <si>
    <t>00840</t>
  </si>
  <si>
    <t>15.036.0070-0</t>
  </si>
  <si>
    <t>02341</t>
  </si>
  <si>
    <t>unid.</t>
  </si>
  <si>
    <t>15.008.0085-0</t>
  </si>
  <si>
    <t>05707</t>
  </si>
  <si>
    <t>02317</t>
  </si>
  <si>
    <t>c</t>
  </si>
  <si>
    <t>15.018.0942-0</t>
  </si>
  <si>
    <t>12292</t>
  </si>
  <si>
    <t>composição</t>
  </si>
  <si>
    <t>Fornecimento e colocação de  tampa em abertura dos postes de iluminação instalados.</t>
  </si>
  <si>
    <t>kg</t>
  </si>
  <si>
    <t>05.008.0008-1</t>
  </si>
  <si>
    <t>05.005.0012-1 05.008.0008-1</t>
  </si>
  <si>
    <t>Serviços preliminares</t>
  </si>
  <si>
    <t>Placa de identificacao de obra publica,inclusive pintura e suportes de madeira.fornecimento e colocacao (obs.:3% - desgaste de ferramentas e epi).</t>
  </si>
  <si>
    <t>Retirada de grama em placas inclusive granulada e areia</t>
  </si>
  <si>
    <t>Arrancamento cuidadosa de telas do alambrado para reaproveitamento.</t>
  </si>
  <si>
    <t>Arrancamento de tubulacao de ferro galvanizado,sem escavacao ou rasgo em alvenaria (obs.:3%-desgaste de ferramentas e epi).</t>
  </si>
  <si>
    <r>
      <t xml:space="preserve">Arrancamento de tubulacao de ferro galvanizado,sem escavacao ou rasgo em alvenaria (obs.:3%-desgaste de ferramentas e epi). </t>
    </r>
    <r>
      <rPr>
        <b/>
        <sz val="11"/>
        <color indexed="8"/>
        <rFont val="Calibri"/>
        <family val="2"/>
      </rPr>
      <t>(traves)</t>
    </r>
  </si>
  <si>
    <t>Corte com macarico manual de oxiacetileno,em chapa de aco na espessura de 1/2" inclusive solda  para redução de altura (readequação da altura dos postes de iluminação da lateral voltada para pista)</t>
  </si>
  <si>
    <t>Retirada de luminaria em altura de 4,00 a 9,00m</t>
  </si>
  <si>
    <t>Retirada de tela em polietileno de alta densidade,100% virgem,com malha de (5x5)cm,fio de 2,5mm,com resistencia de 350kg/m2.</t>
  </si>
  <si>
    <t>Demolicao,com equipamento de ar comprimido,de pisos ou pavim entos de concreto simples,inclusive empilhamento lateral den tro do canteiro de servico</t>
  </si>
  <si>
    <t>Arrancamento de meios-fios,de granito ou concreto,retos ou c urvos,inclusive empilhamento lateral dentro do canteiro de s ervico</t>
  </si>
  <si>
    <t>Demolicao de revestimento em argamassa de cal e areia ou cim ento e saibro</t>
  </si>
  <si>
    <t>Concreto armado</t>
  </si>
  <si>
    <t>Estaca broca de concreto, diâmetro de 30cm, escavação manual com trado concha, inteiramente armada. Af_05/2020</t>
  </si>
  <si>
    <t>Alvenaria e revestimentos</t>
  </si>
  <si>
    <t>Emboço ou massa única em argamassa traço 1:2:8, preparo manual, aplicada manualmente em panos cegos de fachada (sem presença de vãos), espessura de 25 mm. Af_06/2014</t>
  </si>
  <si>
    <t>Pisos e pavimentações</t>
  </si>
  <si>
    <t>Execução de camada de brita 1,com espessura estimada de 3cm,espalhamento manual , inclusive impermeabilização de superfície com manta asfáltica, uma camada, inclusive aplicação de primer asfáltico, e=3mm. Af_06/2018</t>
  </si>
  <si>
    <t>Piso de grama sintetica, em rolo, com fios de 50mm de altura, na cor verde, demarcacao de linhas com grama na cor branca, sistema de amortecimento composto com as seguintes caracteristicas minimas: camada de areia especial com 1cm de espessura (20 kg/m2) e granulos de borracha de granulometria de 0,6 a 2mm (9 kg/m2) e mao de obra especializada para instalacao; exclusive base asfaltica, mureta perimetral para contencao da base, canaleta perimetral para coleta e escoamento da agua e preparo de terreno. Fornecimento e colocacao.</t>
  </si>
  <si>
    <t>Execução de passeio (calçada) ou piso de concreto com concreto moldado in loco, feito em obra, acabamento convencional, espessura 8 cm, armado. Af_07/2016, inclusive tela fio 3,4mm 15x15cm, exclusive lona plástica.</t>
  </si>
  <si>
    <t>Revestimento de piso com ceramica tatil alerta,(ladrilho hid raulico) para pessoas com necessidades especificas,assentes sobre superficie em osso,conforme item 13.330.0010</t>
  </si>
  <si>
    <t>Revestimento de piso com ceramica tatil direcional,(ladrilho hidraulico),para pessoas com necessidades especificas,assen tes sobre superficie em osso,conforme item 13.330.0010</t>
  </si>
  <si>
    <t>Meio-fio reto de concreto simples fck=15mpa,moldado no local ,tipo der-rj,medindo 0,15m na base e com altura de 0,30m,rej untamento com argamassa de cimento e areia,no traco 1:3,5,co m fornecimento de todos os materiais,escavacao e reaterro</t>
  </si>
  <si>
    <t>Alambrado</t>
  </si>
  <si>
    <t>Contraventamento de alambrado com tubos de ferro galvanizado (extern.e internamente),c/diametro interno de 2" e espessura de parede de 1/8".fornecimento e colocacao</t>
  </si>
  <si>
    <t>Contraventamento de alambrado com tubos de ferro galvanizado (extern.e internamente),c/diametro interno de 2" e espessura de parede de 1/8". Colocacao sem fornecimento de tubo.  Reaproveitamento do existente</t>
  </si>
  <si>
    <t>Tela em polietileno de alta densidade,100% virgem,com malha de (5x5)cm,fio de 2,5mm,com resistencia de 350kg/m2.fornecim ento e colocacao, inclusive readequação e complemento de cabos de aço de sustentação.</t>
  </si>
  <si>
    <t>Targetao de ferro galvanizado,de 36cm,com adaptacao de haste para duplo funcionamento,fechamento com cadeado, exclusive este,conforme projeto n§6017/emop.fornecimento e colocacao , inclusive cantoneira de aço 3/4"x3/4"x1/8" com 30cm de comprimento para batente (portão a construir e portão existente)</t>
  </si>
  <si>
    <t xml:space="preserve"> tubo de ferro galvanizado(extern.e internamente),com diametro interno de 31/2" e espessu ra de parede de 1/8".fornecimento e colocacao (espera de encaixe das traves)</t>
  </si>
  <si>
    <t>Instalação elétrica</t>
  </si>
  <si>
    <t>Caixa enterrada elétrica retangular, em concreto pré-moldado, fundo com brita, dimensões internas: 0,3x0,3x0,3 m. Af_12/2020</t>
  </si>
  <si>
    <t>Mobiliário esportivo</t>
  </si>
  <si>
    <t>Rede de nylon para futebol de salao.fornecimento</t>
  </si>
  <si>
    <t>Pintura</t>
  </si>
  <si>
    <t>Transporte e bota-fora</t>
  </si>
  <si>
    <t>Transporte horizontal de material de 1¦categoria ou entulho,em carrinhos,a 20,00m de distancia,inclusive carga a pa (obs.:3%- desgaste de ferramentas e epi).</t>
  </si>
  <si>
    <t>Retirada de entulho de obra com cacamba de aco tipo containe r com 5m3 de capacidade,.custo por unidade de cacamba e inclui a tax a para descarga em locais autorizados</t>
  </si>
  <si>
    <t>Carga e descarga manual de material que exija o concurso de mais de um servente para cada peca:vergalhoes,vigas de madei ra,caixas e meios-fios,em caminhao de carroceria fixa a oleo diesel,com capacidade util de 7,5t,inclusive o tempo de car ga,descarga e manobra</t>
  </si>
  <si>
    <t>Transporte de carga de qualquer natureza,exclusive as despes as de carga e descarga,tanto de espera do caminhao como do s ervente ou equipamento auxiliar,a velocidade media de 40km/h ,em caminhao de carroceria fixa a oleo diesel,com capacidade util de 7,5t</t>
  </si>
  <si>
    <t>Andaimes</t>
  </si>
  <si>
    <t>Locacao de andaime com elementos tubulares sobre sapatas fixas,considerando-se a area da projecao vertical do andaime e pago pelo tempo necessario a sua utilizacao,exclusive transporte dos elementos do andaime ate a obra,plataforma ou passa rela de pinho,montagem e desmontagem dos andaimes</t>
  </si>
  <si>
    <t>Montagem e desmontagem de andaime com elementos tubulares,considerando-se a area vertical recoberta (obs.:3%-desgaste de ferramentas e epi).</t>
  </si>
  <si>
    <t>Transporte de andaime tubular,considerando-se a area de projecao vertical do andaime,exclusive carga,descarga e tempo de espera do caminhao(vide item 04.021.0010)</t>
  </si>
  <si>
    <t>Plataforma ou passarela de madeira de 1¦,considerando-se aproveitamento da madeira 20 vezes,inclusive movimentacao vertical ou horizontal.</t>
  </si>
  <si>
    <t>Movimentacao horizontal de andaime com elementos tubulares tipo torre (obs.:3%-desgaste de ferramentas e epi).</t>
  </si>
  <si>
    <t>PISOS E PAMIMENTAÇÕES</t>
  </si>
  <si>
    <t>TRANSPORTE E BOTA FORA</t>
  </si>
  <si>
    <t>Prego com ou sem cabeca, em caixas de 50kg, ou quantidades equivalentes, n§12x12a 18x30</t>
  </si>
  <si>
    <t>Pinus, em pecas de 7,50x7,50cm (3"x3")</t>
  </si>
  <si>
    <t>Tinta a oleo brilhante, p/uso geral, eminteriores e exteriores</t>
  </si>
  <si>
    <t>Chapa de aco carbono, galvanizada, parausos gerais, tamanho padrao, preco de revendedor, com espessura de 0,5mm</t>
  </si>
  <si>
    <t>Mao-de-obra de servente da construcao civil, inclusive encargos sociais</t>
  </si>
  <si>
    <t>Mao-de-obra de carpinteiro de esquadriasde madeira inclusive encargos sociais</t>
  </si>
  <si>
    <t>Mao-de-obra de pintor, inclusive encargos sociais</t>
  </si>
  <si>
    <t>19.004.0001-2 caminhao carroc. Fixa, 3,5t (cp)</t>
  </si>
  <si>
    <t>Retirada de grama em placas (obs.:3%-desgaste de ferramentas e epi).</t>
  </si>
  <si>
    <t>Mao-de-obra de servente para servicos deconservacao, inclusive encargos sociais</t>
  </si>
  <si>
    <t>Arrancamento de grades,gradis,alambrados,cercas e portoes (obs.:3%-desgaste de ferramentas e epi).</t>
  </si>
  <si>
    <t>Arrancamento cuidadoso  de tubulacao de ferro galvanizado,sem escavacao ou rasgo em alvenaria para reaproveitamento.</t>
  </si>
  <si>
    <t>Mao-de-obra de bombeiro hidraulico da construcao civil, inclusive encargos sociais</t>
  </si>
  <si>
    <r>
      <t xml:space="preserve">Arrancamento cuidadoso  de tubulacao de ferro galvanizado,sem escavacao ou rasgo em alvenaria para reaproveitamento </t>
    </r>
    <r>
      <rPr>
        <b/>
        <sz val="11"/>
        <color indexed="8"/>
        <rFont val="Calibri"/>
        <family val="2"/>
      </rPr>
      <t>(traves)</t>
    </r>
  </si>
  <si>
    <r>
      <t xml:space="preserve">Corte com macarico manual de oxiacetileno,em chapa de aco na espessura de 1/2" inclusive solda  para redução de altura </t>
    </r>
    <r>
      <rPr>
        <b/>
        <sz val="11"/>
        <color indexed="8"/>
        <rFont val="Calibri"/>
        <family val="2"/>
      </rPr>
      <t>(readequação da altura dos postes de iluminação da lateral voltada para pista)</t>
    </r>
  </si>
  <si>
    <t>Corte com macarico manual de oxiacetileno,em chapa de aco na espessura de 1/2" (obs.:3%-desgaste de ferramentas e epi).</t>
  </si>
  <si>
    <t>Acetileno em cilindro de 9kg</t>
  </si>
  <si>
    <t>Oxigenio, em garrafas de 9,3m3</t>
  </si>
  <si>
    <t>Mao-de-obra de soldador da construcao civil, inclusive encargos sociais</t>
  </si>
  <si>
    <t>Mao-de-obra de ajudante de soldador, inclusive encargos sociais</t>
  </si>
  <si>
    <t>Solda de topo,em tubos de aco galvanizado no diametro de 2",utilizando conversor eletrico,inclusive corte e/ou chanfro d as extremidades (obs.:3%-desgaste de ferramentas e epi).</t>
  </si>
  <si>
    <t>Eletrodo p/solda aco (aws e-6013), ind.p/trab.em serral., estrut.metal.tubul.constr.em geral e chapas finas,espes.3,25mm</t>
  </si>
  <si>
    <t>19.011.0045-2 retificador solda eletrica de 430a (cp)</t>
  </si>
  <si>
    <t>Retirada de luminaria em altura de 4,00 a 9,00m (obs.:3%-desgaste de ferramentas e epi).</t>
  </si>
  <si>
    <t>Mao-de-obra de ajudante de montador eletromecanico (iluminacao publica), inclusive encargos sociais</t>
  </si>
  <si>
    <t>Tela em polietileno de alta densidade,100% virgem,com malha de (5x5)cm,fio de 2,5mm,com resistencia de 350kg/m2.fornecim ento e colocacao (obs.:3%-desgaste de ferramentas e epi).</t>
  </si>
  <si>
    <t>Demolicao,com equipamento de ar comprimido,de pisos ou pavimentos de concreto simples,inclusive empilhamento lateral den tro do canteiro de servico</t>
  </si>
  <si>
    <t>05.002.0010-1 demolicao paviment.concr., esp. 20cm</t>
  </si>
  <si>
    <t>05.002.0009-1 demolicao paviment.concr., esp. 15cm</t>
  </si>
  <si>
    <t>Arrancamento de meios-fios,de granito ou concreto,retos ou curvos,inclusive empilhamento lateral dentro do canteiro de s ervico (obs.:3%-desgaste de ferramentas e epi).</t>
  </si>
  <si>
    <t>Demolicao de revestimento em argamassa de cal e areia ou cimento e saibro (obs.:3%- desgaste de ferramentas e epi).</t>
  </si>
  <si>
    <t>(composição representativa) execução de estruturas de concreto armado convencional, para edificação habitacional multifamiliar (prédio), fck = 25 mpa. Af_01/2017</t>
  </si>
  <si>
    <t>Concreto usinado bombeavel, classe de resistencia c25, com brita 0 e 1, slump = 100 +/- 20 mm, inclui servico de bombeamento (nbr 8953)</t>
  </si>
  <si>
    <t>So00000092764 armação de pilar ou viga de uma estrutura convencional de concreto armado em um edifício de múltiplos pavimentos utilizando aço ca-50 de 16,0 mm - montagem. Af_12/2015</t>
  </si>
  <si>
    <t>So00000095945 armação de escada, de uma estrutura convencional de concreto armado utilizando aço ca-50 de 8,0 mm - montagem. Af_11/2020</t>
  </si>
  <si>
    <t>So00000092415 montagem e desmontagem de fôrma de pilares retangulares e estruturas similares, pé-direito simples, em chapa de madeira compensada resinada, 2 utilizações. Af_09/2020</t>
  </si>
  <si>
    <t>So00000092427 montagem e desmontagem de fôrma de pilares retangulares e estruturas similares, pé-direito simples, em chapa de madeira compensada resinada, 8 utilizações. Af_09/2020</t>
  </si>
  <si>
    <t>So00000092451 montagem e desmontagem de fôrma de viga, escoramento com garfo de madeira, pé-direito simples, em chapa de madeira resinada, 2 utilizações. Af_09/2020</t>
  </si>
  <si>
    <t>So00000092463 montagem e desmontagem de fôrma de viga, escoramento com garfo de madeira, pé-direito simples, em chapa de madeira resinada, 8 utilizações. Af_09/2020</t>
  </si>
  <si>
    <t>So00000092510 montagem e desmontagem de fôrma de laje maciça, pé-direito simples, em chapa de madeira compensada resinada, 2 utilizações. Af_09/2020</t>
  </si>
  <si>
    <t>So00000092522 montagem e desmontagem de fôrma de laje maciça, pé-direito simples, em chapa de madeira compensada resinada, 8 utilizações. Af_09/2020</t>
  </si>
  <si>
    <t>So00000092759 armação de pilar ou viga de uma estrutura convencional de concreto armado em um edifício de múltiplos pavimentos utilizando aço ca-60 de 5,0 mm - montagem. Af_12/2015</t>
  </si>
  <si>
    <t>So00000092760 armação de pilar ou viga de uma estrutura convencional de concreto armado em um edifício de múltiplos pavimentos utilizando aço ca-50 de 6,3 mm - montagem. Af_12/2015</t>
  </si>
  <si>
    <t>So00000092761 armação de pilar ou viga de uma estrutura convencional de concreto armado em um edifício de múltiplos pavimentos utilizando aço ca-50 de 8,0 mm - montagem. Af_12/2015</t>
  </si>
  <si>
    <t>So00000095944 armação de escada, de uma estrutura convencional de concreto armado utilizando aço ca-50 de 6,3 mm - montagem. Af_11/2020</t>
  </si>
  <si>
    <t>So00000092763 armação de pilar ou viga de uma estrutura convencional de concreto armado em um edifício de múltiplos pavimentos utilizando aço ca-50 de 12,5 mm - montagem. Af_12/2015</t>
  </si>
  <si>
    <t>So00000092765 armação de pilar ou viga de uma estrutura convencional de concreto armado em um edifício de múltiplos pavimentos utilizando aço ca-50 de 20,0 mm - montagem. Af_12/2015</t>
  </si>
  <si>
    <t>So00000092766 armação de pilar ou viga de uma estrutura convencional de concreto armado em um edifício de múltiplos pavimentos utilizando aço ca-50 de 25,0 mm - montagem. Af_12/2015</t>
  </si>
  <si>
    <t>So00000092768 armação de laje de uma estrutura convencional de concreto armado em um edifício de múltiplos pavimentos utilizando aço ca-60 de 5,0 mm - montagem. Af_12/2015</t>
  </si>
  <si>
    <t>So00000092769 armação de laje de uma estrutura convencional de concreto armado em um edifício de múltiplos pavimentos utilizando aço ca-50 de 6,3 mm - montagem. Af_12/2015</t>
  </si>
  <si>
    <t>So00000092770 armação de laje de uma estrutura convencional de concreto armado em um edifício de múltiplos pavimentos utilizando aço ca-50 de 8,0 mm - montagem. Af_12/2015</t>
  </si>
  <si>
    <t>So00000092874 lançamento com uso de bomba, adensamento e acabamento de concreto em estruturas. Af_12/2015</t>
  </si>
  <si>
    <t>So00000096533 fabricação, montagem e desmontagem de fôrma para viga baldrame, em madeira serrada, e=25 mm, 2 utilizações. Af_06/2017</t>
  </si>
  <si>
    <t>So00000096543 armação de bloco, viga baldrame e sapata utilizando aço ca-60 de 5 mm - montagem. Af_06/2017</t>
  </si>
  <si>
    <t>So00000096544 armação de bloco, viga baldrame ou sapata utilizando aço ca-50 de 6,3 mm - montagem. Af_06/2017</t>
  </si>
  <si>
    <t>So00000096546 armação de bloco, viga baldrame ou sapata utilizando aço ca-50 de 10 mm - montagem. Af_06/2017</t>
  </si>
  <si>
    <t>So00000101982 montagem e desmontagem de fôrma para escadas, com 2 lances em "u" e laje plana, em chapa de madeira compensada plastificada, 8 utilizações. Af_11/2020</t>
  </si>
  <si>
    <t>So00000092762 armação de pilar ou viga de uma estrutura convencional de concreto armado em um edifício de múltiplos pavimentos utilizando aço ca-50 de 10,0 mm - montagem. Af_12/2015</t>
  </si>
  <si>
    <t>Servente com encargos complementares</t>
  </si>
  <si>
    <t>Pedreiro com encargos complementares</t>
  </si>
  <si>
    <t>So00000095583 montagem de armadura transversal de estacas de seção circular, diâmetro = 5,0 mm. Af_11/2016</t>
  </si>
  <si>
    <t>So00000095578 montagem de armadura longitudinal/transversal de estacas de seção circular, diâmetro = 12,5 mm. Af_11/2016</t>
  </si>
  <si>
    <t>So00000094970 concreto fck = 20mpa, traço 1:2,7:3 (cimento/ areia média/ brita 1)  - preparo mecânico com betoneira 600 l. Af_07/2016</t>
  </si>
  <si>
    <t>Tela de aco soldada galvanizada/zincada para alvenaria, fio d = *1,24 mm, malha 25 x 25 mm</t>
  </si>
  <si>
    <t>So00000087369 argamassa traço 1:2:8 (em volume de cimento, cal e areia média úmida) para emboço/massa única/assentamento de alvenaria de vedação, preparo manual. Af_08/2019</t>
  </si>
  <si>
    <t>Camada de brita 1,com espessura estimada de 3cm,espalhamento manual (obs.:3%-desgaste de ferramentas e epi).</t>
  </si>
  <si>
    <t>Brita corrida, para regiao metropolitanado rio de janeiro</t>
  </si>
  <si>
    <t>Impermeabilização de superfície com manta asfáltica, uma camada, inclusive aplicação de primer asfáltico, e=3mm. Af_06/2018</t>
  </si>
  <si>
    <t>Gas de cozinha - glp</t>
  </si>
  <si>
    <t>Manta asfaltica elastomerica em poliester 3 mm, tipo iii, classe b, acabamento pp (nbr 9952)</t>
  </si>
  <si>
    <t>Primer para manta asfaltica a base de asfalto modificado diluido em solvente, aplicacao a frio</t>
  </si>
  <si>
    <t>Impermeabilizador com encargos complementares</t>
  </si>
  <si>
    <t>Ajudante especializado com encargos complementares</t>
  </si>
  <si>
    <t>Execução de passeio (calçada) ou piso de concreto com concreto moldado in loco, feito em obra, acabamento convencional, espessura 8 cm, armado. Af_07/2016</t>
  </si>
  <si>
    <t>Tela de aco soldada nervurada, ca-60, q-61, (0,97 kg/m2), diametro do fio = 3,4 mm, largura = 2,45 m, espacamento da malha = 15 x 15 cm</t>
  </si>
  <si>
    <t>Sarrafo *2,5 x 7,5* cm em pinus, mista ou equivalente da regiao - bruta</t>
  </si>
  <si>
    <t>Sarrafo nao aparelhado *2,5 x 10* cm, em macaranduba, angelim ou equivalente da regiao -  bruta</t>
  </si>
  <si>
    <t>Lona plastica pesada preta, e = 150 micra</t>
  </si>
  <si>
    <t>Carpinteiro de formas com encargos complementares</t>
  </si>
  <si>
    <t>So00000094964 concreto fck = 20mpa, traço 1:2,7:3 (cimento/ areia média/ brita 1)  - preparo mecânico com betoneira 400 l. Af_07/2016</t>
  </si>
  <si>
    <t>Revestimento de piso com ceramica tatil alerta,(ladrilho hidraulico) para pessoas com necessidades especificas,assentes sobre superficie em osso,conforme item 13.330.0010 (obs.:3%-desgaste de ferramentas e epi).</t>
  </si>
  <si>
    <t>Piso ceramico tatil alerta, amarelo, para portadores de necessidades especificas</t>
  </si>
  <si>
    <t>Pigmento em po a base de oxido de ferro</t>
  </si>
  <si>
    <t>Cimento branco</t>
  </si>
  <si>
    <t>Mao-de-obra de ladrilheiro, inclusive encargos sociais</t>
  </si>
  <si>
    <t>07.001.0130-1 argamassa cim.,saibro,areia 1:3:3,preparo manual</t>
  </si>
  <si>
    <t>07.001.0010-1 pasta de cimento comum</t>
  </si>
  <si>
    <t>Revestimento de piso com ceramica tatil direcional,(ladrilho hidraulico),para pessoas com necessidades especificas,assen tes sobre superficie em osso,conforme item 13.330.0010 (obs.:3%-desgaste de ferramentas e epi).</t>
  </si>
  <si>
    <t>Piso ceramico tatil direcional, amarelo,para portadores de necessidades especificas</t>
  </si>
  <si>
    <t>Meio-fio reto de concreto simples fck=15mpa,moldado no local,tipo der-rj,medindo 0,15m na base e com altura de 0,30m,rej untamento com argamassa de cimento e areia,no traco 1:3,5,com fornecimento de todos os materiais,escavacao e reaterro (obs.:3%-desgaste de ferramentas e epi).</t>
  </si>
  <si>
    <t>Mao-de-obra de calceteiro, inclusive encargos sociais</t>
  </si>
  <si>
    <t>11.002.0035-1 lancamento conc.s/arm.2,0m3/h, horiz.</t>
  </si>
  <si>
    <t>11.002.0013-1 preparo concr. Beton. 320l; 2,0m3/h</t>
  </si>
  <si>
    <t>11.004.0021-1 formas madeira param. Planos, 2 vezes</t>
  </si>
  <si>
    <t>11.001.0005-1 concreto fck 15mpa</t>
  </si>
  <si>
    <t>07.002.0030-1 argamassa cim.,areia traco 1:4,preparomecanico</t>
  </si>
  <si>
    <t>Vergalhão esticador de tela 1/8"</t>
  </si>
  <si>
    <t>Contraventamento de alambrado com tubos de ferro galvanizado(extern.e internamente),c/diametro interno de 2" e espessura de parede de 1/8".fornecimento e colocacao (obs.:3%-desgaste de ferramentas e epi 15%-perdas e demais materiais necessarios).</t>
  </si>
  <si>
    <t>Tubo de aco galvanizado, com costura, pesado, nbr 5580, dn=2"</t>
  </si>
  <si>
    <t>Mao-de-obra de serralheiro da construcaocivil, inclusive encargos sociais</t>
  </si>
  <si>
    <t>Cabo de aco, no diametro de 1/8", para janela guilhotina</t>
  </si>
  <si>
    <t>Tela polietileno de alta densidade, malha de (5x5)cm, estabilizado contra raiosultra-violeta</t>
  </si>
  <si>
    <t>Dobradica para porta "vai-e-vem",de 3",em latao niquelado e polido.fornecimento</t>
  </si>
  <si>
    <t>Dobradica vai/vem, em latao polido, de 3"</t>
  </si>
  <si>
    <r>
      <t xml:space="preserve">Targetao de ferro galvanizado,de 36cm,com adaptacao de haste para duplo funcionamento,fechamento com cadeado, exclusive este,conforme projeto n§6017/emop.fornecimento e colocacao , inclusive cantoneira de aço 3/4"x3/4"x1/8" com 30cm de comprimento para batente </t>
    </r>
    <r>
      <rPr>
        <b/>
        <sz val="11"/>
        <color indexed="8"/>
        <rFont val="Calibri"/>
        <family val="2"/>
      </rPr>
      <t>(portão a construir e portão existente)</t>
    </r>
  </si>
  <si>
    <t>Targetao de ferro galvanizado,de 36cm,com adaptacao de haste para duplo funcionamento,fechamento com cadeado, exclusive este,conforme projeto n§6017/emop.fornecimento e colocacao (obs.:60%-adaptacao de haste dupla).</t>
  </si>
  <si>
    <t>Tarjetao de ferro galvanizado, com adaptacao de haste, p/duplo funcionamento, fechamento com cadeado de 36cm</t>
  </si>
  <si>
    <t>Cantoneira de aco, 3/4"x3/4"x1/8" (barracom 6 metros)</t>
  </si>
  <si>
    <r>
      <t xml:space="preserve"> tubo de ferro galvanizado(extern.e internamente),com diametro interno de 31/2" e espessu ra de parede de 1/8".fornecimento e colocacao </t>
    </r>
    <r>
      <rPr>
        <b/>
        <sz val="11"/>
        <color indexed="8"/>
        <rFont val="Calibri"/>
        <family val="2"/>
      </rPr>
      <t>(espera de encaixe das traves)</t>
    </r>
  </si>
  <si>
    <t>Contraventamento de alambrado com tubos de ferro galvanizado(extern.e internamente),com diametro interno de 3" e espessu ra de parede de 1/8".fornecimento e colocacao (obs.:3%-desgaste de ferramentas e epi 15%-perdas e demais materiais necessarios).</t>
  </si>
  <si>
    <t>Tubo de aco galvanizado, com costura, pesado, nbr 5580, dn=3 1/2"</t>
  </si>
  <si>
    <t>Mao-de-obra de eletricista de construcaocivil, inclusive encargos sociais</t>
  </si>
  <si>
    <t>Caixa de concreto armado pre-moldado, sem fundo, quadrada, dimensoes de 0,30 x 0,30 x 0,30 m</t>
  </si>
  <si>
    <t>So00000101619 preparo de fundo de vala com largura menor que 1,5 m, com camada de brita, lançamento manual. Af_08/2020</t>
  </si>
  <si>
    <t>So00000097733 peça retangular pré-moldada, volume de concreto de até 10 litros, taxa de aço aproximada de 30kg/m³. Af_01/2018</t>
  </si>
  <si>
    <t>Eletroduto de pvc rigido rosqueavel de 3/4",inclusive conexoes e emendas,exclusive abertura e fechamento de rasgo.fornec imento e assentamento (obs.:3%-desgaste de ferramentas e epi 10%-conexoes e emendas).</t>
  </si>
  <si>
    <t>Eletroduto de pvc preto, rigido rosqueavel, com rosca em ambas extremidades, embarras de 3 metros, de 3/4"</t>
  </si>
  <si>
    <t>Cabo de cobre flexivel com isolamento termoplastico,compreendendo:preparo,corte e enfiacao em eletrodutos,na bitola de 2 ,5mm2, 450/750v.fornecimento e colocacao (obs.:3%-desgaste de ferramentas e epi).</t>
  </si>
  <si>
    <t>Cabo de cobre flexivel com isolamento termoplastico, de 450/750v, de 2,5mm2</t>
  </si>
  <si>
    <t>Fita isolante, rolo de 19mmx20m</t>
  </si>
  <si>
    <t>Terminal de fechamento liso,para eletrocalha perfurada ou lisa,200x50mm.fornecimento e colocacao (obs.:3%-desgaste de ferramentas e epi).</t>
  </si>
  <si>
    <t>Terminal de fechamento liso, para eletrocalha perfurada ou lisa, 200x50mm, pre-zincada</t>
  </si>
  <si>
    <t>Trave desmontavel para futebol de salao,em tubo de ferro galvanizado e buchas.fornecimento</t>
  </si>
  <si>
    <t>Postes p/futebol de salao, em tubos de frro galvanizado e buchas - (par)</t>
  </si>
  <si>
    <t>Rede de nylon, p/futebol de salao- (par)</t>
  </si>
  <si>
    <t>Aplicação manual de fundo selador acrílico em paredes externas de casas. Af_06/2014</t>
  </si>
  <si>
    <t>Selador acrilico paredes internas/externas</t>
  </si>
  <si>
    <t>Lixa p/madeira n§100</t>
  </si>
  <si>
    <t>Pintor com encargos complementares</t>
  </si>
  <si>
    <t>Aplicação manual de pintura com tinta látex acrílica em paredes, duas demãos. Af_06/2014</t>
  </si>
  <si>
    <t>Tinta acrilica premium, cor branco fosco</t>
  </si>
  <si>
    <t>Pintura interna ou externa sobre ferro galvanizado ou aluminio,usando fundo para galvanizado,inclusive lixamento leve,li mpeza,desengorduramento e duas demaos de acabamento com esmalte sintetico brilhante ou acetinado (obs.:3%-desgaste de ferramentas e epi).</t>
  </si>
  <si>
    <t>Primer epoxi,isocianato de 2 componentes</t>
  </si>
  <si>
    <t>Detergente neutro p/limpeza industrial,em saco de 25kg</t>
  </si>
  <si>
    <t>Esmalte sintetico a base de agua alto brilho ou acetinado, uso hospitalar, paramadeiras e metais, branca, galao 3,6lts</t>
  </si>
  <si>
    <t>Esmalte sintetico alquidico alto brilho,brilhante, acetinado ou fosco</t>
  </si>
  <si>
    <t>Retirada de entulho de obra com cacamba de aco tipo container com 5m3 de capacidade,inclusive carregamento,transporte e descarregamento.custo por unidade de cacamba e inclui a taxa para descarga em locais autorizados (obs.:3%-desgaste de ferramentas e epi).</t>
  </si>
  <si>
    <t>Aluguel cacamba de aco tipo container c/5m3 capac.p/retirada entulho obra,incl.carrega.,transp.e descar.locais autoriz.</t>
  </si>
  <si>
    <t>Carga e descarga manual de material que exija o concurso de mais de um servente para cada peca:vergalhoes,vigas de madei ra,caixas e meios-fios,em caminhao de carroceria fixa a oleodiesel,com capacidade util de 7,5t,inclusive o tempo de car ga,descarga e manobra (obs.:3%-desgaste de ferramentas e epi).</t>
  </si>
  <si>
    <t>19.004.0004-4 caminhao carroc. Fixa 7,5t (ci)</t>
  </si>
  <si>
    <t>19.004.0004-2 caminhao carroc. Fixa, 7,5t (cp)</t>
  </si>
  <si>
    <t>Transporte de carga de qualquer natureza,exclusive as despes as de carga e descarga,tanto de espera do caminhao como do s ervente ou equipamento auxiliar,a velocidade media de 40km/h ,em caminhao de carroceria fixa a oleo diesel,com capacidade util de 7,5t. Dmt= 7,8km até smmu</t>
  </si>
  <si>
    <t>Transporte de carga de qualquer natureza,exclusive as despesas de carga e descarga,tanto de espera do caminhao como do s ervente ou equipamento auxiliar,a velocidade media de 40km/h,em caminhao de carroceria fixa a oleo diesel,com capacidade util de 7,5t</t>
  </si>
  <si>
    <t>Locacao de andaime metalico com elementos tubulares sobre sapatas,c/escada de acesso e guarda-corpo,excl.piso e transp.</t>
  </si>
  <si>
    <t>Plataforma ou passarela de madeira de 1¦,considerando-se aproveitamento da madeira 20 vezes,exclusive andaime ou outro suporte e movimentacao(vide item 05.008.0008)</t>
  </si>
  <si>
    <t>Macaranduba em pecas, de 7,50x30,00cm (3"x12")</t>
  </si>
  <si>
    <t>Movimentacao vertical ou horizontal de plataforma ou passarela (obs.:3%-desgaste de ferramentas e epi).</t>
  </si>
  <si>
    <t>So00000098111</t>
  </si>
  <si>
    <t>CAIXA DE INSPEÇÃO PARA ATERRAMENTO, CIRCULAR, EM POLIETILENO, DIÂMETRO INTERNO = 0,3 M. AF_12/2020</t>
  </si>
  <si>
    <t>So0034643</t>
  </si>
  <si>
    <t>CAIXA INSPECAO EM POLIETILENO PARA ATERRAMENTO E PARA RAIOS DIAMETRO = 300 MM</t>
  </si>
  <si>
    <t>SERVENTE COM ENCARGOS COMPLEMENTARES</t>
  </si>
  <si>
    <t>PEDREIRO COM ENCARGOS COMPLEMENTARES</t>
  </si>
  <si>
    <t>So00000101618</t>
  </si>
  <si>
    <t>So00000101618 PREPARO DE FUNDO DE VALA COM LARGURA MENOR QUE 1,5 M, COM CAMADA DE AREIA, LANÇAMENTO MANUAL. AF_08/2020</t>
  </si>
  <si>
    <t>So00000098111 + 15.036.0070-0 + 15.008.0085-0</t>
  </si>
  <si>
    <t>Ajuste nas fiações aparentes ( mangueiras sobre as cintas) : fornec imento e assentamentoeletroduto de pvc rigido rosqueavel de 3/4",inclusive conexoes e emendas,exclusive abertura e fechamento de rasgo, recolocação da fiação existente, exclusive fornecimento dos fios, inclusive fornecimento e colocação de caixa de inspeção para aterramento, circular, em polietileno, diâmetro interno 0,3m para emenda dos fios.</t>
  </si>
  <si>
    <t>TELA DE ARAME GALVANIZADO,REVESTIDO EM PVC,FIO N§ 12 DE 75MM</t>
  </si>
  <si>
    <t>10932</t>
  </si>
  <si>
    <t>TELA ARAME GALVANIZADO REVEST.PVC,FIO 12, MALHA LOSANGULAR DE 50MM</t>
  </si>
  <si>
    <t>PLANILHA ORÇAMENTÁRIA - CONSIDERADO BDI = 23,38% - opção TELA 12</t>
  </si>
  <si>
    <r>
      <t xml:space="preserve">Execução de estruturas de concreto armado convencional, preparo em betoneira,para edificação habitacional multifamiliar (prédio), fck = 25 mpa. Af_01/2017, inclusive formas </t>
    </r>
    <r>
      <rPr>
        <b/>
        <sz val="11"/>
        <color indexed="8"/>
        <rFont val="Calibri"/>
        <family val="2"/>
      </rPr>
      <t>(muro do gol divisa com particular)</t>
    </r>
  </si>
  <si>
    <t>So00000087475</t>
  </si>
  <si>
    <t>ALVENARIA DE VEDAÇÃO DE BLOCOS CERÂMICOS FURADOS NA VERTICAL DE 19X19X39CM (ESPESSURA 19CM) DE PAREDES COM ÁREA LÍQUIDA MENOR QUE 6M² SEM VÃOS E ARGAMASSA DE ASSENTAMENTO COM PREPARO EM BETONEIRA. AF_06/2014</t>
  </si>
  <si>
    <t>So0037594</t>
  </si>
  <si>
    <t>BLOCO CERAMICO DE VEDACAO COM FUROS NA VERTICAL, 19 X 19 X 39 CM - 4,5 MPA (NBR 15270)</t>
  </si>
  <si>
    <t>PINO DE ACO COM FURO, HASTE = 27 MM (ACAO DIRETA)</t>
  </si>
  <si>
    <t>So0034548</t>
  </si>
  <si>
    <t>TELA DE ACO SOLDADA GALVANIZADA/ZINCADA PARA ALVENARIA, FIO  D = *1,20 A 1,70* MM, MALHA 15 X 15 MM, (C X L) *50 X 17,5* CM</t>
  </si>
  <si>
    <t>So00000087292 ARGAMASSA TRAÇO 1:2:8 (EM VOLUME DE CIMENTO, CAL E AREIA MÉDIA ÚMIDA) PARA EMBOÇO/MASSA ÚNICA/ASSENTAMENTO DE ALVENARIA DE VEDAÇÃO, PREPARO MECÂNICO COM BETONEIRA 400 L. AF_08/2019</t>
  </si>
  <si>
    <t>Alvenaria de vedação de blocos cerâmicos furados na vertical de 19x19x39cm (espessura 19cm) de paredes com área líquida menor que 6m² sem vãos e argamassa de assentamento com preparo em betoneira. Af_06/2014</t>
  </si>
  <si>
    <t>Execução de estruturas de concreto armado convencional, preparo em betoneira,para edificação habitacional multifamiliar (prédio), fck = 25 mpa. Af_01/2017, inclusive formas (muro do gol divisa com particular)</t>
  </si>
  <si>
    <t>Pintura interna ou externa sobre ferro galvanizado ou aluminio,usando fundo para galvanizado,inclusive lixamento adequado, l mpeza,desengorduramento e duas demaos de acabamento com esmalte sintetico a base de água, brilhante ou acetinado.</t>
  </si>
  <si>
    <t>Aplicação manual de pintura com tinta látex acrílica premium em paredes, duas demãos. Af_06/2014 (muro)</t>
  </si>
  <si>
    <t>Estaca broca de concreto, preparo em betoneira, diâmetro de 30cm, inclusive escavação manual com trado concha, inteiramente armada. Af_05/2020 (trados)</t>
  </si>
  <si>
    <t>Aplicação manual de fundo selador acrílico em paredes externas de casas. Af_06/2014, inclusive lixamentos necessários. (MUROS)</t>
  </si>
  <si>
    <t>Tela de arame galvanizado revestida em pvc, quadrangular / losangular, fio 12bwg),  malha *8 x 8* cm. Fornecimento e instalação, inclusive amarração fio 14bwg e fornecimento e colocação de vergalhão esticador de tela 1/8"</t>
  </si>
  <si>
    <t>0021008</t>
  </si>
  <si>
    <t>TUBO ACO GALVANIZADO COM COSTURA, CLASSE LEVE, DN 15 MM ( 1/2"),  E = 2,25 MM,  *1,2* KG/M (NBR 5580)</t>
  </si>
  <si>
    <t>15.031.0020-0</t>
  </si>
  <si>
    <t>TUBO DE FERRO GALVANIZADO DE 3/4",COM COSTURA,INCLUSIVE CONEXOES E EMENDAS,EXCLUSIVE ABERTURA E FECHAMENTO DE RASGO. FORNECIMENTO E ASSENTAMENTO (OBS.:3%-DESGASTE DE FERRAMENTAS E EPI 10%-CONEXOES E EMENDAS).</t>
  </si>
  <si>
    <t>MAO-DE-OBRA DE SERVENTE DA CONSTRUCAO CIVIL, INCLUSIVE ENCARGOS SOCIAIS</t>
  </si>
  <si>
    <t>MAO-DE-OBRA DE BOMBEIRO HIDRAULICO DA CONSTRUCAO CIVIL, INCLUSIVE ENCARGOS SOCIAIS</t>
  </si>
  <si>
    <t>MAO-DE-OBRA DE SERRALHEIRO DA CONSTRUCAOCIVIL, INCLUSIVE ENCARGOS SOCIAIS</t>
  </si>
  <si>
    <t>05.027.0003-A</t>
  </si>
  <si>
    <t>SOLDA DE TOPO,EM TUBOS DE ACO GALVANIZADO NO DIAMETRO DE 3/4",UTILIZANDO CONVERSOR ELETRICO,INCLUSIVE CORTE E/OU CHANFRO DAS EXTREMIDADES (OBS.:3%-DESGASTE DE FERRAMENTAS E EPI).</t>
  </si>
  <si>
    <t>ELETRODO P/SOLDA ACO (AWS E-6013), IND.P/TRAB.EM SERRAL., ESTRUT.METAL.TUBUL.CONSTR.EM GERAL E CHAPAS FINAS,ESPES.3,25MM</t>
  </si>
  <si>
    <t>20134</t>
  </si>
  <si>
    <t>MAO-DE-OBRA DE SOLDADOR DA CONSTRUCAO CIVIL, INCLUSIVE ENCARGOS SOCIAIS DESONERADOS</t>
  </si>
  <si>
    <t>20006</t>
  </si>
  <si>
    <t>MAO-DE-OBRA DE AJUDANTE DE SOLDADOR, INCLUSIVE ENCARGOS SOCIAIS DESONERADOS</t>
  </si>
  <si>
    <t>30857</t>
  </si>
  <si>
    <t>19.011.0045-C RETIFICADOR SOLDA ELETRICA DE 430A (CP)</t>
  </si>
  <si>
    <t>1.5.8</t>
  </si>
  <si>
    <t>05.027.0003-0</t>
  </si>
  <si>
    <t>MAO-DE-OBRA DE SOLDADOR DA CONSTRUCAO CIVIL, INCLUSIVE ENCARGOS SOCIAIS</t>
  </si>
  <si>
    <t>MAO-DE-OBRA DE AJUDANTE DE SOLDADOR, INCLUSIVE ENCARGOS SOCIAIS</t>
  </si>
  <si>
    <t>19.011.0045-2 RETIFICADOR SOLDA ELETRICA DE 430A (CP)</t>
  </si>
  <si>
    <t>m</t>
  </si>
  <si>
    <t>15.031.0020-6 + 05.027.0003-5</t>
  </si>
  <si>
    <t>15260</t>
  </si>
  <si>
    <t>11.009.0050-1 BARRA DE ACO CA-25,REDONDA,SEM SALIENCIAOU MOSSA,DIAMETRO IGUAL A 6,3MM</t>
  </si>
  <si>
    <t>Forneciment e instalação de BARRA DE ACO CA-25,REDONDA,SEM SALIENCIAOU MOSSA,DIAMETRO 12,5MM), devidamente soldados nos tubos dos portões conforme projeto.</t>
  </si>
  <si>
    <t>So00000101658</t>
  </si>
  <si>
    <t>LUMINÁRIA DE LED PARA ILUMINAÇÃO PÚBLICA, DE 138 W ATÉ 180 W - FORNECIMENTO E INSTALAÇÃO. AF_08/2020</t>
  </si>
  <si>
    <t>LUMINARIA DE LED PARA ILUMINACAO PUBLICA, DE 138 W ATE 180 W, INVOLUCRO EM ALUMINIO OU ACO INOX</t>
  </si>
  <si>
    <t>So0021127</t>
  </si>
  <si>
    <t>FITA ISOLANTE ADESIVA ANTICHAMA, USO ATE 750 V, EM ROLO DE 19 MM X 5 M</t>
  </si>
  <si>
    <t>So00000088264</t>
  </si>
  <si>
    <t>ELETRICISTA COM ENCARGOS COMPLEMENTARES</t>
  </si>
  <si>
    <t>So00000088247</t>
  </si>
  <si>
    <t>AUXILIAR DE ELETRICISTA COM ENCARGOS COMPLEMENTARES</t>
  </si>
  <si>
    <t>So00000005928</t>
  </si>
  <si>
    <t>So00000005928 GUINDAUTO HIDRÁULICO, CAPACIDADE MÁXIMA DE CARGA 6200 KG, MOMENTO MÁXIMO DE CARGA 11,7 TM, ALCANCE MÁXIMO HORIZONTAL 9,70 M, INCLUSIVE CAMINHÃO TOCO PBT 16.000 KG, POTÊNCIA DE 189 CV - CHP DIURNO. AF_06/2014</t>
  </si>
  <si>
    <t>CHP</t>
  </si>
  <si>
    <t>So00000101658 alterada</t>
  </si>
  <si>
    <t>Dobradica para porta tipo gonzo,de 3",em latao niquelado e polido para garantir abertura indicada em projeto..fornecimento e colocação</t>
  </si>
  <si>
    <t xml:space="preserve">LUMINÁRIA TIPO REFLETOR  DE LED PARA ILUMINAÇÃO PÚBLICA, DE 150w FORNECIMENTO E INSTALAÇÃO. </t>
  </si>
  <si>
    <t>Trave  para futebol de salao,em tubo de ferro gal vanizado 3".fornecimento e colocação, inclusive soldas necessárias, nos encaixes das esperas , inclusive pintura e estrutura para fixação da rede.</t>
  </si>
</sst>
</file>

<file path=xl/styles.xml><?xml version="1.0" encoding="utf-8"?>
<styleSheet xmlns="http://schemas.openxmlformats.org/spreadsheetml/2006/main">
  <numFmts count="13">
    <numFmt numFmtId="44" formatCode="_-&quot;R$&quot;\ * #,##0.00_-;\-&quot;R$&quot;\ * #,##0.00_-;_-&quot;R$&quot;\ * &quot;-&quot;??_-;_-@_-"/>
    <numFmt numFmtId="43" formatCode="_-* #,##0.00_-;\-* #,##0.00_-;_-* &quot;-&quot;??_-;_-@_-"/>
    <numFmt numFmtId="172" formatCode="0.0%"/>
    <numFmt numFmtId="173" formatCode="_([$€]* #,##0.00_);_([$€]* \(#,##0.00\);_([$€]* &quot;-&quot;??_);_(@_)"/>
    <numFmt numFmtId="174" formatCode="_(* #,##0.00_);_(* \(#,##0.00\);_(* &quot;-&quot;??_);_(@_)"/>
    <numFmt numFmtId="183" formatCode="0.00000"/>
    <numFmt numFmtId="194" formatCode="&quot;R$&quot;\ #,##0.00"/>
    <numFmt numFmtId="195" formatCode="General\ "/>
    <numFmt numFmtId="200" formatCode="#,#00"/>
    <numFmt numFmtId="203" formatCode="&quot; R$ &quot;* #,##0.00\ ;&quot; R$ &quot;* \(#,##0.00\);&quot; R$ &quot;* \-#\ ;@\ "/>
    <numFmt numFmtId="204" formatCode="%#,#00"/>
    <numFmt numFmtId="205" formatCode="#.#####"/>
    <numFmt numFmtId="206" formatCode="#,"/>
  </numFmts>
  <fonts count="41">
    <font>
      <sz val="11"/>
      <color theme="1"/>
      <name val="Calibri"/>
      <family val="2"/>
      <scheme val="minor"/>
    </font>
    <font>
      <sz val="11"/>
      <color indexed="8"/>
      <name val="Calibri"/>
      <family val="2"/>
    </font>
    <font>
      <sz val="10"/>
      <name val="Arial"/>
      <family val="2"/>
    </font>
    <font>
      <sz val="14"/>
      <name val="Arial"/>
      <family val="2"/>
    </font>
    <font>
      <b/>
      <sz val="14"/>
      <name val="Arial"/>
      <family val="2"/>
    </font>
    <font>
      <sz val="12"/>
      <name val="Arial"/>
      <family val="2"/>
    </font>
    <font>
      <b/>
      <sz val="12"/>
      <name val="Arial"/>
      <family val="2"/>
    </font>
    <font>
      <sz val="10"/>
      <name val="Switzerland"/>
    </font>
    <font>
      <sz val="20"/>
      <name val="Arial"/>
      <family val="2"/>
    </font>
    <font>
      <b/>
      <sz val="20"/>
      <name val="Arial"/>
      <family val="2"/>
    </font>
    <font>
      <b/>
      <sz val="16"/>
      <name val="Arial"/>
      <family val="2"/>
    </font>
    <font>
      <b/>
      <sz val="20"/>
      <color indexed="10"/>
      <name val="Arial"/>
      <family val="2"/>
    </font>
    <font>
      <sz val="20"/>
      <color indexed="10"/>
      <name val="Arial"/>
      <family val="2"/>
    </font>
    <font>
      <sz val="11"/>
      <name val="Switzerland"/>
    </font>
    <font>
      <b/>
      <sz val="12"/>
      <color indexed="8"/>
      <name val="Arial"/>
      <family val="2"/>
    </font>
    <font>
      <sz val="12"/>
      <color indexed="8"/>
      <name val="Arial"/>
      <family val="2"/>
    </font>
    <font>
      <b/>
      <sz val="15"/>
      <color indexed="56"/>
      <name val="Calibri"/>
      <family val="2"/>
    </font>
    <font>
      <sz val="10"/>
      <name val="Times New Roman"/>
      <family val="1"/>
    </font>
    <font>
      <b/>
      <sz val="15"/>
      <color indexed="48"/>
      <name val="Calibri"/>
      <family val="2"/>
    </font>
    <font>
      <b/>
      <sz val="12"/>
      <color indexed="8"/>
      <name val="Arial"/>
      <family val="2"/>
    </font>
    <font>
      <sz val="10"/>
      <name val="Arial"/>
      <family val="2"/>
    </font>
    <font>
      <sz val="1"/>
      <color indexed="8"/>
      <name val="Courier New"/>
      <family val="3"/>
    </font>
    <font>
      <sz val="12"/>
      <name val="Courier New"/>
      <family val="3"/>
    </font>
    <font>
      <b/>
      <sz val="1"/>
      <color indexed="8"/>
      <name val="Courier New"/>
      <family val="3"/>
    </font>
    <font>
      <sz val="24"/>
      <name val="Switzerland"/>
    </font>
    <font>
      <sz val="8"/>
      <name val="Calibri"/>
      <family val="2"/>
    </font>
    <font>
      <b/>
      <sz val="11"/>
      <color indexed="8"/>
      <name val="Calibri"/>
      <family val="2"/>
    </font>
    <font>
      <b/>
      <sz val="11"/>
      <color indexed="8"/>
      <name val="Calibri"/>
      <family val="2"/>
    </font>
    <font>
      <sz val="11"/>
      <color theme="1"/>
      <name val="Calibri"/>
      <family val="2"/>
      <scheme val="minor"/>
    </font>
    <font>
      <sz val="11"/>
      <color rgb="FF000000"/>
      <name val="Calibri"/>
      <family val="2"/>
      <charset val="1"/>
    </font>
    <font>
      <b/>
      <sz val="11"/>
      <color theme="1"/>
      <name val="Calibri"/>
      <family val="2"/>
      <scheme val="minor"/>
    </font>
    <font>
      <b/>
      <sz val="12"/>
      <color theme="1"/>
      <name val="Arial"/>
      <family val="2"/>
    </font>
    <font>
      <sz val="12"/>
      <color theme="1"/>
      <name val="Arial"/>
      <family val="2"/>
    </font>
    <font>
      <sz val="11"/>
      <name val="Calibri"/>
      <family val="2"/>
      <scheme val="minor"/>
    </font>
    <font>
      <b/>
      <sz val="14"/>
      <name val="Calibri"/>
      <family val="2"/>
      <scheme val="minor"/>
    </font>
    <font>
      <b/>
      <sz val="11"/>
      <name val="Calibri"/>
      <family val="2"/>
      <scheme val="minor"/>
    </font>
    <font>
      <sz val="14"/>
      <name val="Calibri"/>
      <family val="2"/>
      <scheme val="minor"/>
    </font>
    <font>
      <b/>
      <sz val="12"/>
      <color rgb="FF000000"/>
      <name val="Arial"/>
      <family val="2"/>
    </font>
    <font>
      <sz val="11"/>
      <color rgb="FF000000"/>
      <name val="Calibri"/>
      <family val="2"/>
      <scheme val="minor"/>
    </font>
    <font>
      <b/>
      <sz val="11"/>
      <color rgb="FF000000"/>
      <name val="Calibri"/>
      <family val="2"/>
      <scheme val="minor"/>
    </font>
    <font>
      <sz val="14"/>
      <color rgb="FF000000"/>
      <name val="Calibri"/>
      <family val="2"/>
      <scheme val="minor"/>
    </font>
  </fonts>
  <fills count="20">
    <fill>
      <patternFill patternType="none"/>
    </fill>
    <fill>
      <patternFill patternType="gray125"/>
    </fill>
    <fill>
      <patternFill patternType="solid">
        <fgColor indexed="22"/>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rgb="FFFFFFCC"/>
      </patternFill>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rgb="FFFFFFFF"/>
        <bgColor indexed="64"/>
      </patternFill>
    </fill>
  </fills>
  <borders count="20">
    <border>
      <left/>
      <right/>
      <top/>
      <bottom/>
      <diagonal/>
    </border>
    <border>
      <left/>
      <right/>
      <top/>
      <bottom style="thick">
        <color indexed="62"/>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thin">
        <color indexed="64"/>
      </right>
      <top style="thin">
        <color indexed="64"/>
      </top>
      <bottom style="thin">
        <color indexed="64"/>
      </bottom>
      <diagonal/>
    </border>
    <border>
      <left style="thin">
        <color rgb="FFB2B2B2"/>
      </left>
      <right style="thin">
        <color rgb="FFB2B2B2"/>
      </right>
      <top style="thin">
        <color rgb="FFB2B2B2"/>
      </top>
      <bottom style="thin">
        <color rgb="FFB2B2B2"/>
      </bottom>
      <diagonal/>
    </border>
  </borders>
  <cellStyleXfs count="59">
    <xf numFmtId="0" fontId="0" fillId="0" borderId="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1" fillId="0" borderId="0">
      <protection locked="0"/>
    </xf>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200" fontId="21" fillId="0" borderId="0">
      <protection locked="0"/>
    </xf>
    <xf numFmtId="44" fontId="1" fillId="0" borderId="0" applyFont="0" applyFill="0" applyBorder="0" applyAlignment="0" applyProtection="0"/>
    <xf numFmtId="44" fontId="2" fillId="0" borderId="0" applyFont="0" applyFill="0" applyBorder="0" applyAlignment="0" applyProtection="0"/>
    <xf numFmtId="0" fontId="2" fillId="0" borderId="0"/>
    <xf numFmtId="0" fontId="28" fillId="0" borderId="0"/>
    <xf numFmtId="0" fontId="2" fillId="0" borderId="0"/>
    <xf numFmtId="0" fontId="2" fillId="0" borderId="0"/>
    <xf numFmtId="0" fontId="17" fillId="0" borderId="0"/>
    <xf numFmtId="0" fontId="2" fillId="0" borderId="0"/>
    <xf numFmtId="0" fontId="28" fillId="0" borderId="0"/>
    <xf numFmtId="0" fontId="28" fillId="0" borderId="0"/>
    <xf numFmtId="0" fontId="2" fillId="0" borderId="0"/>
    <xf numFmtId="0" fontId="20" fillId="0" borderId="0"/>
    <xf numFmtId="0" fontId="28" fillId="0" borderId="0"/>
    <xf numFmtId="0" fontId="28" fillId="0" borderId="0"/>
    <xf numFmtId="195" fontId="22" fillId="0" borderId="0"/>
    <xf numFmtId="203" fontId="22" fillId="0" borderId="0"/>
    <xf numFmtId="0" fontId="29" fillId="0" borderId="0"/>
    <xf numFmtId="0" fontId="29" fillId="0" borderId="0"/>
    <xf numFmtId="0" fontId="7" fillId="0" borderId="0"/>
    <xf numFmtId="0" fontId="2" fillId="0" borderId="0"/>
    <xf numFmtId="0" fontId="7" fillId="0" borderId="0"/>
    <xf numFmtId="0" fontId="2" fillId="0" borderId="0"/>
    <xf numFmtId="0" fontId="2" fillId="0" borderId="0"/>
    <xf numFmtId="0" fontId="28" fillId="15" borderId="19" applyNumberFormat="0" applyFont="0" applyAlignment="0" applyProtection="0"/>
    <xf numFmtId="0" fontId="28" fillId="15" borderId="19" applyNumberFormat="0" applyFont="0" applyAlignment="0" applyProtection="0"/>
    <xf numFmtId="0" fontId="28" fillId="15" borderId="19" applyNumberFormat="0" applyFont="0" applyAlignment="0" applyProtection="0"/>
    <xf numFmtId="204" fontId="21" fillId="0" borderId="0">
      <protection locked="0"/>
    </xf>
    <xf numFmtId="205" fontId="21" fillId="0" borderId="0">
      <protection locked="0"/>
    </xf>
    <xf numFmtId="9" fontId="2" fillId="0" borderId="0" applyFont="0" applyFill="0" applyBorder="0" applyAlignment="0" applyProtection="0"/>
    <xf numFmtId="9" fontId="1" fillId="0" borderId="0" applyFont="0" applyFill="0" applyBorder="0" applyAlignment="0" applyProtection="0"/>
    <xf numFmtId="200" fontId="2" fillId="0" borderId="0" applyFill="0" applyBorder="0" applyAlignment="0" applyProtection="0"/>
    <xf numFmtId="194" fontId="2" fillId="0" borderId="0"/>
    <xf numFmtId="0" fontId="2" fillId="0" borderId="0"/>
    <xf numFmtId="0" fontId="18" fillId="0" borderId="1" applyNumberFormat="0" applyFill="0" applyAlignment="0" applyProtection="0"/>
    <xf numFmtId="0" fontId="18" fillId="0" borderId="1" applyNumberFormat="0" applyFill="0" applyAlignment="0" applyProtection="0"/>
    <xf numFmtId="0" fontId="16" fillId="0" borderId="1" applyNumberFormat="0" applyFill="0" applyAlignment="0" applyProtection="0"/>
    <xf numFmtId="206" fontId="23" fillId="0" borderId="0">
      <protection locked="0"/>
    </xf>
    <xf numFmtId="206" fontId="23" fillId="0" borderId="0">
      <protection locked="0"/>
    </xf>
    <xf numFmtId="174"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cellStyleXfs>
  <cellXfs count="262">
    <xf numFmtId="0" fontId="0" fillId="0" borderId="0" xfId="0"/>
    <xf numFmtId="0" fontId="0" fillId="0" borderId="0" xfId="0" applyAlignment="1">
      <alignment horizontal="justify" vertical="justify" wrapText="1"/>
    </xf>
    <xf numFmtId="49" fontId="31" fillId="16" borderId="2" xfId="39" applyNumberFormat="1" applyFont="1" applyFill="1" applyBorder="1" applyAlignment="1">
      <alignment horizontal="center"/>
    </xf>
    <xf numFmtId="49" fontId="31" fillId="16" borderId="3" xfId="25" applyNumberFormat="1" applyFont="1" applyFill="1" applyBorder="1"/>
    <xf numFmtId="4" fontId="31" fillId="16" borderId="3" xfId="25" applyNumberFormat="1" applyFont="1" applyFill="1" applyBorder="1" applyAlignment="1">
      <alignment horizontal="left" readingOrder="1"/>
    </xf>
    <xf numFmtId="4" fontId="31" fillId="16" borderId="2" xfId="40" applyNumberFormat="1" applyFont="1" applyFill="1" applyBorder="1" applyAlignment="1">
      <alignment horizontal="left" vertical="center"/>
    </xf>
    <xf numFmtId="4" fontId="31" fillId="16" borderId="3" xfId="0" applyNumberFormat="1" applyFont="1" applyFill="1" applyBorder="1" applyAlignment="1">
      <alignment horizontal="left"/>
    </xf>
    <xf numFmtId="4" fontId="31" fillId="16" borderId="3" xfId="39" applyNumberFormat="1" applyFont="1" applyFill="1" applyBorder="1" applyAlignment="1">
      <alignment horizontal="left"/>
    </xf>
    <xf numFmtId="49" fontId="31" fillId="16" borderId="4" xfId="39" applyNumberFormat="1" applyFont="1" applyFill="1" applyBorder="1" applyAlignment="1">
      <alignment horizontal="center"/>
    </xf>
    <xf numFmtId="49" fontId="31" fillId="16" borderId="0" xfId="25" applyNumberFormat="1" applyFont="1" applyFill="1" applyBorder="1"/>
    <xf numFmtId="4" fontId="31" fillId="16" borderId="0" xfId="25" applyNumberFormat="1" applyFont="1" applyFill="1" applyBorder="1" applyAlignment="1">
      <alignment horizontal="left" readingOrder="1"/>
    </xf>
    <xf numFmtId="4" fontId="31" fillId="16" borderId="4" xfId="40" applyNumberFormat="1" applyFont="1" applyFill="1" applyBorder="1" applyAlignment="1">
      <alignment horizontal="left" vertical="center"/>
    </xf>
    <xf numFmtId="4" fontId="31" fillId="16" borderId="0" xfId="39" applyNumberFormat="1" applyFont="1" applyFill="1" applyBorder="1" applyAlignment="1">
      <alignment horizontal="left"/>
    </xf>
    <xf numFmtId="4" fontId="31" fillId="16" borderId="0" xfId="25" applyNumberFormat="1" applyFont="1" applyFill="1" applyBorder="1" applyAlignment="1">
      <alignment horizontal="left"/>
    </xf>
    <xf numFmtId="4" fontId="32" fillId="16" borderId="0" xfId="25" applyNumberFormat="1" applyFont="1" applyFill="1" applyBorder="1" applyAlignment="1">
      <alignment vertical="center" wrapText="1" readingOrder="1"/>
    </xf>
    <xf numFmtId="4" fontId="32" fillId="16" borderId="0" xfId="25" applyNumberFormat="1" applyFont="1" applyFill="1" applyBorder="1"/>
    <xf numFmtId="49" fontId="31" fillId="16" borderId="5" xfId="39" applyNumberFormat="1" applyFont="1" applyFill="1" applyBorder="1" applyAlignment="1">
      <alignment horizontal="center"/>
    </xf>
    <xf numFmtId="49" fontId="31" fillId="16" borderId="6" xfId="40" applyNumberFormat="1" applyFont="1" applyFill="1" applyBorder="1" applyAlignment="1">
      <alignment horizontal="center"/>
    </xf>
    <xf numFmtId="4" fontId="32" fillId="16" borderId="6" xfId="40" applyNumberFormat="1" applyFont="1" applyFill="1" applyBorder="1" applyAlignment="1"/>
    <xf numFmtId="0" fontId="6" fillId="0" borderId="7" xfId="0" applyFont="1" applyFill="1" applyBorder="1" applyAlignment="1">
      <alignment horizontal="center" vertical="center"/>
    </xf>
    <xf numFmtId="0" fontId="3" fillId="0" borderId="8" xfId="36" applyFont="1" applyBorder="1"/>
    <xf numFmtId="0" fontId="3" fillId="0" borderId="0" xfId="36" applyFont="1"/>
    <xf numFmtId="0" fontId="7" fillId="0" borderId="0" xfId="36"/>
    <xf numFmtId="0" fontId="3" fillId="0" borderId="9" xfId="36" applyFont="1" applyBorder="1"/>
    <xf numFmtId="0" fontId="3" fillId="0" borderId="10" xfId="36" applyFont="1" applyBorder="1"/>
    <xf numFmtId="0" fontId="10" fillId="0" borderId="11" xfId="36" applyFont="1" applyBorder="1" applyAlignment="1">
      <alignment horizontal="center"/>
    </xf>
    <xf numFmtId="0" fontId="7" fillId="0" borderId="0" xfId="36" applyBorder="1"/>
    <xf numFmtId="0" fontId="10" fillId="0" borderId="7" xfId="36" applyFont="1" applyBorder="1" applyAlignment="1">
      <alignment horizontal="center"/>
    </xf>
    <xf numFmtId="0" fontId="10" fillId="0" borderId="8" xfId="36" applyFont="1" applyBorder="1" applyAlignment="1">
      <alignment horizontal="center"/>
    </xf>
    <xf numFmtId="0" fontId="8" fillId="0" borderId="0" xfId="36" applyFont="1"/>
    <xf numFmtId="0" fontId="9" fillId="0" borderId="11" xfId="39" applyFont="1" applyFill="1" applyBorder="1" applyAlignment="1">
      <alignment vertical="top"/>
    </xf>
    <xf numFmtId="0" fontId="8" fillId="0" borderId="11" xfId="39" applyFont="1" applyFill="1" applyBorder="1" applyAlignment="1">
      <alignment horizontal="left" vertical="top"/>
    </xf>
    <xf numFmtId="39" fontId="8" fillId="0" borderId="0" xfId="36" applyNumberFormat="1" applyFont="1"/>
    <xf numFmtId="4" fontId="9" fillId="0" borderId="11" xfId="22" applyNumberFormat="1" applyFont="1" applyBorder="1"/>
    <xf numFmtId="4" fontId="8" fillId="2" borderId="7" xfId="22" applyNumberFormat="1" applyFont="1" applyFill="1" applyBorder="1"/>
    <xf numFmtId="0" fontId="8" fillId="2" borderId="12" xfId="22" applyFont="1" applyFill="1" applyBorder="1"/>
    <xf numFmtId="172" fontId="9" fillId="2" borderId="12" xfId="46" applyNumberFormat="1" applyFont="1" applyFill="1" applyBorder="1" applyAlignment="1">
      <alignment horizontal="center"/>
    </xf>
    <xf numFmtId="0" fontId="8" fillId="2" borderId="13" xfId="36" applyFont="1" applyFill="1" applyBorder="1"/>
    <xf numFmtId="0" fontId="13" fillId="0" borderId="0" xfId="36" applyFont="1"/>
    <xf numFmtId="0" fontId="8" fillId="0" borderId="0" xfId="36" applyFont="1" applyBorder="1"/>
    <xf numFmtId="4" fontId="8" fillId="0" borderId="0" xfId="36" applyNumberFormat="1" applyFont="1"/>
    <xf numFmtId="0" fontId="30" fillId="0" borderId="0" xfId="0" applyFont="1"/>
    <xf numFmtId="0" fontId="33" fillId="16" borderId="0" xfId="0" applyFont="1" applyFill="1"/>
    <xf numFmtId="4" fontId="5" fillId="16" borderId="0" xfId="25" applyNumberFormat="1" applyFont="1" applyFill="1" applyBorder="1" applyAlignment="1">
      <alignment vertical="center" wrapText="1" readingOrder="1"/>
    </xf>
    <xf numFmtId="4" fontId="6" fillId="16" borderId="0" xfId="40" applyNumberFormat="1" applyFont="1" applyFill="1" applyBorder="1" applyAlignment="1">
      <alignment horizontal="left"/>
    </xf>
    <xf numFmtId="0" fontId="5" fillId="16" borderId="11" xfId="0" applyFont="1" applyFill="1" applyBorder="1" applyAlignment="1">
      <alignment horizontal="justify" vertical="justify" wrapText="1"/>
    </xf>
    <xf numFmtId="0" fontId="0" fillId="0" borderId="0" xfId="0" applyAlignment="1">
      <alignment horizontal="center"/>
    </xf>
    <xf numFmtId="0" fontId="34" fillId="16" borderId="0" xfId="0" applyFont="1" applyFill="1" applyAlignment="1">
      <alignment horizontal="right"/>
    </xf>
    <xf numFmtId="0" fontId="5" fillId="16" borderId="0" xfId="0" applyFont="1" applyFill="1"/>
    <xf numFmtId="0" fontId="5" fillId="16" borderId="11" xfId="0" applyFont="1" applyFill="1" applyBorder="1" applyAlignment="1">
      <alignment horizontal="center"/>
    </xf>
    <xf numFmtId="0" fontId="9" fillId="17" borderId="14" xfId="37" applyFont="1" applyFill="1" applyBorder="1" applyAlignment="1">
      <alignment vertical="top"/>
    </xf>
    <xf numFmtId="0" fontId="11" fillId="17" borderId="11" xfId="39" applyFont="1" applyFill="1" applyBorder="1" applyAlignment="1">
      <alignment vertical="top"/>
    </xf>
    <xf numFmtId="0" fontId="11" fillId="17" borderId="11" xfId="39" applyFont="1" applyFill="1" applyBorder="1" applyAlignment="1">
      <alignment horizontal="left" vertical="top"/>
    </xf>
    <xf numFmtId="10" fontId="12" fillId="17" borderId="11" xfId="46" quotePrefix="1" applyNumberFormat="1" applyFont="1" applyFill="1" applyBorder="1" applyAlignment="1"/>
    <xf numFmtId="39" fontId="12" fillId="17" borderId="11" xfId="36" applyNumberFormat="1" applyFont="1" applyFill="1" applyBorder="1" applyAlignment="1"/>
    <xf numFmtId="4" fontId="24" fillId="0" borderId="0" xfId="36" applyNumberFormat="1" applyFont="1"/>
    <xf numFmtId="0" fontId="6" fillId="16" borderId="11" xfId="0" applyFont="1" applyFill="1" applyBorder="1" applyAlignment="1">
      <alignment horizontal="center"/>
    </xf>
    <xf numFmtId="0" fontId="31" fillId="16" borderId="11" xfId="0" applyFont="1" applyFill="1" applyBorder="1" applyAlignment="1">
      <alignment horizontal="center"/>
    </xf>
    <xf numFmtId="0" fontId="31" fillId="16" borderId="11" xfId="0" applyFont="1" applyFill="1" applyBorder="1"/>
    <xf numFmtId="0" fontId="3" fillId="16" borderId="0" xfId="0" applyFont="1" applyFill="1"/>
    <xf numFmtId="2" fontId="5" fillId="16" borderId="11" xfId="0" applyNumberFormat="1" applyFont="1" applyFill="1" applyBorder="1" applyAlignment="1">
      <alignment horizontal="center"/>
    </xf>
    <xf numFmtId="0" fontId="35" fillId="16" borderId="0" xfId="0" applyFont="1" applyFill="1"/>
    <xf numFmtId="0" fontId="4" fillId="16" borderId="7" xfId="0" applyFont="1" applyFill="1" applyBorder="1" applyAlignment="1">
      <alignment horizontal="center" vertical="center"/>
    </xf>
    <xf numFmtId="0" fontId="34" fillId="16" borderId="0" xfId="0" applyFont="1" applyFill="1"/>
    <xf numFmtId="0" fontId="36" fillId="16" borderId="0" xfId="0" applyFont="1" applyFill="1" applyBorder="1"/>
    <xf numFmtId="0" fontId="33" fillId="16" borderId="0" xfId="0" applyFont="1" applyFill="1" applyAlignment="1">
      <alignment horizontal="center"/>
    </xf>
    <xf numFmtId="0" fontId="33" fillId="16" borderId="0" xfId="0" applyFont="1" applyFill="1" applyAlignment="1">
      <alignment horizontal="justify" vertical="justify" wrapText="1"/>
    </xf>
    <xf numFmtId="4" fontId="33" fillId="16" borderId="0" xfId="0" applyNumberFormat="1" applyFont="1" applyFill="1"/>
    <xf numFmtId="2" fontId="33" fillId="16" borderId="0" xfId="0" applyNumberFormat="1" applyFont="1" applyFill="1"/>
    <xf numFmtId="0" fontId="0" fillId="0" borderId="0" xfId="0" applyBorder="1"/>
    <xf numFmtId="0" fontId="30" fillId="0" borderId="0" xfId="0" applyFont="1" applyBorder="1"/>
    <xf numFmtId="0" fontId="10" fillId="0" borderId="15" xfId="36" applyFont="1" applyBorder="1" applyAlignment="1"/>
    <xf numFmtId="0" fontId="10" fillId="0" borderId="14" xfId="36" applyFont="1" applyBorder="1" applyAlignment="1"/>
    <xf numFmtId="4" fontId="8" fillId="16" borderId="11" xfId="36" applyNumberFormat="1" applyFont="1" applyFill="1" applyBorder="1" applyAlignment="1"/>
    <xf numFmtId="10" fontId="8" fillId="16" borderId="11" xfId="46" applyNumberFormat="1" applyFont="1" applyFill="1" applyBorder="1" applyAlignment="1"/>
    <xf numFmtId="2" fontId="35" fillId="16" borderId="0" xfId="0" applyNumberFormat="1" applyFont="1" applyFill="1"/>
    <xf numFmtId="2" fontId="34" fillId="16" borderId="0" xfId="0" applyNumberFormat="1" applyFont="1" applyFill="1" applyAlignment="1">
      <alignment horizontal="right"/>
    </xf>
    <xf numFmtId="2" fontId="34" fillId="16" borderId="0" xfId="0" applyNumberFormat="1" applyFont="1" applyFill="1"/>
    <xf numFmtId="0" fontId="0" fillId="0" borderId="0" xfId="0" applyFont="1" applyAlignment="1">
      <alignment horizontal="center"/>
    </xf>
    <xf numFmtId="0" fontId="0" fillId="0" borderId="0" xfId="0" applyFont="1"/>
    <xf numFmtId="0" fontId="0" fillId="0" borderId="11" xfId="0" applyFont="1" applyBorder="1" applyAlignment="1">
      <alignment horizontal="center"/>
    </xf>
    <xf numFmtId="0" fontId="0" fillId="0" borderId="11" xfId="0" applyFont="1" applyBorder="1"/>
    <xf numFmtId="194" fontId="30" fillId="0" borderId="11" xfId="0" applyNumberFormat="1" applyFont="1" applyBorder="1"/>
    <xf numFmtId="0" fontId="4" fillId="16" borderId="0" xfId="0" applyFont="1" applyFill="1"/>
    <xf numFmtId="183" fontId="33" fillId="16" borderId="0" xfId="0" applyNumberFormat="1" applyFont="1" applyFill="1"/>
    <xf numFmtId="49" fontId="31" fillId="16" borderId="3" xfId="25" applyNumberFormat="1" applyFont="1" applyFill="1" applyBorder="1" applyAlignment="1">
      <alignment horizontal="center"/>
    </xf>
    <xf numFmtId="49" fontId="31" fillId="16" borderId="0" xfId="25" applyNumberFormat="1" applyFont="1" applyFill="1" applyBorder="1" applyAlignment="1">
      <alignment horizontal="center"/>
    </xf>
    <xf numFmtId="0" fontId="0" fillId="0" borderId="0" xfId="0" applyFont="1" applyAlignment="1">
      <alignment horizontal="center" vertical="justify" wrapText="1"/>
    </xf>
    <xf numFmtId="0" fontId="0" fillId="0" borderId="0" xfId="0" applyAlignment="1">
      <alignment horizontal="center" vertical="justify" wrapText="1"/>
    </xf>
    <xf numFmtId="4" fontId="31" fillId="16" borderId="2" xfId="40" applyNumberFormat="1" applyFont="1" applyFill="1" applyBorder="1" applyAlignment="1">
      <alignment horizontal="center" vertical="center"/>
    </xf>
    <xf numFmtId="4" fontId="31" fillId="16" borderId="4" xfId="40" applyNumberFormat="1" applyFont="1" applyFill="1" applyBorder="1" applyAlignment="1">
      <alignment horizontal="center" vertical="center"/>
    </xf>
    <xf numFmtId="0" fontId="0" fillId="0" borderId="11" xfId="0" applyFont="1" applyBorder="1" applyAlignment="1">
      <alignment horizontal="center" vertical="justify" wrapText="1"/>
    </xf>
    <xf numFmtId="0" fontId="0" fillId="0" borderId="11" xfId="0" applyBorder="1"/>
    <xf numFmtId="0" fontId="0" fillId="0" borderId="11" xfId="0" applyBorder="1" applyAlignment="1">
      <alignment horizontal="center"/>
    </xf>
    <xf numFmtId="0" fontId="0" fillId="0" borderId="11" xfId="0" applyBorder="1" applyAlignment="1">
      <alignment horizontal="center" vertical="justify" wrapText="1"/>
    </xf>
    <xf numFmtId="0" fontId="30" fillId="0" borderId="11" xfId="0" applyFont="1" applyBorder="1" applyAlignment="1">
      <alignment horizontal="center"/>
    </xf>
    <xf numFmtId="0" fontId="30" fillId="0" borderId="11" xfId="0" applyFont="1" applyBorder="1" applyAlignment="1">
      <alignment horizontal="center" vertical="justify" wrapText="1"/>
    </xf>
    <xf numFmtId="0" fontId="30" fillId="0" borderId="11" xfId="0" applyFont="1" applyBorder="1" applyAlignment="1">
      <alignment horizontal="justify" vertical="justify" wrapText="1"/>
    </xf>
    <xf numFmtId="0" fontId="30" fillId="0" borderId="11" xfId="0" applyFont="1" applyBorder="1"/>
    <xf numFmtId="194" fontId="31" fillId="16" borderId="3" xfId="39" applyNumberFormat="1" applyFont="1" applyFill="1" applyBorder="1" applyAlignment="1">
      <alignment horizontal="left"/>
    </xf>
    <xf numFmtId="194" fontId="31" fillId="16" borderId="0" xfId="25" applyNumberFormat="1" applyFont="1" applyFill="1" applyBorder="1" applyAlignment="1">
      <alignment horizontal="left"/>
    </xf>
    <xf numFmtId="194" fontId="6" fillId="0" borderId="2" xfId="0" applyNumberFormat="1" applyFont="1" applyFill="1" applyBorder="1" applyAlignment="1">
      <alignment horizontal="center" vertical="center"/>
    </xf>
    <xf numFmtId="194" fontId="6" fillId="16" borderId="11" xfId="22" applyNumberFormat="1" applyFont="1" applyFill="1" applyBorder="1" applyAlignment="1">
      <alignment horizontal="right"/>
    </xf>
    <xf numFmtId="194" fontId="0" fillId="0" borderId="11" xfId="0" applyNumberFormat="1" applyBorder="1"/>
    <xf numFmtId="194" fontId="0" fillId="0" borderId="0" xfId="0" applyNumberFormat="1" applyBorder="1"/>
    <xf numFmtId="194" fontId="0" fillId="0" borderId="0" xfId="0" applyNumberFormat="1"/>
    <xf numFmtId="0" fontId="6" fillId="16" borderId="11" xfId="0" applyFont="1" applyFill="1" applyBorder="1" applyAlignment="1">
      <alignment horizontal="justify" vertical="justify" wrapText="1"/>
    </xf>
    <xf numFmtId="0" fontId="6" fillId="16" borderId="0" xfId="0" applyFont="1" applyFill="1"/>
    <xf numFmtId="0" fontId="35" fillId="16" borderId="0" xfId="0" applyFont="1" applyFill="1" applyBorder="1"/>
    <xf numFmtId="194" fontId="35" fillId="16" borderId="0" xfId="0" applyNumberFormat="1" applyFont="1" applyFill="1"/>
    <xf numFmtId="194" fontId="0" fillId="0" borderId="3" xfId="0" applyNumberFormat="1" applyBorder="1"/>
    <xf numFmtId="194" fontId="0" fillId="0" borderId="8" xfId="0" applyNumberFormat="1" applyBorder="1"/>
    <xf numFmtId="194" fontId="0" fillId="0" borderId="9" xfId="0" applyNumberFormat="1" applyBorder="1"/>
    <xf numFmtId="194" fontId="0" fillId="0" borderId="6" xfId="0" applyNumberFormat="1" applyBorder="1"/>
    <xf numFmtId="194" fontId="0" fillId="0" borderId="10" xfId="0" applyNumberFormat="1" applyBorder="1"/>
    <xf numFmtId="194" fontId="4" fillId="16" borderId="2" xfId="0" applyNumberFormat="1" applyFont="1" applyFill="1" applyBorder="1" applyAlignment="1">
      <alignment horizontal="center" vertical="center"/>
    </xf>
    <xf numFmtId="194" fontId="4" fillId="16" borderId="11" xfId="0" applyNumberFormat="1" applyFont="1" applyFill="1" applyBorder="1" applyAlignment="1">
      <alignment horizontal="center" vertical="center"/>
    </xf>
    <xf numFmtId="194" fontId="6" fillId="16" borderId="11" xfId="0" applyNumberFormat="1" applyFont="1" applyFill="1" applyBorder="1" applyAlignment="1">
      <alignment horizontal="center"/>
    </xf>
    <xf numFmtId="194" fontId="5" fillId="16" borderId="11" xfId="0" applyNumberFormat="1" applyFont="1" applyFill="1" applyBorder="1" applyAlignment="1">
      <alignment horizontal="center"/>
    </xf>
    <xf numFmtId="194" fontId="35" fillId="16" borderId="11" xfId="0" applyNumberFormat="1" applyFont="1" applyFill="1" applyBorder="1"/>
    <xf numFmtId="194" fontId="33" fillId="16" borderId="0" xfId="0" applyNumberFormat="1" applyFont="1" applyFill="1"/>
    <xf numFmtId="0" fontId="6" fillId="17" borderId="11" xfId="0" applyFont="1" applyFill="1" applyBorder="1" applyAlignment="1">
      <alignment horizontal="center"/>
    </xf>
    <xf numFmtId="0" fontId="6" fillId="17" borderId="11" xfId="0" applyFont="1" applyFill="1" applyBorder="1" applyAlignment="1">
      <alignment horizontal="justify" vertical="justify" wrapText="1"/>
    </xf>
    <xf numFmtId="194" fontId="6" fillId="17" borderId="11" xfId="0" applyNumberFormat="1" applyFont="1" applyFill="1" applyBorder="1" applyAlignment="1">
      <alignment horizontal="center"/>
    </xf>
    <xf numFmtId="194" fontId="4" fillId="17" borderId="11" xfId="22" applyNumberFormat="1" applyFont="1" applyFill="1" applyBorder="1" applyAlignment="1">
      <alignment horizontal="right"/>
    </xf>
    <xf numFmtId="194" fontId="6" fillId="17" borderId="11" xfId="22" applyNumberFormat="1" applyFont="1" applyFill="1" applyBorder="1" applyAlignment="1">
      <alignment horizontal="right"/>
    </xf>
    <xf numFmtId="194" fontId="35" fillId="17" borderId="11" xfId="0" applyNumberFormat="1" applyFont="1" applyFill="1" applyBorder="1"/>
    <xf numFmtId="194" fontId="6" fillId="17" borderId="13" xfId="0" applyNumberFormat="1" applyFont="1" applyFill="1" applyBorder="1" applyAlignment="1">
      <alignment horizontal="center"/>
    </xf>
    <xf numFmtId="194" fontId="35" fillId="17" borderId="0" xfId="0" applyNumberFormat="1" applyFont="1" applyFill="1"/>
    <xf numFmtId="0" fontId="6" fillId="16" borderId="7" xfId="0" applyFont="1" applyFill="1" applyBorder="1" applyAlignment="1">
      <alignment horizontal="center"/>
    </xf>
    <xf numFmtId="0" fontId="6" fillId="16" borderId="7" xfId="0" applyFont="1" applyFill="1" applyBorder="1" applyAlignment="1">
      <alignment horizontal="justify" vertical="justify" wrapText="1"/>
    </xf>
    <xf numFmtId="194" fontId="6" fillId="16" borderId="7" xfId="0" applyNumberFormat="1" applyFont="1" applyFill="1" applyBorder="1" applyAlignment="1">
      <alignment horizontal="center"/>
    </xf>
    <xf numFmtId="2" fontId="6" fillId="16" borderId="11" xfId="0" applyNumberFormat="1" applyFont="1" applyFill="1" applyBorder="1" applyAlignment="1">
      <alignment horizontal="center"/>
    </xf>
    <xf numFmtId="2" fontId="6" fillId="17" borderId="11" xfId="0" applyNumberFormat="1" applyFont="1" applyFill="1" applyBorder="1" applyAlignment="1">
      <alignment horizontal="center"/>
    </xf>
    <xf numFmtId="2" fontId="6" fillId="16" borderId="7" xfId="0" applyNumberFormat="1" applyFont="1" applyFill="1" applyBorder="1" applyAlignment="1">
      <alignment horizontal="center"/>
    </xf>
    <xf numFmtId="4" fontId="8" fillId="0" borderId="11" xfId="22" applyNumberFormat="1" applyFont="1" applyBorder="1"/>
    <xf numFmtId="0" fontId="33" fillId="0" borderId="11" xfId="0" applyFont="1" applyBorder="1" applyAlignment="1">
      <alignment horizontal="center"/>
    </xf>
    <xf numFmtId="0" fontId="33" fillId="0" borderId="11" xfId="0" applyFont="1" applyBorder="1" applyAlignment="1">
      <alignment horizontal="center" vertical="justify" wrapText="1"/>
    </xf>
    <xf numFmtId="0" fontId="33" fillId="0" borderId="11" xfId="0" applyFont="1" applyBorder="1"/>
    <xf numFmtId="194" fontId="33" fillId="0" borderId="11" xfId="0" applyNumberFormat="1" applyFont="1" applyBorder="1"/>
    <xf numFmtId="0" fontId="33" fillId="0" borderId="0" xfId="0" applyFont="1" applyBorder="1"/>
    <xf numFmtId="0" fontId="33" fillId="0" borderId="0" xfId="0" applyFont="1"/>
    <xf numFmtId="194" fontId="0" fillId="0" borderId="11" xfId="0" applyNumberFormat="1" applyFont="1" applyBorder="1"/>
    <xf numFmtId="0" fontId="30" fillId="0" borderId="0" xfId="0" applyFont="1" applyAlignment="1">
      <alignment horizontal="center"/>
    </xf>
    <xf numFmtId="0" fontId="30" fillId="0" borderId="0" xfId="0" applyFont="1" applyAlignment="1">
      <alignment horizontal="center" vertical="justify" wrapText="1"/>
    </xf>
    <xf numFmtId="194" fontId="30" fillId="0" borderId="0" xfId="0" applyNumberFormat="1" applyFont="1" applyBorder="1"/>
    <xf numFmtId="10" fontId="8" fillId="17" borderId="11" xfId="46" applyNumberFormat="1" applyFont="1" applyFill="1" applyBorder="1" applyAlignment="1"/>
    <xf numFmtId="4" fontId="8" fillId="17" borderId="11" xfId="36" applyNumberFormat="1" applyFont="1" applyFill="1" applyBorder="1" applyAlignment="1"/>
    <xf numFmtId="0" fontId="5" fillId="16" borderId="11" xfId="0" applyFont="1" applyFill="1" applyBorder="1" applyAlignment="1">
      <alignment horizontal="center" vertical="justify" wrapText="1"/>
    </xf>
    <xf numFmtId="2" fontId="0" fillId="0" borderId="11" xfId="0" applyNumberFormat="1" applyBorder="1"/>
    <xf numFmtId="0" fontId="36" fillId="16" borderId="11" xfId="0" applyFont="1" applyFill="1" applyBorder="1" applyAlignment="1">
      <alignment horizontal="center"/>
    </xf>
    <xf numFmtId="0" fontId="36" fillId="16" borderId="11" xfId="0" applyFont="1" applyFill="1" applyBorder="1" applyAlignment="1">
      <alignment horizontal="center" vertical="justify" wrapText="1"/>
    </xf>
    <xf numFmtId="0" fontId="36" fillId="16" borderId="11" xfId="0" applyFont="1" applyFill="1" applyBorder="1"/>
    <xf numFmtId="194" fontId="36" fillId="16" borderId="11" xfId="0" applyNumberFormat="1" applyFont="1" applyFill="1" applyBorder="1"/>
    <xf numFmtId="0" fontId="36" fillId="16" borderId="0" xfId="0" applyFont="1" applyFill="1"/>
    <xf numFmtId="194" fontId="30" fillId="0" borderId="0" xfId="0" applyNumberFormat="1" applyFont="1"/>
    <xf numFmtId="0" fontId="33" fillId="0" borderId="0" xfId="0" applyFont="1" applyAlignment="1">
      <alignment horizontal="center"/>
    </xf>
    <xf numFmtId="0" fontId="33" fillId="0" borderId="0" xfId="0" applyFont="1" applyAlignment="1">
      <alignment horizontal="center" vertical="justify" wrapText="1"/>
    </xf>
    <xf numFmtId="194" fontId="33" fillId="0" borderId="0" xfId="0" applyNumberFormat="1" applyFont="1" applyBorder="1"/>
    <xf numFmtId="0" fontId="5" fillId="16" borderId="11" xfId="0" applyFont="1" applyFill="1" applyBorder="1" applyAlignment="1">
      <alignment horizontal="center" vertical="justify"/>
    </xf>
    <xf numFmtId="10" fontId="8" fillId="18" borderId="11" xfId="46" applyNumberFormat="1" applyFont="1" applyFill="1" applyBorder="1" applyAlignment="1"/>
    <xf numFmtId="4" fontId="8" fillId="18" borderId="11" xfId="36" applyNumberFormat="1" applyFont="1" applyFill="1" applyBorder="1" applyAlignment="1"/>
    <xf numFmtId="0" fontId="37" fillId="19" borderId="16" xfId="0" applyFont="1" applyFill="1" applyBorder="1" applyAlignment="1">
      <alignment horizontal="justify" vertical="center" wrapText="1"/>
    </xf>
    <xf numFmtId="0" fontId="38" fillId="0" borderId="17" xfId="0" applyFont="1" applyBorder="1" applyAlignment="1">
      <alignment horizontal="justify" vertical="center" wrapText="1"/>
    </xf>
    <xf numFmtId="0" fontId="39" fillId="0" borderId="17" xfId="0" applyFont="1" applyBorder="1" applyAlignment="1">
      <alignment horizontal="justify" vertical="center" wrapText="1"/>
    </xf>
    <xf numFmtId="0" fontId="31" fillId="16" borderId="15" xfId="0" applyFont="1" applyFill="1" applyBorder="1" applyAlignment="1">
      <alignment horizontal="center"/>
    </xf>
    <xf numFmtId="0" fontId="0" fillId="0" borderId="15" xfId="0" applyFont="1" applyBorder="1" applyAlignment="1">
      <alignment horizontal="center" vertical="justify" wrapText="1"/>
    </xf>
    <xf numFmtId="0" fontId="0" fillId="0" borderId="15" xfId="0" applyBorder="1" applyAlignment="1">
      <alignment horizontal="center" vertical="justify" wrapText="1"/>
    </xf>
    <xf numFmtId="0" fontId="30" fillId="0" borderId="15" xfId="0" applyFont="1" applyBorder="1" applyAlignment="1">
      <alignment horizontal="center" vertical="justify" wrapText="1"/>
    </xf>
    <xf numFmtId="0" fontId="33" fillId="0" borderId="15" xfId="0" applyFont="1" applyBorder="1" applyAlignment="1">
      <alignment horizontal="center" vertical="justify" wrapText="1"/>
    </xf>
    <xf numFmtId="0" fontId="31" fillId="16" borderId="18" xfId="0" applyFont="1" applyFill="1" applyBorder="1" applyAlignment="1">
      <alignment horizontal="center"/>
    </xf>
    <xf numFmtId="0" fontId="0" fillId="0" borderId="18" xfId="0" applyFont="1" applyBorder="1" applyAlignment="1">
      <alignment horizontal="center"/>
    </xf>
    <xf numFmtId="0" fontId="0" fillId="0" borderId="18" xfId="0" applyBorder="1" applyAlignment="1">
      <alignment horizontal="center"/>
    </xf>
    <xf numFmtId="0" fontId="30" fillId="0" borderId="18" xfId="0" applyFont="1" applyBorder="1" applyAlignment="1">
      <alignment horizontal="center"/>
    </xf>
    <xf numFmtId="0" fontId="33" fillId="0" borderId="18" xfId="0" applyFont="1" applyBorder="1" applyAlignment="1">
      <alignment horizontal="center"/>
    </xf>
    <xf numFmtId="0" fontId="30" fillId="0" borderId="13" xfId="0" applyFont="1" applyBorder="1" applyAlignment="1">
      <alignment horizontal="justify" vertical="justify" wrapText="1"/>
    </xf>
    <xf numFmtId="0" fontId="37" fillId="19" borderId="11" xfId="0" applyFont="1" applyFill="1" applyBorder="1" applyAlignment="1">
      <alignment horizontal="justify" vertical="center" wrapText="1"/>
    </xf>
    <xf numFmtId="0" fontId="38" fillId="0" borderId="11" xfId="0" applyFont="1" applyBorder="1" applyAlignment="1">
      <alignment horizontal="justify" vertical="center" wrapText="1"/>
    </xf>
    <xf numFmtId="0" fontId="39" fillId="0" borderId="11" xfId="0" applyFont="1" applyBorder="1" applyAlignment="1">
      <alignment horizontal="justify" vertical="center" wrapText="1"/>
    </xf>
    <xf numFmtId="0" fontId="0" fillId="0" borderId="11" xfId="0" applyBorder="1" applyAlignment="1">
      <alignment horizontal="justify" vertical="center" wrapText="1"/>
    </xf>
    <xf numFmtId="0" fontId="0" fillId="0" borderId="0" xfId="0" applyAlignment="1">
      <alignment horizontal="justify" vertical="center" wrapText="1"/>
    </xf>
    <xf numFmtId="0" fontId="38" fillId="0" borderId="0" xfId="0" applyFont="1" applyAlignment="1">
      <alignment horizontal="justify" vertical="center" wrapText="1"/>
    </xf>
    <xf numFmtId="0" fontId="0" fillId="0" borderId="0" xfId="0" applyAlignment="1">
      <alignment wrapText="1"/>
    </xf>
    <xf numFmtId="0" fontId="0" fillId="0" borderId="16" xfId="0" applyBorder="1" applyAlignment="1">
      <alignment horizontal="justify" vertical="center" wrapText="1"/>
    </xf>
    <xf numFmtId="0" fontId="38" fillId="0" borderId="16" xfId="0" applyFont="1" applyBorder="1" applyAlignment="1">
      <alignment horizontal="justify" vertical="center" wrapText="1"/>
    </xf>
    <xf numFmtId="0" fontId="39" fillId="0" borderId="16" xfId="0" applyFont="1" applyBorder="1" applyAlignment="1">
      <alignment horizontal="justify" vertical="center" wrapText="1"/>
    </xf>
    <xf numFmtId="0" fontId="39" fillId="0" borderId="0" xfId="0" applyFont="1" applyAlignment="1">
      <alignment horizontal="justify" vertical="center" wrapText="1"/>
    </xf>
    <xf numFmtId="0" fontId="40" fillId="19" borderId="16" xfId="0" applyFont="1" applyFill="1" applyBorder="1" applyAlignment="1">
      <alignment horizontal="justify" vertical="center" wrapText="1"/>
    </xf>
    <xf numFmtId="0" fontId="0" fillId="0" borderId="11" xfId="0" applyBorder="1" applyAlignment="1">
      <alignment wrapText="1"/>
    </xf>
    <xf numFmtId="49" fontId="31" fillId="16" borderId="15" xfId="39" applyNumberFormat="1" applyFont="1" applyFill="1" applyBorder="1" applyAlignment="1">
      <alignment horizontal="center" vertical="center" wrapText="1"/>
    </xf>
    <xf numFmtId="0" fontId="32" fillId="16" borderId="14" xfId="0" applyFont="1" applyFill="1" applyBorder="1" applyAlignment="1">
      <alignment horizontal="center" vertical="center" wrapText="1"/>
    </xf>
    <xf numFmtId="0" fontId="6" fillId="0" borderId="11"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7" xfId="0" applyFont="1" applyFill="1" applyBorder="1" applyAlignment="1">
      <alignment horizontal="center" vertical="justify" wrapText="1"/>
    </xf>
    <xf numFmtId="0" fontId="6" fillId="0" borderId="13" xfId="0" applyFont="1" applyFill="1" applyBorder="1" applyAlignment="1">
      <alignment horizontal="center" vertical="justify" wrapText="1"/>
    </xf>
    <xf numFmtId="0" fontId="6" fillId="0" borderId="11" xfId="0" applyFont="1" applyFill="1" applyBorder="1" applyAlignment="1">
      <alignment horizontal="center" vertical="justify" wrapText="1"/>
    </xf>
    <xf numFmtId="4" fontId="6" fillId="0" borderId="11" xfId="0" applyNumberFormat="1" applyFont="1" applyFill="1" applyBorder="1" applyAlignment="1">
      <alignment horizontal="center" vertical="center"/>
    </xf>
    <xf numFmtId="4" fontId="6" fillId="0" borderId="7" xfId="0" applyNumberFormat="1" applyFont="1" applyFill="1" applyBorder="1" applyAlignment="1">
      <alignment horizontal="center" vertical="center"/>
    </xf>
    <xf numFmtId="4" fontId="32" fillId="16" borderId="4" xfId="40" applyNumberFormat="1" applyFont="1" applyFill="1" applyBorder="1" applyAlignment="1">
      <alignment horizontal="left" vertical="center"/>
    </xf>
    <xf numFmtId="4" fontId="32" fillId="16" borderId="0" xfId="40" applyNumberFormat="1" applyFont="1" applyFill="1" applyBorder="1" applyAlignment="1">
      <alignment horizontal="left" vertical="center"/>
    </xf>
    <xf numFmtId="4" fontId="32" fillId="16" borderId="9" xfId="40" applyNumberFormat="1" applyFont="1" applyFill="1" applyBorder="1" applyAlignment="1">
      <alignment horizontal="left" vertical="center"/>
    </xf>
    <xf numFmtId="0" fontId="5" fillId="16" borderId="4" xfId="0" applyFont="1" applyFill="1" applyBorder="1" applyAlignment="1">
      <alignment horizontal="left" vertical="center" wrapText="1" readingOrder="1"/>
    </xf>
    <xf numFmtId="0" fontId="5" fillId="16" borderId="0" xfId="0" applyFont="1" applyFill="1" applyBorder="1" applyAlignment="1">
      <alignment horizontal="left" vertical="center" wrapText="1" readingOrder="1"/>
    </xf>
    <xf numFmtId="0" fontId="5" fillId="16" borderId="9" xfId="0" applyFont="1" applyFill="1" applyBorder="1" applyAlignment="1">
      <alignment horizontal="left" vertical="center" wrapText="1" readingOrder="1"/>
    </xf>
    <xf numFmtId="0" fontId="5" fillId="16" borderId="4" xfId="0" applyFont="1" applyFill="1" applyBorder="1" applyAlignment="1">
      <alignment horizontal="left" vertical="center" wrapText="1"/>
    </xf>
    <xf numFmtId="0" fontId="5" fillId="16" borderId="0" xfId="0" applyFont="1" applyFill="1" applyBorder="1" applyAlignment="1">
      <alignment horizontal="left" vertical="center" wrapText="1"/>
    </xf>
    <xf numFmtId="0" fontId="5" fillId="16" borderId="9" xfId="0" applyFont="1" applyFill="1" applyBorder="1" applyAlignment="1">
      <alignment horizontal="left" vertical="center" wrapText="1"/>
    </xf>
    <xf numFmtId="4" fontId="32" fillId="16" borderId="4" xfId="25" applyNumberFormat="1" applyFont="1" applyFill="1" applyBorder="1" applyAlignment="1">
      <alignment horizontal="left" vertical="center"/>
    </xf>
    <xf numFmtId="4" fontId="32" fillId="16" borderId="0" xfId="25" applyNumberFormat="1" applyFont="1" applyFill="1" applyBorder="1" applyAlignment="1">
      <alignment horizontal="left" vertical="center"/>
    </xf>
    <xf numFmtId="4" fontId="32" fillId="16" borderId="9" xfId="25" applyNumberFormat="1" applyFont="1" applyFill="1" applyBorder="1" applyAlignment="1">
      <alignment horizontal="left" vertical="center"/>
    </xf>
    <xf numFmtId="0" fontId="5" fillId="16" borderId="5" xfId="40" applyFont="1" applyFill="1" applyBorder="1" applyAlignment="1">
      <alignment horizontal="left"/>
    </xf>
    <xf numFmtId="0" fontId="5" fillId="16" borderId="6" xfId="40" applyFont="1" applyFill="1" applyBorder="1" applyAlignment="1">
      <alignment horizontal="left"/>
    </xf>
    <xf numFmtId="0" fontId="5" fillId="16" borderId="10" xfId="40" applyFont="1" applyFill="1" applyBorder="1" applyAlignment="1">
      <alignment horizontal="left"/>
    </xf>
    <xf numFmtId="49" fontId="4" fillId="16" borderId="15" xfId="39" applyNumberFormat="1" applyFont="1" applyFill="1" applyBorder="1" applyAlignment="1">
      <alignment horizontal="center" vertical="center" wrapText="1"/>
    </xf>
    <xf numFmtId="49" fontId="4" fillId="16" borderId="14" xfId="39" applyNumberFormat="1" applyFont="1" applyFill="1" applyBorder="1" applyAlignment="1">
      <alignment horizontal="center" vertical="center" wrapText="1"/>
    </xf>
    <xf numFmtId="49" fontId="4" fillId="16" borderId="6" xfId="39" applyNumberFormat="1" applyFont="1" applyFill="1" applyBorder="1" applyAlignment="1">
      <alignment horizontal="center" vertical="center" wrapText="1"/>
    </xf>
    <xf numFmtId="4" fontId="4" fillId="16" borderId="15" xfId="0" applyNumberFormat="1" applyFont="1" applyFill="1" applyBorder="1" applyAlignment="1">
      <alignment horizontal="center" vertical="center"/>
    </xf>
    <xf numFmtId="4" fontId="4" fillId="16" borderId="14" xfId="0" applyNumberFormat="1" applyFont="1" applyFill="1" applyBorder="1" applyAlignment="1">
      <alignment horizontal="center" vertical="center"/>
    </xf>
    <xf numFmtId="4" fontId="4" fillId="16" borderId="18" xfId="0" applyNumberFormat="1" applyFont="1" applyFill="1" applyBorder="1" applyAlignment="1">
      <alignment horizontal="center" vertical="center"/>
    </xf>
    <xf numFmtId="194" fontId="35" fillId="17" borderId="11" xfId="0" applyNumberFormat="1" applyFont="1" applyFill="1" applyBorder="1" applyAlignment="1">
      <alignment horizontal="center"/>
    </xf>
    <xf numFmtId="0" fontId="4" fillId="16" borderId="11" xfId="0" applyFont="1" applyFill="1" applyBorder="1" applyAlignment="1">
      <alignment horizontal="center" vertical="center"/>
    </xf>
    <xf numFmtId="0" fontId="4" fillId="16" borderId="7" xfId="0" applyFont="1" applyFill="1" applyBorder="1" applyAlignment="1">
      <alignment horizontal="center" vertical="center"/>
    </xf>
    <xf numFmtId="0" fontId="4" fillId="16" borderId="7" xfId="0" applyFont="1" applyFill="1" applyBorder="1" applyAlignment="1">
      <alignment horizontal="center" vertical="justify" wrapText="1"/>
    </xf>
    <xf numFmtId="0" fontId="4" fillId="16" borderId="13" xfId="0" applyFont="1" applyFill="1" applyBorder="1" applyAlignment="1">
      <alignment horizontal="center" vertical="justify" wrapText="1"/>
    </xf>
    <xf numFmtId="0" fontId="4" fillId="16" borderId="11" xfId="0" applyFont="1" applyFill="1" applyBorder="1" applyAlignment="1">
      <alignment horizontal="center" vertical="justify" wrapText="1"/>
    </xf>
    <xf numFmtId="4" fontId="4" fillId="16" borderId="11" xfId="0" applyNumberFormat="1" applyFont="1" applyFill="1" applyBorder="1" applyAlignment="1">
      <alignment horizontal="center" vertical="center"/>
    </xf>
    <xf numFmtId="4" fontId="4" fillId="16" borderId="7" xfId="0" applyNumberFormat="1" applyFont="1" applyFill="1" applyBorder="1" applyAlignment="1">
      <alignment horizontal="center" vertical="center"/>
    </xf>
    <xf numFmtId="44" fontId="9" fillId="0" borderId="2" xfId="25" applyNumberFormat="1" applyFont="1" applyBorder="1" applyAlignment="1">
      <alignment horizontal="center" vertical="center" wrapText="1" readingOrder="1"/>
    </xf>
    <xf numFmtId="44" fontId="9" fillId="0" borderId="3" xfId="25" applyNumberFormat="1" applyFont="1" applyBorder="1" applyAlignment="1">
      <alignment horizontal="center" vertical="center" wrapText="1" readingOrder="1"/>
    </xf>
    <xf numFmtId="44" fontId="9" fillId="0" borderId="4" xfId="25" applyNumberFormat="1" applyFont="1" applyBorder="1" applyAlignment="1">
      <alignment horizontal="center" vertical="center" wrapText="1" readingOrder="1"/>
    </xf>
    <xf numFmtId="44" fontId="9" fillId="0" borderId="0" xfId="25" applyNumberFormat="1" applyFont="1" applyBorder="1" applyAlignment="1">
      <alignment horizontal="center" vertical="center" wrapText="1" readingOrder="1"/>
    </xf>
    <xf numFmtId="4" fontId="8" fillId="0" borderId="4" xfId="25" applyNumberFormat="1" applyFont="1" applyFill="1" applyBorder="1" applyAlignment="1">
      <alignment horizontal="center" vertical="center" wrapText="1" readingOrder="1"/>
    </xf>
    <xf numFmtId="4" fontId="8" fillId="0" borderId="0" xfId="25" applyNumberFormat="1" applyFont="1" applyFill="1" applyBorder="1" applyAlignment="1">
      <alignment horizontal="center" vertical="center" wrapText="1" readingOrder="1"/>
    </xf>
    <xf numFmtId="0" fontId="8" fillId="0" borderId="4" xfId="40" applyFont="1" applyFill="1" applyBorder="1" applyAlignment="1">
      <alignment horizontal="center"/>
    </xf>
    <xf numFmtId="0" fontId="8" fillId="0" borderId="0" xfId="40" applyFont="1" applyFill="1" applyBorder="1" applyAlignment="1">
      <alignment horizontal="center"/>
    </xf>
    <xf numFmtId="39" fontId="9" fillId="0" borderId="15" xfId="36" applyNumberFormat="1" applyFont="1" applyBorder="1" applyAlignment="1">
      <alignment horizontal="center"/>
    </xf>
    <xf numFmtId="39" fontId="9" fillId="0" borderId="18" xfId="36" applyNumberFormat="1" applyFont="1" applyBorder="1" applyAlignment="1">
      <alignment horizontal="center"/>
    </xf>
    <xf numFmtId="4" fontId="8" fillId="0" borderId="4" xfId="25" applyNumberFormat="1" applyFont="1" applyFill="1" applyBorder="1" applyAlignment="1">
      <alignment horizontal="center" vertical="center" wrapText="1"/>
    </xf>
    <xf numFmtId="4" fontId="8" fillId="0" borderId="0" xfId="25" applyNumberFormat="1" applyFont="1" applyFill="1" applyBorder="1" applyAlignment="1">
      <alignment horizontal="center" vertical="center" wrapText="1"/>
    </xf>
    <xf numFmtId="0" fontId="9" fillId="0" borderId="15" xfId="36" applyFont="1" applyBorder="1" applyAlignment="1">
      <alignment horizontal="left" vertical="top"/>
    </xf>
    <xf numFmtId="0" fontId="9" fillId="0" borderId="18" xfId="36" applyFont="1" applyBorder="1" applyAlignment="1">
      <alignment horizontal="left" vertical="top"/>
    </xf>
    <xf numFmtId="4" fontId="8" fillId="0" borderId="5" xfId="40" applyNumberFormat="1" applyFont="1" applyFill="1" applyBorder="1" applyAlignment="1">
      <alignment horizontal="center" vertical="center" wrapText="1"/>
    </xf>
    <xf numFmtId="4" fontId="8" fillId="0" borderId="6" xfId="40" applyNumberFormat="1" applyFont="1" applyFill="1" applyBorder="1" applyAlignment="1">
      <alignment horizontal="center" vertical="center" wrapText="1"/>
    </xf>
    <xf numFmtId="0" fontId="10" fillId="0" borderId="7" xfId="36" applyFont="1" applyBorder="1" applyAlignment="1">
      <alignment horizontal="center" wrapText="1"/>
    </xf>
    <xf numFmtId="0" fontId="10" fillId="0" borderId="12" xfId="36" applyFont="1" applyBorder="1" applyAlignment="1">
      <alignment horizontal="center" wrapText="1"/>
    </xf>
    <xf numFmtId="0" fontId="10" fillId="0" borderId="13" xfId="36" applyFont="1" applyBorder="1" applyAlignment="1">
      <alignment horizontal="center" wrapText="1"/>
    </xf>
    <xf numFmtId="0" fontId="10" fillId="0" borderId="15" xfId="36" applyFont="1" applyBorder="1" applyAlignment="1">
      <alignment horizontal="center"/>
    </xf>
    <xf numFmtId="0" fontId="10" fillId="0" borderId="18" xfId="36" applyFont="1" applyBorder="1" applyAlignment="1">
      <alignment horizontal="center"/>
    </xf>
    <xf numFmtId="0" fontId="9" fillId="17" borderId="11" xfId="37" applyFont="1" applyFill="1" applyBorder="1" applyAlignment="1">
      <alignment horizontal="center" vertical="top"/>
    </xf>
    <xf numFmtId="1" fontId="9" fillId="0" borderId="15" xfId="36" applyNumberFormat="1" applyFont="1" applyBorder="1" applyAlignment="1">
      <alignment horizontal="left" vertical="top"/>
    </xf>
    <xf numFmtId="1" fontId="9" fillId="0" borderId="18" xfId="36" applyNumberFormat="1" applyFont="1" applyBorder="1" applyAlignment="1">
      <alignment horizontal="left" vertical="top"/>
    </xf>
    <xf numFmtId="4" fontId="9" fillId="0" borderId="15" xfId="38" applyNumberFormat="1" applyFont="1" applyBorder="1" applyAlignment="1">
      <alignment horizontal="center"/>
    </xf>
    <xf numFmtId="4" fontId="9" fillId="0" borderId="18" xfId="38" applyNumberFormat="1" applyFont="1" applyBorder="1" applyAlignment="1">
      <alignment horizontal="center"/>
    </xf>
    <xf numFmtId="10" fontId="9" fillId="0" borderId="15" xfId="46" applyNumberFormat="1" applyFont="1" applyBorder="1" applyAlignment="1">
      <alignment horizontal="center"/>
    </xf>
    <xf numFmtId="10" fontId="9" fillId="0" borderId="18" xfId="46" applyNumberFormat="1" applyFont="1" applyBorder="1" applyAlignment="1">
      <alignment horizontal="center"/>
    </xf>
    <xf numFmtId="10" fontId="9" fillId="0" borderId="15" xfId="36" applyNumberFormat="1" applyFont="1" applyBorder="1" applyAlignment="1">
      <alignment horizontal="center"/>
    </xf>
    <xf numFmtId="0" fontId="9" fillId="0" borderId="18" xfId="36" applyFont="1" applyBorder="1" applyAlignment="1">
      <alignment horizontal="center"/>
    </xf>
    <xf numFmtId="4" fontId="8" fillId="0" borderId="4" xfId="40" applyNumberFormat="1" applyFont="1" applyFill="1" applyBorder="1" applyAlignment="1">
      <alignment horizontal="center" vertical="center" wrapText="1"/>
    </xf>
    <xf numFmtId="4" fontId="8" fillId="0" borderId="0" xfId="40" applyNumberFormat="1" applyFont="1" applyFill="1" applyBorder="1" applyAlignment="1">
      <alignment horizontal="center" vertical="center" wrapText="1"/>
    </xf>
    <xf numFmtId="0" fontId="9" fillId="0" borderId="15" xfId="40" applyFont="1" applyFill="1" applyBorder="1" applyAlignment="1">
      <alignment horizontal="center" vertical="center" wrapText="1"/>
    </xf>
    <xf numFmtId="0" fontId="9" fillId="0" borderId="14" xfId="40" applyFont="1" applyFill="1" applyBorder="1" applyAlignment="1">
      <alignment horizontal="center" vertical="center" wrapText="1"/>
    </xf>
    <xf numFmtId="0" fontId="9" fillId="0" borderId="18" xfId="40" applyFont="1" applyFill="1" applyBorder="1" applyAlignment="1">
      <alignment horizontal="center" vertical="center" wrapText="1"/>
    </xf>
  </cellXfs>
  <cellStyles count="59">
    <cellStyle name="20% - Ênfase1 2" xfId="1"/>
    <cellStyle name="20% - Ênfase2 2" xfId="2"/>
    <cellStyle name="20% - Ênfase3 2" xfId="3"/>
    <cellStyle name="20% - Ênfase4 2" xfId="4"/>
    <cellStyle name="20% - Ênfase5 2" xfId="5"/>
    <cellStyle name="20% - Ênfase6 2" xfId="6"/>
    <cellStyle name="40% - Ênfase1 2" xfId="7"/>
    <cellStyle name="40% - Ênfase2 2" xfId="8"/>
    <cellStyle name="40% - Ênfase3 2" xfId="9"/>
    <cellStyle name="40% - Ênfase4 2" xfId="10"/>
    <cellStyle name="40% - Ênfase5 2" xfId="11"/>
    <cellStyle name="40% - Ênfase6 2" xfId="12"/>
    <cellStyle name="Data" xfId="13"/>
    <cellStyle name="Euro" xfId="14"/>
    <cellStyle name="Euro 2" xfId="15"/>
    <cellStyle name="Euro 2 2" xfId="16"/>
    <cellStyle name="Fixo" xfId="17"/>
    <cellStyle name="Moeda 2" xfId="18"/>
    <cellStyle name="Moeda 3" xfId="19"/>
    <cellStyle name="Normal" xfId="0" builtinId="0"/>
    <cellStyle name="Normal 10" xfId="20"/>
    <cellStyle name="Normal 11" xfId="21"/>
    <cellStyle name="Normal 2" xfId="22"/>
    <cellStyle name="Normal 2 2" xfId="23"/>
    <cellStyle name="Normal 2 2 2" xfId="24"/>
    <cellStyle name="Normal 2 3" xfId="25"/>
    <cellStyle name="Normal 3" xfId="26"/>
    <cellStyle name="Normal 3 2" xfId="27"/>
    <cellStyle name="Normal 4" xfId="28"/>
    <cellStyle name="Normal 5" xfId="29"/>
    <cellStyle name="Normal 6" xfId="30"/>
    <cellStyle name="Normal 7" xfId="31"/>
    <cellStyle name="Normal 8" xfId="32"/>
    <cellStyle name="Normal 8 2" xfId="33"/>
    <cellStyle name="Normal 9" xfId="34"/>
    <cellStyle name="Normal 9 2" xfId="35"/>
    <cellStyle name="Normal_CRONOGRAMA" xfId="36"/>
    <cellStyle name="Normal_CRUZEI~1" xfId="37"/>
    <cellStyle name="Normal_Orçamento nº057-2003- Esc. Munic. AMPARO revisão" xfId="38"/>
    <cellStyle name="Normal_P_Getulio Vargas" xfId="39"/>
    <cellStyle name="Normal_P_Getulio Vargas 2" xfId="40"/>
    <cellStyle name="Nota 2" xfId="41"/>
    <cellStyle name="Nota 3" xfId="42"/>
    <cellStyle name="Nota 4" xfId="43"/>
    <cellStyle name="Percentual" xfId="44"/>
    <cellStyle name="Ponto" xfId="45"/>
    <cellStyle name="Porcentagem 2" xfId="46"/>
    <cellStyle name="Porcentagem 3" xfId="47"/>
    <cellStyle name="Separador de milhares 15" xfId="48"/>
    <cellStyle name="Separador de milhares 2" xfId="49"/>
    <cellStyle name="TableStyleLight1" xfId="50"/>
    <cellStyle name="Título 1 1" xfId="51"/>
    <cellStyle name="Título 1 1 1" xfId="52"/>
    <cellStyle name="Título 1 1_PLAN   (2)" xfId="53"/>
    <cellStyle name="Titulo1" xfId="54"/>
    <cellStyle name="Titulo2" xfId="55"/>
    <cellStyle name="Vírgula 2" xfId="56"/>
    <cellStyle name="Vírgula 2 2" xfId="57"/>
    <cellStyle name="Vírgula 3" xfId="58"/>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calcChain" Target="calcChain.xml"/><Relationship Id="rId5" Type="http://schemas.openxmlformats.org/officeDocument/2006/relationships/externalLink" Target="externalLinks/externalLink1.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_rels/drawing2.xml.rels><?xml version="1.0" encoding="UTF-8" standalone="yes"?>
<Relationships xmlns="http://schemas.openxmlformats.org/package/2006/relationships"><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1" Type="http://schemas.openxmlformats.org/officeDocument/2006/relationships/image" Target="../media/image1.wmf"/></Relationships>
</file>

<file path=xl/drawings/_rels/drawing4.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xdr:from>
      <xdr:col>0</xdr:col>
      <xdr:colOff>123825</xdr:colOff>
      <xdr:row>0</xdr:row>
      <xdr:rowOff>142875</xdr:rowOff>
    </xdr:from>
    <xdr:to>
      <xdr:col>1</xdr:col>
      <xdr:colOff>1171575</xdr:colOff>
      <xdr:row>6</xdr:row>
      <xdr:rowOff>200025</xdr:rowOff>
    </xdr:to>
    <xdr:pic>
      <xdr:nvPicPr>
        <xdr:cNvPr id="9604"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123825" y="142875"/>
          <a:ext cx="1657350" cy="1257300"/>
        </a:xfrm>
        <a:prstGeom prst="rect">
          <a:avLst/>
        </a:prstGeom>
        <a:noFill/>
        <a:ln w="9525">
          <a:noFill/>
          <a:round/>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123825</xdr:colOff>
      <xdr:row>0</xdr:row>
      <xdr:rowOff>142875</xdr:rowOff>
    </xdr:from>
    <xdr:to>
      <xdr:col>1</xdr:col>
      <xdr:colOff>1171575</xdr:colOff>
      <xdr:row>6</xdr:row>
      <xdr:rowOff>200025</xdr:rowOff>
    </xdr:to>
    <xdr:pic>
      <xdr:nvPicPr>
        <xdr:cNvPr id="29767"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123825" y="142875"/>
          <a:ext cx="1657350" cy="1257300"/>
        </a:xfrm>
        <a:prstGeom prst="rect">
          <a:avLst/>
        </a:prstGeom>
        <a:noFill/>
        <a:ln w="9525">
          <a:noFill/>
          <a:round/>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123825</xdr:colOff>
      <xdr:row>0</xdr:row>
      <xdr:rowOff>142875</xdr:rowOff>
    </xdr:from>
    <xdr:to>
      <xdr:col>1</xdr:col>
      <xdr:colOff>1171575</xdr:colOff>
      <xdr:row>6</xdr:row>
      <xdr:rowOff>200025</xdr:rowOff>
    </xdr:to>
    <xdr:pic>
      <xdr:nvPicPr>
        <xdr:cNvPr id="12712"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123825" y="142875"/>
          <a:ext cx="1657350" cy="1257300"/>
        </a:xfrm>
        <a:prstGeom prst="rect">
          <a:avLst/>
        </a:prstGeom>
        <a:noFill/>
        <a:ln w="9525">
          <a:noFill/>
          <a:round/>
          <a:headEnd/>
          <a:tailEnd/>
        </a:ln>
      </xdr:spPr>
    </xdr:pic>
    <xdr:clientData/>
  </xdr:twoCellAnchor>
  <xdr:twoCellAnchor>
    <xdr:from>
      <xdr:col>0</xdr:col>
      <xdr:colOff>123825</xdr:colOff>
      <xdr:row>0</xdr:row>
      <xdr:rowOff>142875</xdr:rowOff>
    </xdr:from>
    <xdr:to>
      <xdr:col>1</xdr:col>
      <xdr:colOff>1171575</xdr:colOff>
      <xdr:row>6</xdr:row>
      <xdr:rowOff>200025</xdr:rowOff>
    </xdr:to>
    <xdr:pic>
      <xdr:nvPicPr>
        <xdr:cNvPr id="12713"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123825" y="142875"/>
          <a:ext cx="1657350" cy="1257300"/>
        </a:xfrm>
        <a:prstGeom prst="rect">
          <a:avLst/>
        </a:prstGeom>
        <a:noFill/>
        <a:ln w="9525">
          <a:noFill/>
          <a:round/>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8</xdr:col>
      <xdr:colOff>38100</xdr:colOff>
      <xdr:row>2</xdr:row>
      <xdr:rowOff>171450</xdr:rowOff>
    </xdr:from>
    <xdr:to>
      <xdr:col>8</xdr:col>
      <xdr:colOff>2114550</xdr:colOff>
      <xdr:row>7</xdr:row>
      <xdr:rowOff>238125</xdr:rowOff>
    </xdr:to>
    <xdr:pic>
      <xdr:nvPicPr>
        <xdr:cNvPr id="4714"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16735425" y="1181100"/>
          <a:ext cx="2076450" cy="2590800"/>
        </a:xfrm>
        <a:prstGeom prst="rect">
          <a:avLst/>
        </a:prstGeom>
        <a:noFill/>
        <a:ln w="9525">
          <a:noFill/>
          <a:round/>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lfredo.cunha\Documents\Meus%20Documentos\ALFREDO\QUADRA%20PARQUE%20INDEPEND&#202;NCIA\Or&#231;amento%20n&#186;0xx-2014_%20Constru&#231;&#227;o%20de%20Quadra%20Poliesportiva%20Coberta%20Parque%20Independ&#234;ncia.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alfredo.cunha\Documents\Meus%20Documentos\PLANEJAMENTO%20PMBM%202019\ATUALIZA&#199;&#195;O%202019%20-%20REVIS&#195;O%20QUADRA%20AYMOR&#201;\Rev130219-Or&#231;amento%20%20n&#186;015-18_Execu&#231;&#227;o%20de%20Quadra%20esportiva_%20Aymor&#233;%20-%20CEF.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lelia.nogueira\Downloads\Revis&#227;o%20JAN-18_Or&#231;amento%20ATI%20Vila%20Br&#237;gida%20xlsx.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MEMÓRIA"/>
      <sheetName val="EMOP"/>
      <sheetName val="SUSESP"/>
      <sheetName val="SUSESP SP"/>
      <sheetName val="Cronograma "/>
      <sheetName val="Cronograma  sp"/>
    </sheetNames>
    <sheetDataSet>
      <sheetData sheetId="0" refreshError="1"/>
      <sheetData sheetId="1" refreshError="1"/>
      <sheetData sheetId="2"/>
      <sheetData sheetId="3" refreshError="1"/>
      <sheetData sheetId="4"/>
      <sheetData sheetId="5"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OTAÇÕES DE MERCADO"/>
      <sheetName val="MEMORIA  Quant"/>
      <sheetName val="COMPOS. ANALÍTICA"/>
      <sheetName val="SINAPI"/>
      <sheetName val="CRONOG"/>
      <sheetName val="BDI"/>
      <sheetName val="EVENTOGRAMA - R$"/>
      <sheetName val="EVENTOGRAMA - METAS"/>
    </sheetNames>
    <sheetDataSet>
      <sheetData sheetId="0"/>
      <sheetData sheetId="1"/>
      <sheetData sheetId="2"/>
      <sheetData sheetId="3"/>
      <sheetData sheetId="4"/>
      <sheetData sheetId="5"/>
      <sheetData sheetId="6"/>
      <sheetData sheetId="7"/>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BDI - Construção de Edifícios"/>
      <sheetName val="MEMORIA  Quant"/>
      <sheetName val="Compos. Analítica"/>
      <sheetName val="SINAPI"/>
      <sheetName val="Cronograma"/>
    </sheetNames>
    <sheetDataSet>
      <sheetData sheetId="0"/>
      <sheetData sheetId="1"/>
      <sheetData sheetId="2"/>
      <sheetData sheetId="3"/>
      <sheetData sheetId="4"/>
    </sheetDataSet>
  </externalBook>
</externalLink>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CS418"/>
  <sheetViews>
    <sheetView view="pageBreakPreview" topLeftCell="A249" zoomScale="80" zoomScaleNormal="100" zoomScaleSheetLayoutView="80" workbookViewId="0">
      <selection activeCell="B261" sqref="B261"/>
    </sheetView>
  </sheetViews>
  <sheetFormatPr defaultRowHeight="15"/>
  <cols>
    <col min="1" max="1" width="9.140625" style="46" customWidth="1"/>
    <col min="2" max="2" width="23.7109375" style="46" customWidth="1"/>
    <col min="3" max="3" width="104" style="1" customWidth="1"/>
    <col min="4" max="4" width="11.140625" style="46" customWidth="1"/>
    <col min="5" max="5" width="11.7109375" customWidth="1"/>
    <col min="6" max="6" width="17.5703125" bestFit="1" customWidth="1"/>
    <col min="7" max="7" width="21.42578125" style="105" bestFit="1" customWidth="1"/>
    <col min="8" max="97" width="9.140625" style="69" customWidth="1"/>
  </cols>
  <sheetData>
    <row r="1" spans="1:97" ht="15.75">
      <c r="A1" s="2"/>
      <c r="B1" s="85"/>
      <c r="C1" s="4" t="s">
        <v>8</v>
      </c>
      <c r="D1" s="89"/>
      <c r="E1" s="6"/>
      <c r="F1" s="7"/>
      <c r="G1" s="99"/>
    </row>
    <row r="2" spans="1:97" ht="15.75">
      <c r="A2" s="8"/>
      <c r="B2" s="86"/>
      <c r="C2" s="10" t="s">
        <v>9</v>
      </c>
      <c r="D2" s="90"/>
      <c r="E2" s="12"/>
      <c r="F2" s="13"/>
      <c r="G2" s="100"/>
    </row>
    <row r="3" spans="1:97" ht="15.75">
      <c r="A3" s="8"/>
      <c r="B3" s="86"/>
      <c r="C3" s="10" t="s">
        <v>10</v>
      </c>
      <c r="D3" s="198" t="s">
        <v>45</v>
      </c>
      <c r="E3" s="199"/>
      <c r="F3" s="199"/>
      <c r="G3" s="200"/>
    </row>
    <row r="4" spans="1:97" ht="15.75">
      <c r="A4" s="8"/>
      <c r="B4" s="86"/>
      <c r="C4" s="14" t="s">
        <v>43</v>
      </c>
      <c r="D4" s="201" t="s">
        <v>38</v>
      </c>
      <c r="E4" s="202"/>
      <c r="F4" s="202"/>
      <c r="G4" s="203"/>
    </row>
    <row r="5" spans="1:97" ht="15.75">
      <c r="A5" s="8"/>
      <c r="B5" s="86"/>
      <c r="C5" s="43" t="s">
        <v>44</v>
      </c>
      <c r="D5" s="204" t="s">
        <v>47</v>
      </c>
      <c r="E5" s="205"/>
      <c r="F5" s="205"/>
      <c r="G5" s="206"/>
    </row>
    <row r="6" spans="1:97" ht="15.75">
      <c r="A6" s="8"/>
      <c r="B6" s="86"/>
      <c r="C6" s="15" t="s">
        <v>41</v>
      </c>
      <c r="D6" s="207" t="s">
        <v>46</v>
      </c>
      <c r="E6" s="208"/>
      <c r="F6" s="208"/>
      <c r="G6" s="209"/>
    </row>
    <row r="7" spans="1:97" ht="15.75">
      <c r="A7" s="8"/>
      <c r="B7" s="86"/>
      <c r="C7" s="44"/>
      <c r="D7" s="207" t="s">
        <v>18</v>
      </c>
      <c r="E7" s="208"/>
      <c r="F7" s="208"/>
      <c r="G7" s="209"/>
    </row>
    <row r="8" spans="1:97" ht="15.75">
      <c r="A8" s="16"/>
      <c r="B8" s="17"/>
      <c r="C8" s="18"/>
      <c r="D8" s="210" t="s">
        <v>35</v>
      </c>
      <c r="E8" s="211"/>
      <c r="F8" s="211"/>
      <c r="G8" s="212"/>
    </row>
    <row r="9" spans="1:97">
      <c r="A9" s="189" t="s">
        <v>11</v>
      </c>
      <c r="B9" s="190"/>
      <c r="C9" s="190"/>
      <c r="D9" s="190"/>
      <c r="E9" s="190"/>
      <c r="F9" s="190"/>
      <c r="G9" s="190"/>
    </row>
    <row r="10" spans="1:97" ht="15.75">
      <c r="A10" s="191" t="s">
        <v>12</v>
      </c>
      <c r="B10" s="193" t="s">
        <v>13</v>
      </c>
      <c r="C10" s="195" t="s">
        <v>14</v>
      </c>
      <c r="D10" s="191" t="s">
        <v>6</v>
      </c>
      <c r="E10" s="196" t="s">
        <v>15</v>
      </c>
      <c r="F10" s="196" t="s">
        <v>16</v>
      </c>
      <c r="G10" s="196"/>
    </row>
    <row r="11" spans="1:97" ht="16.5" thickBot="1">
      <c r="A11" s="192"/>
      <c r="B11" s="194"/>
      <c r="C11" s="193"/>
      <c r="D11" s="192"/>
      <c r="E11" s="197"/>
      <c r="F11" s="19" t="s">
        <v>17</v>
      </c>
      <c r="G11" s="101" t="s">
        <v>4</v>
      </c>
    </row>
    <row r="12" spans="1:97" s="41" customFormat="1" ht="16.5" thickBot="1">
      <c r="A12" s="57" t="s">
        <v>5</v>
      </c>
      <c r="B12" s="57"/>
      <c r="C12" s="162" t="s">
        <v>332</v>
      </c>
      <c r="D12" s="57"/>
      <c r="E12" s="58"/>
      <c r="F12" s="58"/>
      <c r="G12" s="102"/>
      <c r="H12" s="70"/>
      <c r="I12" s="70"/>
      <c r="J12" s="70"/>
      <c r="K12" s="70"/>
      <c r="L12" s="70"/>
      <c r="M12" s="70"/>
      <c r="N12" s="70"/>
      <c r="O12" s="70"/>
      <c r="P12" s="70"/>
      <c r="Q12" s="70"/>
      <c r="R12" s="70"/>
      <c r="S12" s="70"/>
      <c r="T12" s="70"/>
      <c r="U12" s="70"/>
      <c r="V12" s="70"/>
      <c r="W12" s="70"/>
      <c r="X12" s="70"/>
      <c r="Y12" s="70"/>
      <c r="Z12" s="70"/>
      <c r="AA12" s="70"/>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c r="BQ12" s="70"/>
      <c r="BR12" s="70"/>
      <c r="BS12" s="70"/>
      <c r="BT12" s="70"/>
      <c r="BU12" s="70"/>
      <c r="BV12" s="70"/>
      <c r="BW12" s="70"/>
      <c r="BX12" s="70"/>
      <c r="BY12" s="70"/>
      <c r="BZ12" s="70"/>
      <c r="CA12" s="70"/>
      <c r="CB12" s="70"/>
      <c r="CC12" s="70"/>
      <c r="CD12" s="70"/>
      <c r="CE12" s="70"/>
      <c r="CF12" s="70"/>
      <c r="CG12" s="70"/>
      <c r="CH12" s="70"/>
      <c r="CI12" s="70"/>
      <c r="CJ12" s="70"/>
      <c r="CK12" s="70"/>
      <c r="CL12" s="70"/>
      <c r="CM12" s="70"/>
      <c r="CN12" s="70"/>
      <c r="CO12" s="70"/>
      <c r="CP12" s="70"/>
      <c r="CQ12" s="70"/>
      <c r="CR12" s="70"/>
      <c r="CS12" s="70"/>
    </row>
    <row r="13" spans="1:97" ht="30.75" thickBot="1">
      <c r="A13" s="80" t="s">
        <v>50</v>
      </c>
      <c r="B13" s="91" t="s">
        <v>98</v>
      </c>
      <c r="C13" s="163" t="s">
        <v>333</v>
      </c>
      <c r="D13" s="80" t="s">
        <v>51</v>
      </c>
      <c r="E13" s="81">
        <v>6</v>
      </c>
      <c r="F13" s="81">
        <f>TRUNC(F14,2)</f>
        <v>383.21</v>
      </c>
      <c r="G13" s="103">
        <f t="shared" ref="G13:G22" si="0">TRUNC(E13*F13,2)</f>
        <v>2299.2600000000002</v>
      </c>
      <c r="CS13"/>
    </row>
    <row r="14" spans="1:97" ht="30">
      <c r="A14" s="78"/>
      <c r="B14" s="87" t="s">
        <v>98</v>
      </c>
      <c r="C14" s="181" t="s">
        <v>333</v>
      </c>
      <c r="D14" s="78" t="s">
        <v>51</v>
      </c>
      <c r="E14" s="79">
        <v>1</v>
      </c>
      <c r="F14" s="79">
        <f>G23</f>
        <v>383.21</v>
      </c>
      <c r="G14" s="104">
        <f t="shared" si="0"/>
        <v>383.21</v>
      </c>
      <c r="CS14"/>
    </row>
    <row r="15" spans="1:97">
      <c r="A15" s="78"/>
      <c r="B15" s="87" t="s">
        <v>120</v>
      </c>
      <c r="C15" s="181" t="s">
        <v>379</v>
      </c>
      <c r="D15" s="78" t="s">
        <v>2</v>
      </c>
      <c r="E15" s="79">
        <v>0.3</v>
      </c>
      <c r="F15" s="79">
        <f>TRUNC(13.39,2)</f>
        <v>13.39</v>
      </c>
      <c r="G15" s="104">
        <f t="shared" si="0"/>
        <v>4.01</v>
      </c>
      <c r="CS15"/>
    </row>
    <row r="16" spans="1:97">
      <c r="A16" s="78"/>
      <c r="B16" s="87" t="s">
        <v>121</v>
      </c>
      <c r="C16" s="181" t="s">
        <v>380</v>
      </c>
      <c r="D16" s="78" t="s">
        <v>1</v>
      </c>
      <c r="E16" s="79">
        <v>9.1999999999999993</v>
      </c>
      <c r="F16" s="79">
        <f>TRUNC(3.45,2)</f>
        <v>3.45</v>
      </c>
      <c r="G16" s="104">
        <f t="shared" si="0"/>
        <v>31.74</v>
      </c>
      <c r="CS16"/>
    </row>
    <row r="17" spans="1:97">
      <c r="A17" s="78"/>
      <c r="B17" s="87" t="s">
        <v>122</v>
      </c>
      <c r="C17" s="181" t="s">
        <v>381</v>
      </c>
      <c r="D17" s="78" t="s">
        <v>123</v>
      </c>
      <c r="E17" s="79">
        <v>0.2</v>
      </c>
      <c r="F17" s="79">
        <f>TRUNC(54.27,2)</f>
        <v>54.27</v>
      </c>
      <c r="G17" s="104">
        <f t="shared" si="0"/>
        <v>10.85</v>
      </c>
      <c r="CS17"/>
    </row>
    <row r="18" spans="1:97" ht="30">
      <c r="A18" s="78"/>
      <c r="B18" s="87" t="s">
        <v>124</v>
      </c>
      <c r="C18" s="181" t="s">
        <v>382</v>
      </c>
      <c r="D18" s="78" t="s">
        <v>2</v>
      </c>
      <c r="E18" s="79">
        <v>5</v>
      </c>
      <c r="F18" s="79">
        <f>TRUNC(9.1288,2)</f>
        <v>9.1199999999999992</v>
      </c>
      <c r="G18" s="104">
        <f t="shared" si="0"/>
        <v>45.6</v>
      </c>
      <c r="CS18"/>
    </row>
    <row r="19" spans="1:97">
      <c r="A19" s="78"/>
      <c r="B19" s="87" t="s">
        <v>39</v>
      </c>
      <c r="C19" s="181" t="s">
        <v>383</v>
      </c>
      <c r="D19" s="78" t="s">
        <v>3</v>
      </c>
      <c r="E19" s="79">
        <v>2.06</v>
      </c>
      <c r="F19" s="79">
        <f>TRUNC(16.55,2)</f>
        <v>16.55</v>
      </c>
      <c r="G19" s="104">
        <f t="shared" si="0"/>
        <v>34.090000000000003</v>
      </c>
      <c r="CS19"/>
    </row>
    <row r="20" spans="1:97">
      <c r="A20" s="78"/>
      <c r="B20" s="87" t="s">
        <v>125</v>
      </c>
      <c r="C20" s="181" t="s">
        <v>384</v>
      </c>
      <c r="D20" s="78" t="s">
        <v>3</v>
      </c>
      <c r="E20" s="79">
        <v>2.06</v>
      </c>
      <c r="F20" s="79">
        <f>TRUNC(24.61,2)</f>
        <v>24.61</v>
      </c>
      <c r="G20" s="104">
        <f t="shared" si="0"/>
        <v>50.69</v>
      </c>
      <c r="CS20"/>
    </row>
    <row r="21" spans="1:97">
      <c r="A21" s="78"/>
      <c r="B21" s="87" t="s">
        <v>126</v>
      </c>
      <c r="C21" s="181" t="s">
        <v>385</v>
      </c>
      <c r="D21" s="78" t="s">
        <v>3</v>
      </c>
      <c r="E21" s="79">
        <v>4.12</v>
      </c>
      <c r="F21" s="79">
        <f>TRUNC(22.86,2)</f>
        <v>22.86</v>
      </c>
      <c r="G21" s="104">
        <f t="shared" si="0"/>
        <v>94.18</v>
      </c>
      <c r="CS21"/>
    </row>
    <row r="22" spans="1:97">
      <c r="A22" s="78"/>
      <c r="B22" s="87" t="s">
        <v>127</v>
      </c>
      <c r="C22" s="181" t="s">
        <v>386</v>
      </c>
      <c r="D22" s="78" t="s">
        <v>3</v>
      </c>
      <c r="E22" s="79">
        <v>1</v>
      </c>
      <c r="F22" s="79">
        <f>TRUNC(112.0544,2)</f>
        <v>112.05</v>
      </c>
      <c r="G22" s="104">
        <f t="shared" si="0"/>
        <v>112.05</v>
      </c>
      <c r="CS22"/>
    </row>
    <row r="23" spans="1:97">
      <c r="A23" s="78"/>
      <c r="B23" s="87"/>
      <c r="C23" s="182"/>
      <c r="D23" s="78"/>
      <c r="E23" s="79" t="s">
        <v>4</v>
      </c>
      <c r="F23" s="79"/>
      <c r="G23" s="104">
        <f>TRUNC(SUM(G15:G22),2)</f>
        <v>383.21</v>
      </c>
      <c r="CS23"/>
    </row>
    <row r="24" spans="1:97" ht="15.75" thickBot="1">
      <c r="A24" s="78"/>
      <c r="B24" s="87"/>
      <c r="C24" s="182"/>
      <c r="D24" s="78"/>
      <c r="E24" s="79"/>
      <c r="F24" s="79"/>
      <c r="G24" s="104"/>
      <c r="CS24"/>
    </row>
    <row r="25" spans="1:97" ht="15.75" thickBot="1">
      <c r="A25" s="80" t="s">
        <v>52</v>
      </c>
      <c r="B25" s="91" t="s">
        <v>275</v>
      </c>
      <c r="C25" s="184" t="s">
        <v>334</v>
      </c>
      <c r="D25" s="80" t="s">
        <v>51</v>
      </c>
      <c r="E25" s="81">
        <v>421</v>
      </c>
      <c r="F25" s="81">
        <f>TRUNC(F26,2)</f>
        <v>1.3</v>
      </c>
      <c r="G25" s="103">
        <f>TRUNC(E25*F25,2)</f>
        <v>547.29999999999995</v>
      </c>
      <c r="CS25"/>
    </row>
    <row r="26" spans="1:97">
      <c r="A26" s="78"/>
      <c r="B26" s="87" t="s">
        <v>99</v>
      </c>
      <c r="C26" s="181" t="s">
        <v>387</v>
      </c>
      <c r="D26" s="78" t="s">
        <v>51</v>
      </c>
      <c r="E26" s="79">
        <v>1</v>
      </c>
      <c r="F26" s="79">
        <f>G28</f>
        <v>1.3</v>
      </c>
      <c r="G26" s="104">
        <f>TRUNC(E26*F26,2)</f>
        <v>1.3</v>
      </c>
      <c r="CS26"/>
    </row>
    <row r="27" spans="1:97">
      <c r="A27" s="78"/>
      <c r="B27" s="87" t="s">
        <v>128</v>
      </c>
      <c r="C27" s="181" t="s">
        <v>388</v>
      </c>
      <c r="D27" s="78" t="s">
        <v>3</v>
      </c>
      <c r="E27" s="79">
        <v>0.1</v>
      </c>
      <c r="F27" s="79">
        <f>TRUNC(13.06,2)</f>
        <v>13.06</v>
      </c>
      <c r="G27" s="104">
        <f>TRUNC(E27*F27,2)</f>
        <v>1.3</v>
      </c>
      <c r="CS27"/>
    </row>
    <row r="28" spans="1:97">
      <c r="A28" s="78"/>
      <c r="B28" s="87"/>
      <c r="C28" s="182"/>
      <c r="D28" s="78"/>
      <c r="E28" s="79" t="s">
        <v>4</v>
      </c>
      <c r="F28" s="79"/>
      <c r="G28" s="104">
        <f>TRUNC(SUM(G27:G27),2)</f>
        <v>1.3</v>
      </c>
      <c r="CS28"/>
    </row>
    <row r="29" spans="1:97" ht="15.75" thickBot="1">
      <c r="A29" s="78"/>
      <c r="B29" s="87"/>
      <c r="C29" s="182"/>
      <c r="D29" s="78"/>
      <c r="E29" s="79"/>
      <c r="F29" s="79"/>
      <c r="G29" s="104"/>
      <c r="CS29"/>
    </row>
    <row r="30" spans="1:97" ht="15.75" thickBot="1">
      <c r="A30" s="80" t="s">
        <v>53</v>
      </c>
      <c r="B30" s="91" t="s">
        <v>222</v>
      </c>
      <c r="C30" s="184" t="s">
        <v>335</v>
      </c>
      <c r="D30" s="80" t="s">
        <v>51</v>
      </c>
      <c r="E30" s="81">
        <v>343</v>
      </c>
      <c r="F30" s="81">
        <f>TRUNC(F31,2)</f>
        <v>3.31</v>
      </c>
      <c r="G30" s="103">
        <f>TRUNC(E30*F30,2)</f>
        <v>1135.33</v>
      </c>
      <c r="CS30"/>
    </row>
    <row r="31" spans="1:97">
      <c r="A31" s="78"/>
      <c r="B31" s="87" t="s">
        <v>100</v>
      </c>
      <c r="C31" s="181" t="s">
        <v>389</v>
      </c>
      <c r="D31" s="78" t="s">
        <v>51</v>
      </c>
      <c r="E31" s="79">
        <v>1</v>
      </c>
      <c r="F31" s="79">
        <f>G33</f>
        <v>3.31</v>
      </c>
      <c r="G31" s="104">
        <f>TRUNC(E31*F31,2)</f>
        <v>3.31</v>
      </c>
      <c r="CS31"/>
    </row>
    <row r="32" spans="1:97">
      <c r="A32" s="78"/>
      <c r="B32" s="87" t="s">
        <v>39</v>
      </c>
      <c r="C32" s="181" t="s">
        <v>383</v>
      </c>
      <c r="D32" s="78" t="s">
        <v>3</v>
      </c>
      <c r="E32" s="79">
        <v>0.2</v>
      </c>
      <c r="F32" s="79">
        <f>TRUNC(16.55,2)</f>
        <v>16.55</v>
      </c>
      <c r="G32" s="104">
        <f>TRUNC(E32*F32,2)</f>
        <v>3.31</v>
      </c>
      <c r="CS32"/>
    </row>
    <row r="33" spans="1:97">
      <c r="A33" s="78"/>
      <c r="B33" s="87"/>
      <c r="C33" s="182"/>
      <c r="D33" s="78"/>
      <c r="E33" s="79" t="s">
        <v>4</v>
      </c>
      <c r="F33" s="79"/>
      <c r="G33" s="104">
        <f>TRUNC(SUM(G32:G32),2)</f>
        <v>3.31</v>
      </c>
      <c r="CS33"/>
    </row>
    <row r="34" spans="1:97" ht="15.75" thickBot="1">
      <c r="A34" s="78"/>
      <c r="B34" s="87"/>
      <c r="C34" s="182"/>
      <c r="D34" s="78"/>
      <c r="E34" s="79"/>
      <c r="F34" s="79"/>
      <c r="G34" s="104"/>
      <c r="CS34"/>
    </row>
    <row r="35" spans="1:97" ht="30.75" thickBot="1">
      <c r="A35" s="93" t="s">
        <v>54</v>
      </c>
      <c r="B35" s="94" t="s">
        <v>101</v>
      </c>
      <c r="C35" s="184" t="s">
        <v>390</v>
      </c>
      <c r="D35" s="93" t="s">
        <v>1</v>
      </c>
      <c r="E35" s="92">
        <v>25.7</v>
      </c>
      <c r="F35" s="81">
        <f>TRUNC(F36,2)</f>
        <v>5.88</v>
      </c>
      <c r="G35" s="103">
        <f>TRUNC(E35*F35,2)</f>
        <v>151.11000000000001</v>
      </c>
      <c r="CS35"/>
    </row>
    <row r="36" spans="1:97" ht="30">
      <c r="B36" s="88" t="s">
        <v>101</v>
      </c>
      <c r="C36" s="181" t="s">
        <v>336</v>
      </c>
      <c r="D36" s="46" t="s">
        <v>1</v>
      </c>
      <c r="E36">
        <v>1</v>
      </c>
      <c r="F36">
        <f>G38</f>
        <v>5.88</v>
      </c>
      <c r="G36" s="104">
        <f>TRUNC(E36*F36,2)</f>
        <v>5.88</v>
      </c>
      <c r="CS36"/>
    </row>
    <row r="37" spans="1:97">
      <c r="B37" s="88" t="s">
        <v>129</v>
      </c>
      <c r="C37" s="181" t="s">
        <v>391</v>
      </c>
      <c r="D37" s="46" t="s">
        <v>3</v>
      </c>
      <c r="E37">
        <v>0.25750000000000001</v>
      </c>
      <c r="F37">
        <f>TRUNC(22.86,2)</f>
        <v>22.86</v>
      </c>
      <c r="G37" s="104">
        <f>TRUNC(E37*F37,2)</f>
        <v>5.88</v>
      </c>
      <c r="CS37"/>
    </row>
    <row r="38" spans="1:97">
      <c r="B38" s="88"/>
      <c r="C38" s="182"/>
      <c r="E38" t="s">
        <v>4</v>
      </c>
      <c r="G38" s="104">
        <f>TRUNC(SUM(G37:G37),2)</f>
        <v>5.88</v>
      </c>
      <c r="CS38"/>
    </row>
    <row r="39" spans="1:97" ht="15.75" thickBot="1">
      <c r="B39" s="88"/>
      <c r="C39" s="182"/>
      <c r="G39" s="104"/>
      <c r="CS39"/>
    </row>
    <row r="40" spans="1:97" ht="30.75" thickBot="1">
      <c r="A40" s="93" t="s">
        <v>55</v>
      </c>
      <c r="B40" s="94" t="s">
        <v>276</v>
      </c>
      <c r="C40" s="184" t="s">
        <v>392</v>
      </c>
      <c r="D40" s="93" t="s">
        <v>1</v>
      </c>
      <c r="E40" s="92">
        <v>18</v>
      </c>
      <c r="F40" s="81">
        <f>TRUNC(F41,2)</f>
        <v>2.2799999999999998</v>
      </c>
      <c r="G40" s="103">
        <f>TRUNC(E40*F40,2)</f>
        <v>41.04</v>
      </c>
      <c r="CS40"/>
    </row>
    <row r="41" spans="1:97" ht="30">
      <c r="B41" s="88" t="s">
        <v>101</v>
      </c>
      <c r="C41" s="181" t="s">
        <v>336</v>
      </c>
      <c r="D41" s="46" t="s">
        <v>1</v>
      </c>
      <c r="E41">
        <v>1</v>
      </c>
      <c r="F41">
        <f>G43</f>
        <v>2.2799999999999998</v>
      </c>
      <c r="G41" s="104">
        <f>TRUNC(E41*F41,2)</f>
        <v>2.2799999999999998</v>
      </c>
      <c r="CS41"/>
    </row>
    <row r="42" spans="1:97">
      <c r="B42" s="88" t="s">
        <v>129</v>
      </c>
      <c r="C42" s="181" t="s">
        <v>391</v>
      </c>
      <c r="D42" s="46" t="s">
        <v>3</v>
      </c>
      <c r="E42">
        <v>0.1</v>
      </c>
      <c r="F42">
        <f>TRUNC(22.86,2)</f>
        <v>22.86</v>
      </c>
      <c r="G42" s="104">
        <f>TRUNC(E42*F42,2)</f>
        <v>2.2799999999999998</v>
      </c>
      <c r="CS42"/>
    </row>
    <row r="43" spans="1:97">
      <c r="B43" s="88"/>
      <c r="C43" s="182"/>
      <c r="E43" t="s">
        <v>4</v>
      </c>
      <c r="G43" s="104">
        <f>TRUNC(SUM(G42:G42),2)</f>
        <v>2.2799999999999998</v>
      </c>
      <c r="CS43"/>
    </row>
    <row r="44" spans="1:97" ht="15.75" thickBot="1">
      <c r="B44" s="88"/>
      <c r="C44" s="182"/>
      <c r="G44" s="104"/>
      <c r="CS44"/>
    </row>
    <row r="45" spans="1:97" ht="30.75" thickBot="1">
      <c r="A45" s="93" t="s">
        <v>56</v>
      </c>
      <c r="B45" s="94" t="s">
        <v>302</v>
      </c>
      <c r="C45" s="184" t="s">
        <v>393</v>
      </c>
      <c r="D45" s="93" t="s">
        <v>299</v>
      </c>
      <c r="E45" s="92">
        <v>2</v>
      </c>
      <c r="F45" s="142">
        <f>TRUNC(G46+G52,2)</f>
        <v>63.66</v>
      </c>
      <c r="G45" s="103">
        <f t="shared" ref="G45:G50" si="1">TRUNC(E45*F45,2)</f>
        <v>127.32</v>
      </c>
      <c r="CS45"/>
    </row>
    <row r="46" spans="1:97" ht="30">
      <c r="A46" s="46" t="s">
        <v>300</v>
      </c>
      <c r="B46" s="88" t="s">
        <v>102</v>
      </c>
      <c r="C46" s="181" t="s">
        <v>394</v>
      </c>
      <c r="D46" s="46" t="s">
        <v>1</v>
      </c>
      <c r="E46">
        <v>0.5</v>
      </c>
      <c r="F46">
        <f>G51</f>
        <v>9.07</v>
      </c>
      <c r="G46" s="104">
        <f t="shared" si="1"/>
        <v>4.53</v>
      </c>
      <c r="CS46"/>
    </row>
    <row r="47" spans="1:97">
      <c r="B47" s="88" t="s">
        <v>130</v>
      </c>
      <c r="C47" s="181" t="s">
        <v>395</v>
      </c>
      <c r="D47" s="46" t="s">
        <v>2</v>
      </c>
      <c r="E47">
        <v>3.2000000000000001E-2</v>
      </c>
      <c r="F47">
        <f>TRUNC(36.89,2)</f>
        <v>36.89</v>
      </c>
      <c r="G47" s="104">
        <f t="shared" si="1"/>
        <v>1.18</v>
      </c>
      <c r="CS47"/>
    </row>
    <row r="48" spans="1:97">
      <c r="B48" s="88" t="s">
        <v>131</v>
      </c>
      <c r="C48" s="181" t="s">
        <v>396</v>
      </c>
      <c r="D48" s="46" t="s">
        <v>0</v>
      </c>
      <c r="E48">
        <v>0.23</v>
      </c>
      <c r="F48">
        <f>TRUNC(7.5,2)</f>
        <v>7.5</v>
      </c>
      <c r="G48" s="104">
        <f t="shared" si="1"/>
        <v>1.72</v>
      </c>
      <c r="CS48"/>
    </row>
    <row r="49" spans="1:97">
      <c r="B49" s="88" t="s">
        <v>132</v>
      </c>
      <c r="C49" s="181" t="s">
        <v>397</v>
      </c>
      <c r="D49" s="46" t="s">
        <v>3</v>
      </c>
      <c r="E49">
        <v>0.18540000000000001</v>
      </c>
      <c r="F49">
        <f>TRUNC(24.61,2)</f>
        <v>24.61</v>
      </c>
      <c r="G49" s="104">
        <f t="shared" si="1"/>
        <v>4.5599999999999996</v>
      </c>
      <c r="CS49"/>
    </row>
    <row r="50" spans="1:97">
      <c r="B50" s="88" t="s">
        <v>133</v>
      </c>
      <c r="C50" s="181" t="s">
        <v>398</v>
      </c>
      <c r="D50" s="46" t="s">
        <v>3</v>
      </c>
      <c r="E50">
        <v>9.2700000000000005E-2</v>
      </c>
      <c r="F50">
        <f>TRUNC(17.43,2)</f>
        <v>17.43</v>
      </c>
      <c r="G50" s="104">
        <f t="shared" si="1"/>
        <v>1.61</v>
      </c>
      <c r="CS50"/>
    </row>
    <row r="51" spans="1:97">
      <c r="B51" s="88"/>
      <c r="C51" s="182"/>
      <c r="E51" t="s">
        <v>4</v>
      </c>
      <c r="G51" s="104">
        <f>TRUNC(SUM(G47:G50),2)</f>
        <v>9.07</v>
      </c>
      <c r="CS51"/>
    </row>
    <row r="52" spans="1:97" ht="30">
      <c r="A52" s="46" t="s">
        <v>301</v>
      </c>
      <c r="B52" s="88" t="s">
        <v>296</v>
      </c>
      <c r="C52" s="181" t="s">
        <v>399</v>
      </c>
      <c r="D52" s="46" t="s">
        <v>6</v>
      </c>
      <c r="E52">
        <v>1</v>
      </c>
      <c r="F52" s="105">
        <f>G57</f>
        <v>59.13</v>
      </c>
      <c r="G52" s="104">
        <f>TRUNC(E52*F52,2)</f>
        <v>59.13</v>
      </c>
      <c r="CS52"/>
    </row>
    <row r="53" spans="1:97" ht="30">
      <c r="B53" s="88" t="s">
        <v>297</v>
      </c>
      <c r="C53" s="181" t="s">
        <v>400</v>
      </c>
      <c r="D53" s="46" t="s">
        <v>2</v>
      </c>
      <c r="E53">
        <f>0.16*2</f>
        <v>0.32</v>
      </c>
      <c r="F53">
        <f>TRUNC(19.61,2)</f>
        <v>19.61</v>
      </c>
      <c r="G53" s="104">
        <f>TRUNC(E53*F53,2)</f>
        <v>6.27</v>
      </c>
      <c r="CS53"/>
    </row>
    <row r="54" spans="1:97">
      <c r="B54" s="88" t="s">
        <v>132</v>
      </c>
      <c r="C54" s="181" t="s">
        <v>397</v>
      </c>
      <c r="D54" s="46" t="s">
        <v>3</v>
      </c>
      <c r="E54">
        <f>0.5562*2</f>
        <v>1.1124000000000001</v>
      </c>
      <c r="F54">
        <f>TRUNC(24.61,2)</f>
        <v>24.61</v>
      </c>
      <c r="G54" s="104">
        <f>TRUNC(E54*F54,2)</f>
        <v>27.37</v>
      </c>
      <c r="CS54"/>
    </row>
    <row r="55" spans="1:97">
      <c r="B55" s="88" t="s">
        <v>133</v>
      </c>
      <c r="C55" s="181" t="s">
        <v>398</v>
      </c>
      <c r="D55" s="46" t="s">
        <v>3</v>
      </c>
      <c r="E55">
        <f>0.515*2</f>
        <v>1.03</v>
      </c>
      <c r="F55">
        <f>TRUNC(17.43,2)</f>
        <v>17.43</v>
      </c>
      <c r="G55" s="104">
        <f>TRUNC(E55*F55,2)</f>
        <v>17.95</v>
      </c>
      <c r="CS55"/>
    </row>
    <row r="56" spans="1:97">
      <c r="B56" s="88" t="s">
        <v>298</v>
      </c>
      <c r="C56" s="181" t="s">
        <v>401</v>
      </c>
      <c r="D56" s="46" t="s">
        <v>3</v>
      </c>
      <c r="E56">
        <f>0.2*2</f>
        <v>0.4</v>
      </c>
      <c r="F56">
        <f>TRUNC(18.8667,2)</f>
        <v>18.86</v>
      </c>
      <c r="G56" s="104">
        <f>TRUNC(E56*F56,2)</f>
        <v>7.54</v>
      </c>
      <c r="CS56"/>
    </row>
    <row r="57" spans="1:97" ht="15.75" thickBot="1">
      <c r="B57" s="88"/>
      <c r="C57" s="182"/>
      <c r="E57" t="s">
        <v>4</v>
      </c>
      <c r="G57" s="104">
        <f>TRUNC(SUM(G53:G56),2)</f>
        <v>59.13</v>
      </c>
      <c r="CS57"/>
    </row>
    <row r="58" spans="1:97" ht="15.75" thickBot="1">
      <c r="A58" s="93" t="s">
        <v>57</v>
      </c>
      <c r="B58" s="94" t="s">
        <v>103</v>
      </c>
      <c r="C58" s="184" t="s">
        <v>339</v>
      </c>
      <c r="D58" s="93" t="s">
        <v>6</v>
      </c>
      <c r="E58" s="92">
        <v>4</v>
      </c>
      <c r="F58" s="81">
        <f>TRUNC(F59,2)</f>
        <v>6.6</v>
      </c>
      <c r="G58" s="103">
        <f>TRUNC(E58*F58,2)</f>
        <v>26.4</v>
      </c>
      <c r="CS58"/>
    </row>
    <row r="59" spans="1:97">
      <c r="B59" s="88" t="s">
        <v>103</v>
      </c>
      <c r="C59" s="181" t="s">
        <v>402</v>
      </c>
      <c r="D59" s="46" t="s">
        <v>6</v>
      </c>
      <c r="E59">
        <v>1</v>
      </c>
      <c r="F59">
        <f>G61</f>
        <v>6.6</v>
      </c>
      <c r="G59" s="104">
        <f>TRUNC(E59*F59,2)</f>
        <v>6.6</v>
      </c>
      <c r="CS59"/>
    </row>
    <row r="60" spans="1:97">
      <c r="B60" s="88" t="s">
        <v>134</v>
      </c>
      <c r="C60" s="181" t="s">
        <v>403</v>
      </c>
      <c r="D60" s="46" t="s">
        <v>3</v>
      </c>
      <c r="E60">
        <v>0.51500000000000001</v>
      </c>
      <c r="F60">
        <f>TRUNC(12.83,2)</f>
        <v>12.83</v>
      </c>
      <c r="G60" s="104">
        <f>TRUNC(E60*F60,2)</f>
        <v>6.6</v>
      </c>
      <c r="CS60"/>
    </row>
    <row r="61" spans="1:97">
      <c r="B61" s="88"/>
      <c r="C61" s="182"/>
      <c r="E61" t="s">
        <v>4</v>
      </c>
      <c r="G61" s="104">
        <f>TRUNC(SUM(G60:G60),2)</f>
        <v>6.6</v>
      </c>
      <c r="CS61"/>
    </row>
    <row r="62" spans="1:97" ht="15.75" thickBot="1">
      <c r="B62" s="88"/>
      <c r="C62" s="182"/>
      <c r="G62" s="104"/>
      <c r="CS62"/>
    </row>
    <row r="63" spans="1:97" ht="30.75" thickBot="1">
      <c r="A63" s="93" t="s">
        <v>58</v>
      </c>
      <c r="B63" s="94" t="s">
        <v>303</v>
      </c>
      <c r="C63" s="184" t="s">
        <v>340</v>
      </c>
      <c r="D63" s="93" t="s">
        <v>51</v>
      </c>
      <c r="E63" s="92">
        <v>466.4</v>
      </c>
      <c r="F63" s="81">
        <f>TRUNC(F64,2)</f>
        <v>3.31</v>
      </c>
      <c r="G63" s="103">
        <f>TRUNC(E63*F63,2)</f>
        <v>1543.78</v>
      </c>
      <c r="CS63"/>
    </row>
    <row r="64" spans="1:97" ht="30">
      <c r="B64" s="88" t="s">
        <v>104</v>
      </c>
      <c r="C64" s="181" t="s">
        <v>404</v>
      </c>
      <c r="D64" s="46" t="s">
        <v>51</v>
      </c>
      <c r="E64">
        <v>1</v>
      </c>
      <c r="F64">
        <f>G66</f>
        <v>3.31</v>
      </c>
      <c r="G64" s="104">
        <f>TRUNC(E64*F64,2)</f>
        <v>3.31</v>
      </c>
      <c r="CS64"/>
    </row>
    <row r="65" spans="1:97">
      <c r="B65" s="88" t="s">
        <v>39</v>
      </c>
      <c r="C65" s="181" t="s">
        <v>383</v>
      </c>
      <c r="D65" s="46" t="s">
        <v>3</v>
      </c>
      <c r="E65">
        <v>0.2</v>
      </c>
      <c r="F65">
        <f>TRUNC(16.55,2)</f>
        <v>16.55</v>
      </c>
      <c r="G65" s="104">
        <f>TRUNC(E65*F65,2)</f>
        <v>3.31</v>
      </c>
      <c r="CS65"/>
    </row>
    <row r="66" spans="1:97" ht="15.75" thickBot="1">
      <c r="B66" s="88"/>
      <c r="C66" s="182"/>
      <c r="E66" t="s">
        <v>4</v>
      </c>
      <c r="G66" s="104">
        <f>TRUNC(SUM(G65:G65),2)</f>
        <v>3.31</v>
      </c>
      <c r="CS66"/>
    </row>
    <row r="67" spans="1:97" ht="30.75" thickBot="1">
      <c r="A67" s="93" t="s">
        <v>59</v>
      </c>
      <c r="B67" s="94" t="s">
        <v>105</v>
      </c>
      <c r="C67" s="184" t="s">
        <v>341</v>
      </c>
      <c r="D67" s="93" t="s">
        <v>0</v>
      </c>
      <c r="E67" s="92">
        <v>5.25</v>
      </c>
      <c r="F67" s="81">
        <f>TRUNC(F68,2)</f>
        <v>145.65</v>
      </c>
      <c r="G67" s="103">
        <f>TRUNC(E67*F67,2)</f>
        <v>764.66</v>
      </c>
      <c r="CS67"/>
    </row>
    <row r="68" spans="1:97" ht="30">
      <c r="B68" s="88" t="s">
        <v>105</v>
      </c>
      <c r="C68" s="181" t="s">
        <v>405</v>
      </c>
      <c r="D68" s="46" t="s">
        <v>0</v>
      </c>
      <c r="E68">
        <v>1</v>
      </c>
      <c r="F68">
        <f>G71</f>
        <v>145.65</v>
      </c>
      <c r="G68" s="104">
        <f>TRUNC(E68*F68,2)</f>
        <v>145.65</v>
      </c>
      <c r="CS68"/>
    </row>
    <row r="69" spans="1:97">
      <c r="B69" s="88" t="s">
        <v>136</v>
      </c>
      <c r="C69" s="181" t="s">
        <v>406</v>
      </c>
      <c r="D69" s="46" t="s">
        <v>51</v>
      </c>
      <c r="E69">
        <v>2.85</v>
      </c>
      <c r="F69">
        <f>TRUNC(28.4101,2)</f>
        <v>28.41</v>
      </c>
      <c r="G69" s="104">
        <f>TRUNC(E69*F69,2)</f>
        <v>80.959999999999994</v>
      </c>
      <c r="CS69"/>
    </row>
    <row r="70" spans="1:97">
      <c r="B70" s="88" t="s">
        <v>137</v>
      </c>
      <c r="C70" s="181" t="s">
        <v>407</v>
      </c>
      <c r="D70" s="46" t="s">
        <v>51</v>
      </c>
      <c r="E70">
        <v>2.85</v>
      </c>
      <c r="F70">
        <f>TRUNC(22.7003,2)</f>
        <v>22.7</v>
      </c>
      <c r="G70" s="104">
        <f>TRUNC(E70*F70,2)</f>
        <v>64.69</v>
      </c>
      <c r="CS70"/>
    </row>
    <row r="71" spans="1:97">
      <c r="B71" s="88"/>
      <c r="C71" s="182"/>
      <c r="E71" t="s">
        <v>4</v>
      </c>
      <c r="G71" s="104">
        <f>TRUNC(SUM(G69:G70),2)</f>
        <v>145.65</v>
      </c>
      <c r="CS71"/>
    </row>
    <row r="72" spans="1:97" ht="15.75" thickBot="1">
      <c r="B72" s="88"/>
      <c r="C72" s="182"/>
      <c r="G72" s="104"/>
      <c r="CS72"/>
    </row>
    <row r="73" spans="1:97" ht="30.75" thickBot="1">
      <c r="A73" s="93" t="s">
        <v>60</v>
      </c>
      <c r="B73" s="94" t="s">
        <v>106</v>
      </c>
      <c r="C73" s="184" t="s">
        <v>342</v>
      </c>
      <c r="D73" s="93" t="s">
        <v>1</v>
      </c>
      <c r="E73" s="92">
        <v>15</v>
      </c>
      <c r="F73" s="81">
        <f>TRUNC(F74,2)</f>
        <v>18.75</v>
      </c>
      <c r="G73" s="103">
        <f>TRUNC(E73*F73,2)</f>
        <v>281.25</v>
      </c>
      <c r="CS73"/>
    </row>
    <row r="74" spans="1:97" ht="30">
      <c r="B74" s="88" t="s">
        <v>106</v>
      </c>
      <c r="C74" s="181" t="s">
        <v>408</v>
      </c>
      <c r="D74" s="46" t="s">
        <v>1</v>
      </c>
      <c r="E74">
        <v>1</v>
      </c>
      <c r="F74">
        <f>G76</f>
        <v>18.75</v>
      </c>
      <c r="G74" s="104">
        <f>TRUNC(E74*F74,2)</f>
        <v>18.75</v>
      </c>
      <c r="CS74"/>
    </row>
    <row r="75" spans="1:97">
      <c r="B75" s="88" t="s">
        <v>39</v>
      </c>
      <c r="C75" s="181" t="s">
        <v>383</v>
      </c>
      <c r="D75" s="46" t="s">
        <v>3</v>
      </c>
      <c r="E75">
        <v>1.1330000000000002</v>
      </c>
      <c r="F75">
        <f>TRUNC(16.55,2)</f>
        <v>16.55</v>
      </c>
      <c r="G75" s="104">
        <f>TRUNC(E75*F75,2)</f>
        <v>18.75</v>
      </c>
      <c r="CS75"/>
    </row>
    <row r="76" spans="1:97">
      <c r="B76" s="88"/>
      <c r="C76" s="182"/>
      <c r="E76" t="s">
        <v>4</v>
      </c>
      <c r="G76" s="104">
        <f>TRUNC(SUM(G75:G75),2)</f>
        <v>18.75</v>
      </c>
      <c r="CS76"/>
    </row>
    <row r="77" spans="1:97" ht="15.75" thickBot="1">
      <c r="B77" s="88"/>
      <c r="C77" s="182"/>
      <c r="G77" s="104"/>
      <c r="CS77"/>
    </row>
    <row r="78" spans="1:97" ht="15.75" thickBot="1">
      <c r="A78" s="93" t="s">
        <v>61</v>
      </c>
      <c r="B78" s="94" t="s">
        <v>107</v>
      </c>
      <c r="C78" s="184" t="s">
        <v>343</v>
      </c>
      <c r="D78" s="93" t="s">
        <v>51</v>
      </c>
      <c r="E78" s="92">
        <v>10</v>
      </c>
      <c r="F78" s="81">
        <f>TRUNC(F79,2)</f>
        <v>8.52</v>
      </c>
      <c r="G78" s="103">
        <f>TRUNC(E78*F78,2)</f>
        <v>85.2</v>
      </c>
      <c r="CS78"/>
    </row>
    <row r="79" spans="1:97" ht="30">
      <c r="B79" s="88" t="s">
        <v>107</v>
      </c>
      <c r="C79" s="181" t="s">
        <v>409</v>
      </c>
      <c r="D79" s="46" t="s">
        <v>51</v>
      </c>
      <c r="E79">
        <v>1</v>
      </c>
      <c r="F79">
        <f>G81</f>
        <v>8.52</v>
      </c>
      <c r="G79" s="104">
        <f>TRUNC(E79*F79,2)</f>
        <v>8.52</v>
      </c>
      <c r="CS79"/>
    </row>
    <row r="80" spans="1:97">
      <c r="B80" s="88" t="s">
        <v>39</v>
      </c>
      <c r="C80" s="181" t="s">
        <v>383</v>
      </c>
      <c r="D80" s="46" t="s">
        <v>3</v>
      </c>
      <c r="E80">
        <v>0.51500000000000001</v>
      </c>
      <c r="F80">
        <f>TRUNC(16.55,2)</f>
        <v>16.55</v>
      </c>
      <c r="G80" s="104">
        <f>TRUNC(E80*F80,2)</f>
        <v>8.52</v>
      </c>
      <c r="CS80"/>
    </row>
    <row r="81" spans="1:97" ht="15.75" thickBot="1">
      <c r="B81" s="88"/>
      <c r="C81" s="182"/>
      <c r="E81" t="s">
        <v>4</v>
      </c>
      <c r="G81" s="104">
        <f>TRUNC(SUM(G80:G80),2)</f>
        <v>8.52</v>
      </c>
      <c r="CS81"/>
    </row>
    <row r="82" spans="1:97" s="41" customFormat="1" ht="15.75" thickBot="1">
      <c r="A82" s="95" t="s">
        <v>33</v>
      </c>
      <c r="B82" s="96"/>
      <c r="C82" s="185"/>
      <c r="D82" s="95"/>
      <c r="E82" s="98"/>
      <c r="F82" s="98" t="s">
        <v>213</v>
      </c>
      <c r="G82" s="82">
        <f>G13+G25+G30+G35+G40+G45+G58+G63+G67+G73+G78</f>
        <v>7002.6499999999987</v>
      </c>
      <c r="H82" s="70"/>
      <c r="I82" s="70"/>
      <c r="J82" s="70"/>
      <c r="K82" s="70"/>
      <c r="L82" s="70"/>
      <c r="M82" s="70"/>
      <c r="N82" s="70"/>
      <c r="O82" s="70"/>
      <c r="P82" s="70"/>
      <c r="Q82" s="70"/>
      <c r="R82" s="70"/>
      <c r="S82" s="70"/>
      <c r="T82" s="70"/>
      <c r="U82" s="70"/>
      <c r="V82" s="70"/>
      <c r="W82" s="70"/>
      <c r="X82" s="70"/>
      <c r="Y82" s="70"/>
      <c r="Z82" s="70"/>
      <c r="AA82" s="70"/>
      <c r="AB82" s="70"/>
      <c r="AC82" s="70"/>
      <c r="AD82" s="70"/>
      <c r="AE82" s="70"/>
      <c r="AF82" s="70"/>
      <c r="AG82" s="70"/>
      <c r="AH82" s="70"/>
      <c r="AI82" s="70"/>
      <c r="AJ82" s="70"/>
      <c r="AK82" s="70"/>
      <c r="AL82" s="70"/>
      <c r="AM82" s="70"/>
      <c r="AN82" s="70"/>
      <c r="AO82" s="70"/>
      <c r="AP82" s="70"/>
      <c r="AQ82" s="70"/>
      <c r="AR82" s="70"/>
      <c r="AS82" s="70"/>
      <c r="AT82" s="70"/>
      <c r="AU82" s="70"/>
      <c r="AV82" s="70"/>
      <c r="AW82" s="70"/>
      <c r="AX82" s="70"/>
      <c r="AY82" s="70"/>
      <c r="AZ82" s="70"/>
      <c r="BA82" s="70"/>
      <c r="BB82" s="70"/>
      <c r="BC82" s="70"/>
      <c r="BD82" s="70"/>
      <c r="BE82" s="70"/>
      <c r="BF82" s="70"/>
      <c r="BG82" s="70"/>
      <c r="BH82" s="70"/>
      <c r="BI82" s="70"/>
      <c r="BJ82" s="70"/>
      <c r="BK82" s="70"/>
      <c r="BL82" s="70"/>
      <c r="BM82" s="70"/>
      <c r="BN82" s="70"/>
      <c r="BO82" s="70"/>
      <c r="BP82" s="70"/>
      <c r="BQ82" s="70"/>
      <c r="BR82" s="70"/>
      <c r="BS82" s="70"/>
      <c r="BT82" s="70"/>
      <c r="BU82" s="70"/>
      <c r="BV82" s="70"/>
      <c r="BW82" s="70"/>
      <c r="BX82" s="70"/>
      <c r="BY82" s="70"/>
      <c r="BZ82" s="70"/>
      <c r="CA82" s="70"/>
      <c r="CB82" s="70"/>
      <c r="CC82" s="70"/>
      <c r="CD82" s="70"/>
      <c r="CE82" s="70"/>
      <c r="CF82" s="70"/>
      <c r="CG82" s="70"/>
      <c r="CH82" s="70"/>
      <c r="CI82" s="70"/>
      <c r="CJ82" s="70"/>
      <c r="CK82" s="70"/>
      <c r="CL82" s="70"/>
      <c r="CM82" s="70"/>
      <c r="CN82" s="70"/>
      <c r="CO82" s="70"/>
      <c r="CP82" s="70"/>
      <c r="CQ82" s="70"/>
      <c r="CR82" s="70"/>
    </row>
    <row r="83" spans="1:97" s="41" customFormat="1" ht="15.75" thickBot="1">
      <c r="A83" s="95" t="s">
        <v>62</v>
      </c>
      <c r="B83" s="96"/>
      <c r="C83" s="164" t="s">
        <v>344</v>
      </c>
      <c r="D83" s="95" t="s">
        <v>49</v>
      </c>
      <c r="E83" s="98"/>
      <c r="F83" s="98"/>
      <c r="G83" s="82"/>
      <c r="H83" s="70"/>
      <c r="I83" s="70"/>
      <c r="J83" s="70"/>
      <c r="K83" s="70"/>
      <c r="L83" s="70"/>
      <c r="M83" s="70"/>
      <c r="N83" s="70"/>
      <c r="O83" s="70"/>
      <c r="P83" s="70"/>
      <c r="Q83" s="70"/>
      <c r="R83" s="70"/>
      <c r="S83" s="70"/>
      <c r="T83" s="70"/>
      <c r="U83" s="70"/>
      <c r="V83" s="70"/>
      <c r="W83" s="70"/>
      <c r="X83" s="70"/>
      <c r="Y83" s="70"/>
      <c r="Z83" s="70"/>
      <c r="AA83" s="70"/>
      <c r="AB83" s="70"/>
      <c r="AC83" s="70"/>
      <c r="AD83" s="70"/>
      <c r="AE83" s="70"/>
      <c r="AF83" s="70"/>
      <c r="AG83" s="70"/>
      <c r="AH83" s="70"/>
      <c r="AI83" s="70"/>
      <c r="AJ83" s="70"/>
      <c r="AK83" s="70"/>
      <c r="AL83" s="70"/>
      <c r="AM83" s="70"/>
      <c r="AN83" s="70"/>
      <c r="AO83" s="70"/>
      <c r="AP83" s="70"/>
      <c r="AQ83" s="70"/>
      <c r="AR83" s="70"/>
      <c r="AS83" s="70"/>
      <c r="AT83" s="70"/>
      <c r="AU83" s="70"/>
      <c r="AV83" s="70"/>
      <c r="AW83" s="70"/>
      <c r="AX83" s="70"/>
      <c r="AY83" s="70"/>
      <c r="AZ83" s="70"/>
      <c r="BA83" s="70"/>
      <c r="BB83" s="70"/>
      <c r="BC83" s="70"/>
      <c r="BD83" s="70"/>
      <c r="BE83" s="70"/>
      <c r="BF83" s="70"/>
      <c r="BG83" s="70"/>
      <c r="BH83" s="70"/>
      <c r="BI83" s="70"/>
      <c r="BJ83" s="70"/>
      <c r="BK83" s="70"/>
      <c r="BL83" s="70"/>
      <c r="BM83" s="70"/>
      <c r="BN83" s="70"/>
      <c r="BO83" s="70"/>
      <c r="BP83" s="70"/>
      <c r="BQ83" s="70"/>
      <c r="BR83" s="70"/>
      <c r="BS83" s="70"/>
      <c r="BT83" s="70"/>
      <c r="BU83" s="70"/>
      <c r="BV83" s="70"/>
      <c r="BW83" s="70"/>
      <c r="BX83" s="70"/>
      <c r="BY83" s="70"/>
      <c r="BZ83" s="70"/>
      <c r="CA83" s="70"/>
      <c r="CB83" s="70"/>
      <c r="CC83" s="70"/>
      <c r="CD83" s="70"/>
      <c r="CE83" s="70"/>
      <c r="CF83" s="70"/>
      <c r="CG83" s="70"/>
      <c r="CH83" s="70"/>
      <c r="CI83" s="70"/>
      <c r="CJ83" s="70"/>
      <c r="CK83" s="70"/>
      <c r="CL83" s="70"/>
      <c r="CM83" s="70"/>
      <c r="CN83" s="70"/>
      <c r="CO83" s="70"/>
      <c r="CP83" s="70"/>
      <c r="CQ83" s="70"/>
      <c r="CR83" s="70"/>
    </row>
    <row r="84" spans="1:97" ht="30.75" thickBot="1">
      <c r="A84" s="93" t="s">
        <v>64</v>
      </c>
      <c r="B84" s="94" t="s">
        <v>108</v>
      </c>
      <c r="C84" s="163" t="s">
        <v>540</v>
      </c>
      <c r="D84" s="93" t="s">
        <v>0</v>
      </c>
      <c r="E84" s="92">
        <v>0.95</v>
      </c>
      <c r="F84" s="81">
        <f>TRUNC(F85,2)</f>
        <v>2051.54</v>
      </c>
      <c r="G84" s="103">
        <f>TRUNC(E84*F84,2)</f>
        <v>1948.96</v>
      </c>
      <c r="CS84"/>
    </row>
    <row r="85" spans="1:97" ht="30">
      <c r="B85" s="88" t="s">
        <v>138</v>
      </c>
      <c r="C85" s="181" t="s">
        <v>410</v>
      </c>
      <c r="D85" s="46" t="s">
        <v>0</v>
      </c>
      <c r="E85">
        <v>1</v>
      </c>
      <c r="F85">
        <f>G112</f>
        <v>2051.54</v>
      </c>
      <c r="G85" s="104">
        <f t="shared" ref="G85:G111" si="2">TRUNC(E85*F85,2)</f>
        <v>2051.54</v>
      </c>
      <c r="CS85"/>
    </row>
    <row r="86" spans="1:97" ht="30">
      <c r="B86" s="88" t="s">
        <v>139</v>
      </c>
      <c r="C86" s="181" t="s">
        <v>411</v>
      </c>
      <c r="D86" s="46" t="s">
        <v>0</v>
      </c>
      <c r="E86">
        <v>1.103</v>
      </c>
      <c r="F86">
        <f>TRUNC(330.82,2)</f>
        <v>330.82</v>
      </c>
      <c r="G86" s="104">
        <f t="shared" si="2"/>
        <v>364.89</v>
      </c>
      <c r="CS86"/>
    </row>
    <row r="87" spans="1:97" ht="30">
      <c r="B87" s="88" t="s">
        <v>140</v>
      </c>
      <c r="C87" s="181" t="s">
        <v>412</v>
      </c>
      <c r="D87" s="46" t="s">
        <v>2</v>
      </c>
      <c r="E87">
        <v>3.85</v>
      </c>
      <c r="F87">
        <f>TRUNC(11.29,2)</f>
        <v>11.29</v>
      </c>
      <c r="G87" s="104">
        <f t="shared" si="2"/>
        <v>43.46</v>
      </c>
      <c r="CS87"/>
    </row>
    <row r="88" spans="1:97" ht="30">
      <c r="B88" s="88" t="s">
        <v>141</v>
      </c>
      <c r="C88" s="181" t="s">
        <v>413</v>
      </c>
      <c r="D88" s="46" t="s">
        <v>2</v>
      </c>
      <c r="E88">
        <v>0.62</v>
      </c>
      <c r="F88">
        <f>TRUNC(18.79,2)</f>
        <v>18.79</v>
      </c>
      <c r="G88" s="104">
        <f t="shared" si="2"/>
        <v>11.64</v>
      </c>
      <c r="CS88"/>
    </row>
    <row r="89" spans="1:97" ht="30">
      <c r="B89" s="88" t="s">
        <v>142</v>
      </c>
      <c r="C89" s="181" t="s">
        <v>414</v>
      </c>
      <c r="D89" s="46" t="s">
        <v>51</v>
      </c>
      <c r="E89">
        <v>0.84</v>
      </c>
      <c r="F89">
        <f>TRUNC(121.61,2)</f>
        <v>121.61</v>
      </c>
      <c r="G89" s="104">
        <f t="shared" si="2"/>
        <v>102.15</v>
      </c>
      <c r="CS89"/>
    </row>
    <row r="90" spans="1:97" ht="30">
      <c r="B90" s="88" t="s">
        <v>143</v>
      </c>
      <c r="C90" s="181" t="s">
        <v>415</v>
      </c>
      <c r="D90" s="46" t="s">
        <v>51</v>
      </c>
      <c r="E90">
        <v>2.74</v>
      </c>
      <c r="F90">
        <f>TRUNC(56.49,2)</f>
        <v>56.49</v>
      </c>
      <c r="G90" s="104">
        <f t="shared" si="2"/>
        <v>154.78</v>
      </c>
      <c r="CS90"/>
    </row>
    <row r="91" spans="1:97" ht="30">
      <c r="B91" s="88" t="s">
        <v>144</v>
      </c>
      <c r="C91" s="181" t="s">
        <v>416</v>
      </c>
      <c r="D91" s="46" t="s">
        <v>51</v>
      </c>
      <c r="E91">
        <v>0.56999999999999995</v>
      </c>
      <c r="F91">
        <f>TRUNC(153.91,2)</f>
        <v>153.91</v>
      </c>
      <c r="G91" s="104">
        <f t="shared" si="2"/>
        <v>87.72</v>
      </c>
      <c r="CS91"/>
    </row>
    <row r="92" spans="1:97" ht="30">
      <c r="B92" s="88" t="s">
        <v>145</v>
      </c>
      <c r="C92" s="181" t="s">
        <v>417</v>
      </c>
      <c r="D92" s="46" t="s">
        <v>51</v>
      </c>
      <c r="E92">
        <v>1.87</v>
      </c>
      <c r="F92">
        <f>TRUNC(96.73,2)</f>
        <v>96.73</v>
      </c>
      <c r="G92" s="104">
        <f t="shared" si="2"/>
        <v>180.88</v>
      </c>
      <c r="CS92"/>
    </row>
    <row r="93" spans="1:97" ht="30">
      <c r="B93" s="88" t="s">
        <v>146</v>
      </c>
      <c r="C93" s="181" t="s">
        <v>418</v>
      </c>
      <c r="D93" s="46" t="s">
        <v>51</v>
      </c>
      <c r="E93">
        <v>0.47</v>
      </c>
      <c r="F93">
        <f>TRUNC(51.09,2)</f>
        <v>51.09</v>
      </c>
      <c r="G93" s="104">
        <f t="shared" si="2"/>
        <v>24.01</v>
      </c>
      <c r="CS93"/>
    </row>
    <row r="94" spans="1:97" ht="30">
      <c r="B94" s="88" t="s">
        <v>147</v>
      </c>
      <c r="C94" s="181" t="s">
        <v>419</v>
      </c>
      <c r="D94" s="46" t="s">
        <v>51</v>
      </c>
      <c r="E94">
        <v>1.61</v>
      </c>
      <c r="F94">
        <f>TRUNC(27.16,2)</f>
        <v>27.16</v>
      </c>
      <c r="G94" s="104">
        <f t="shared" si="2"/>
        <v>43.72</v>
      </c>
      <c r="CS94"/>
    </row>
    <row r="95" spans="1:97" ht="30">
      <c r="B95" s="88" t="s">
        <v>148</v>
      </c>
      <c r="C95" s="181" t="s">
        <v>420</v>
      </c>
      <c r="D95" s="46" t="s">
        <v>2</v>
      </c>
      <c r="E95">
        <v>7.13</v>
      </c>
      <c r="F95">
        <f>TRUNC(17.55,2)</f>
        <v>17.55</v>
      </c>
      <c r="G95" s="104">
        <f t="shared" si="2"/>
        <v>125.13</v>
      </c>
      <c r="CS95"/>
    </row>
    <row r="96" spans="1:97" ht="30">
      <c r="B96" s="88" t="s">
        <v>149</v>
      </c>
      <c r="C96" s="181" t="s">
        <v>421</v>
      </c>
      <c r="D96" s="46" t="s">
        <v>2</v>
      </c>
      <c r="E96">
        <v>5.83</v>
      </c>
      <c r="F96">
        <f>TRUNC(16.63,2)</f>
        <v>16.63</v>
      </c>
      <c r="G96" s="104">
        <f t="shared" si="2"/>
        <v>96.95</v>
      </c>
      <c r="CS96"/>
    </row>
    <row r="97" spans="2:97" ht="30">
      <c r="B97" s="88" t="s">
        <v>150</v>
      </c>
      <c r="C97" s="181" t="s">
        <v>422</v>
      </c>
      <c r="D97" s="46" t="s">
        <v>2</v>
      </c>
      <c r="E97">
        <v>0.09</v>
      </c>
      <c r="F97">
        <f>TRUNC(15.69,2)</f>
        <v>15.69</v>
      </c>
      <c r="G97" s="104">
        <f t="shared" si="2"/>
        <v>1.41</v>
      </c>
      <c r="CS97"/>
    </row>
    <row r="98" spans="2:97" ht="30">
      <c r="B98" s="88" t="s">
        <v>151</v>
      </c>
      <c r="C98" s="181" t="s">
        <v>423</v>
      </c>
      <c r="D98" s="46" t="s">
        <v>2</v>
      </c>
      <c r="E98">
        <v>0.51</v>
      </c>
      <c r="F98">
        <f>TRUNC(22.7,2)</f>
        <v>22.7</v>
      </c>
      <c r="G98" s="104">
        <f t="shared" si="2"/>
        <v>11.57</v>
      </c>
      <c r="CS98"/>
    </row>
    <row r="99" spans="2:97" ht="30">
      <c r="B99" s="88" t="s">
        <v>152</v>
      </c>
      <c r="C99" s="181" t="s">
        <v>424</v>
      </c>
      <c r="D99" s="46" t="s">
        <v>2</v>
      </c>
      <c r="E99">
        <v>10.53</v>
      </c>
      <c r="F99">
        <f>TRUNC(11.83,2)</f>
        <v>11.83</v>
      </c>
      <c r="G99" s="104">
        <f t="shared" si="2"/>
        <v>124.56</v>
      </c>
      <c r="CS99"/>
    </row>
    <row r="100" spans="2:97" ht="30">
      <c r="B100" s="88" t="s">
        <v>153</v>
      </c>
      <c r="C100" s="181" t="s">
        <v>425</v>
      </c>
      <c r="D100" s="46" t="s">
        <v>2</v>
      </c>
      <c r="E100">
        <v>0.43</v>
      </c>
      <c r="F100">
        <f>TRUNC(12.74,2)</f>
        <v>12.74</v>
      </c>
      <c r="G100" s="104">
        <f t="shared" si="2"/>
        <v>5.47</v>
      </c>
      <c r="CS100"/>
    </row>
    <row r="101" spans="2:97" ht="30">
      <c r="B101" s="88" t="s">
        <v>154</v>
      </c>
      <c r="C101" s="181" t="s">
        <v>426</v>
      </c>
      <c r="D101" s="46" t="s">
        <v>2</v>
      </c>
      <c r="E101">
        <v>0.82</v>
      </c>
      <c r="F101">
        <f>TRUNC(12.45,2)</f>
        <v>12.45</v>
      </c>
      <c r="G101" s="104">
        <f t="shared" si="2"/>
        <v>10.199999999999999</v>
      </c>
      <c r="CS101"/>
    </row>
    <row r="102" spans="2:97" ht="30">
      <c r="B102" s="88" t="s">
        <v>155</v>
      </c>
      <c r="C102" s="181" t="s">
        <v>427</v>
      </c>
      <c r="D102" s="46" t="s">
        <v>2</v>
      </c>
      <c r="E102">
        <v>0.83</v>
      </c>
      <c r="F102">
        <f>TRUNC(15.99,2)</f>
        <v>15.99</v>
      </c>
      <c r="G102" s="104">
        <f t="shared" si="2"/>
        <v>13.27</v>
      </c>
      <c r="CS102"/>
    </row>
    <row r="103" spans="2:97" ht="30">
      <c r="B103" s="88" t="s">
        <v>156</v>
      </c>
      <c r="C103" s="181" t="s">
        <v>428</v>
      </c>
      <c r="D103" s="46" t="s">
        <v>2</v>
      </c>
      <c r="E103">
        <v>8.4700000000000006</v>
      </c>
      <c r="F103">
        <f>TRUNC(15.43,2)</f>
        <v>15.43</v>
      </c>
      <c r="G103" s="104">
        <f t="shared" si="2"/>
        <v>130.69</v>
      </c>
      <c r="CS103"/>
    </row>
    <row r="104" spans="2:97" ht="30">
      <c r="B104" s="88" t="s">
        <v>157</v>
      </c>
      <c r="C104" s="181" t="s">
        <v>429</v>
      </c>
      <c r="D104" s="46" t="s">
        <v>2</v>
      </c>
      <c r="E104">
        <v>10.78</v>
      </c>
      <c r="F104">
        <f>TRUNC(14.76,2)</f>
        <v>14.76</v>
      </c>
      <c r="G104" s="104">
        <f t="shared" si="2"/>
        <v>159.11000000000001</v>
      </c>
      <c r="CS104"/>
    </row>
    <row r="105" spans="2:97" ht="30">
      <c r="B105" s="88" t="s">
        <v>158</v>
      </c>
      <c r="C105" s="181" t="s">
        <v>430</v>
      </c>
      <c r="D105" s="46" t="s">
        <v>0</v>
      </c>
      <c r="E105">
        <v>1</v>
      </c>
      <c r="F105">
        <f>TRUNC(38.39,2)</f>
        <v>38.39</v>
      </c>
      <c r="G105" s="104">
        <f t="shared" si="2"/>
        <v>38.39</v>
      </c>
      <c r="CS105"/>
    </row>
    <row r="106" spans="2:97" ht="30">
      <c r="B106" s="88" t="s">
        <v>159</v>
      </c>
      <c r="C106" s="181" t="s">
        <v>431</v>
      </c>
      <c r="D106" s="46" t="s">
        <v>51</v>
      </c>
      <c r="E106">
        <v>0.33</v>
      </c>
      <c r="F106">
        <f>TRUNC(94.55,2)</f>
        <v>94.55</v>
      </c>
      <c r="G106" s="104">
        <f t="shared" si="2"/>
        <v>31.2</v>
      </c>
      <c r="CS106"/>
    </row>
    <row r="107" spans="2:97">
      <c r="B107" s="88" t="s">
        <v>160</v>
      </c>
      <c r="C107" s="181" t="s">
        <v>432</v>
      </c>
      <c r="D107" s="46" t="s">
        <v>2</v>
      </c>
      <c r="E107">
        <v>0.23</v>
      </c>
      <c r="F107">
        <f>TRUNC(20.74,2)</f>
        <v>20.74</v>
      </c>
      <c r="G107" s="104">
        <f t="shared" si="2"/>
        <v>4.7699999999999996</v>
      </c>
      <c r="CS107"/>
    </row>
    <row r="108" spans="2:97" ht="30">
      <c r="B108" s="88" t="s">
        <v>161</v>
      </c>
      <c r="C108" s="181" t="s">
        <v>433</v>
      </c>
      <c r="D108" s="46" t="s">
        <v>2</v>
      </c>
      <c r="E108">
        <v>0.16</v>
      </c>
      <c r="F108">
        <f>TRUNC(19.03,2)</f>
        <v>19.03</v>
      </c>
      <c r="G108" s="104">
        <f t="shared" si="2"/>
        <v>3.04</v>
      </c>
      <c r="CS108"/>
    </row>
    <row r="109" spans="2:97" ht="30">
      <c r="B109" s="88" t="s">
        <v>162</v>
      </c>
      <c r="C109" s="181" t="s">
        <v>434</v>
      </c>
      <c r="D109" s="46" t="s">
        <v>2</v>
      </c>
      <c r="E109">
        <v>1</v>
      </c>
      <c r="F109">
        <f>TRUNC(15.5,2)</f>
        <v>15.5</v>
      </c>
      <c r="G109" s="104">
        <f t="shared" si="2"/>
        <v>15.5</v>
      </c>
      <c r="CS109"/>
    </row>
    <row r="110" spans="2:97" ht="30">
      <c r="B110" s="88" t="s">
        <v>163</v>
      </c>
      <c r="C110" s="181" t="s">
        <v>435</v>
      </c>
      <c r="D110" s="46" t="s">
        <v>51</v>
      </c>
      <c r="E110">
        <v>0.21</v>
      </c>
      <c r="F110">
        <f>TRUNC(169.19,2)</f>
        <v>169.19</v>
      </c>
      <c r="G110" s="104">
        <f t="shared" si="2"/>
        <v>35.520000000000003</v>
      </c>
      <c r="CS110"/>
    </row>
    <row r="111" spans="2:97" ht="30">
      <c r="B111" s="88" t="s">
        <v>164</v>
      </c>
      <c r="C111" s="181" t="s">
        <v>436</v>
      </c>
      <c r="D111" s="46" t="s">
        <v>2</v>
      </c>
      <c r="E111">
        <v>16.489999999999998</v>
      </c>
      <c r="F111">
        <f>TRUNC(14.04,2)</f>
        <v>14.04</v>
      </c>
      <c r="G111" s="104">
        <f t="shared" si="2"/>
        <v>231.51</v>
      </c>
      <c r="CS111"/>
    </row>
    <row r="112" spans="2:97">
      <c r="B112" s="88"/>
      <c r="C112" s="182"/>
      <c r="E112" t="s">
        <v>4</v>
      </c>
      <c r="G112" s="104">
        <f>TRUNC(SUM(G86:G111),2)</f>
        <v>2051.54</v>
      </c>
      <c r="CS112"/>
    </row>
    <row r="113" spans="1:97" ht="15.75" thickBot="1">
      <c r="B113" s="88"/>
      <c r="C113" s="182"/>
      <c r="G113" s="104"/>
      <c r="CS113"/>
    </row>
    <row r="114" spans="1:97" s="141" customFormat="1" ht="30.75" thickBot="1">
      <c r="A114" s="136" t="s">
        <v>65</v>
      </c>
      <c r="B114" s="137" t="s">
        <v>208</v>
      </c>
      <c r="C114" s="183" t="s">
        <v>553</v>
      </c>
      <c r="D114" s="136" t="s">
        <v>1</v>
      </c>
      <c r="E114" s="138">
        <v>4</v>
      </c>
      <c r="F114" s="138">
        <f>TRUNC(F115,2)</f>
        <v>151.94999999999999</v>
      </c>
      <c r="G114" s="139">
        <f t="shared" ref="G114:G120" si="3">TRUNC(E114*F114,2)</f>
        <v>607.79999999999995</v>
      </c>
      <c r="H114" s="140"/>
      <c r="I114" s="140"/>
      <c r="J114" s="140"/>
      <c r="K114" s="140"/>
      <c r="L114" s="140"/>
      <c r="M114" s="140"/>
      <c r="N114" s="140"/>
      <c r="O114" s="140"/>
      <c r="P114" s="140"/>
      <c r="Q114" s="140"/>
      <c r="R114" s="140"/>
      <c r="S114" s="140"/>
      <c r="T114" s="140"/>
      <c r="U114" s="140"/>
      <c r="V114" s="140"/>
      <c r="W114" s="140"/>
      <c r="X114" s="140"/>
      <c r="Y114" s="140"/>
      <c r="Z114" s="140"/>
      <c r="AA114" s="140"/>
      <c r="AB114" s="140"/>
      <c r="AC114" s="140"/>
      <c r="AD114" s="140"/>
      <c r="AE114" s="140"/>
      <c r="AF114" s="140"/>
      <c r="AG114" s="140"/>
      <c r="AH114" s="140"/>
      <c r="AI114" s="140"/>
      <c r="AJ114" s="140"/>
      <c r="AK114" s="140"/>
      <c r="AL114" s="140"/>
      <c r="AM114" s="140"/>
      <c r="AN114" s="140"/>
      <c r="AO114" s="140"/>
      <c r="AP114" s="140"/>
      <c r="AQ114" s="140"/>
      <c r="AR114" s="140"/>
      <c r="AS114" s="140"/>
      <c r="AT114" s="140"/>
      <c r="AU114" s="140"/>
      <c r="AV114" s="140"/>
      <c r="AW114" s="140"/>
      <c r="AX114" s="140"/>
      <c r="AY114" s="140"/>
      <c r="AZ114" s="140"/>
      <c r="BA114" s="140"/>
      <c r="BB114" s="140"/>
      <c r="BC114" s="140"/>
      <c r="BD114" s="140"/>
      <c r="BE114" s="140"/>
      <c r="BF114" s="140"/>
      <c r="BG114" s="140"/>
      <c r="BH114" s="140"/>
      <c r="BI114" s="140"/>
      <c r="BJ114" s="140"/>
      <c r="BK114" s="140"/>
      <c r="BL114" s="140"/>
      <c r="BM114" s="140"/>
      <c r="BN114" s="140"/>
      <c r="BO114" s="140"/>
      <c r="BP114" s="140"/>
      <c r="BQ114" s="140"/>
      <c r="BR114" s="140"/>
      <c r="BS114" s="140"/>
      <c r="BT114" s="140"/>
      <c r="BU114" s="140"/>
      <c r="BV114" s="140"/>
      <c r="BW114" s="140"/>
      <c r="BX114" s="140"/>
      <c r="BY114" s="140"/>
      <c r="BZ114" s="140"/>
      <c r="CA114" s="140"/>
      <c r="CB114" s="140"/>
      <c r="CC114" s="140"/>
      <c r="CD114" s="140"/>
      <c r="CE114" s="140"/>
      <c r="CF114" s="140"/>
      <c r="CG114" s="140"/>
      <c r="CH114" s="140"/>
      <c r="CI114" s="140"/>
      <c r="CJ114" s="140"/>
      <c r="CK114" s="140"/>
      <c r="CL114" s="140"/>
      <c r="CM114" s="140"/>
      <c r="CN114" s="140"/>
      <c r="CO114" s="140"/>
      <c r="CP114" s="140"/>
      <c r="CQ114" s="140"/>
      <c r="CR114" s="140"/>
    </row>
    <row r="115" spans="1:97" ht="30">
      <c r="B115" s="88" t="s">
        <v>209</v>
      </c>
      <c r="C115" s="181" t="s">
        <v>345</v>
      </c>
      <c r="D115" s="46" t="s">
        <v>1</v>
      </c>
      <c r="E115">
        <v>1</v>
      </c>
      <c r="F115">
        <f>G121</f>
        <v>151.94999999999999</v>
      </c>
      <c r="G115" s="104">
        <f t="shared" si="3"/>
        <v>151.94999999999999</v>
      </c>
      <c r="CS115"/>
    </row>
    <row r="116" spans="1:97">
      <c r="B116" s="88" t="s">
        <v>167</v>
      </c>
      <c r="C116" s="181" t="s">
        <v>437</v>
      </c>
      <c r="D116" s="46" t="s">
        <v>3</v>
      </c>
      <c r="E116">
        <v>1.33</v>
      </c>
      <c r="F116">
        <f>TRUNC(22.56,2)</f>
        <v>22.56</v>
      </c>
      <c r="G116" s="104">
        <f t="shared" si="3"/>
        <v>30</v>
      </c>
      <c r="CS116"/>
    </row>
    <row r="117" spans="1:97">
      <c r="B117" s="88" t="s">
        <v>168</v>
      </c>
      <c r="C117" s="181" t="s">
        <v>438</v>
      </c>
      <c r="D117" s="46" t="s">
        <v>3</v>
      </c>
      <c r="E117">
        <v>1.103</v>
      </c>
      <c r="F117">
        <f>TRUNC(28.64,2)</f>
        <v>28.64</v>
      </c>
      <c r="G117" s="104">
        <f t="shared" si="3"/>
        <v>31.58</v>
      </c>
      <c r="CS117"/>
    </row>
    <row r="118" spans="1:97">
      <c r="B118" s="88" t="s">
        <v>210</v>
      </c>
      <c r="C118" s="181" t="s">
        <v>439</v>
      </c>
      <c r="D118" s="46" t="s">
        <v>2</v>
      </c>
      <c r="E118">
        <v>0.63300000000000001</v>
      </c>
      <c r="F118">
        <f>TRUNC(19.48,2)</f>
        <v>19.48</v>
      </c>
      <c r="G118" s="104">
        <f t="shared" si="3"/>
        <v>12.33</v>
      </c>
      <c r="CS118"/>
    </row>
    <row r="119" spans="1:97" ht="30">
      <c r="B119" s="88" t="s">
        <v>211</v>
      </c>
      <c r="C119" s="181" t="s">
        <v>440</v>
      </c>
      <c r="D119" s="46" t="s">
        <v>2</v>
      </c>
      <c r="E119">
        <v>3.8519999999999999</v>
      </c>
      <c r="F119">
        <f>TRUNC(12.18,2)</f>
        <v>12.18</v>
      </c>
      <c r="G119" s="104">
        <f t="shared" si="3"/>
        <v>46.91</v>
      </c>
      <c r="CS119"/>
    </row>
    <row r="120" spans="1:97" ht="30">
      <c r="B120" s="88" t="s">
        <v>212</v>
      </c>
      <c r="C120" s="181" t="s">
        <v>441</v>
      </c>
      <c r="D120" s="46" t="s">
        <v>0</v>
      </c>
      <c r="E120">
        <v>8.5999999999999993E-2</v>
      </c>
      <c r="F120">
        <f>TRUNC(362.07,2)</f>
        <v>362.07</v>
      </c>
      <c r="G120" s="104">
        <f t="shared" si="3"/>
        <v>31.13</v>
      </c>
      <c r="CS120"/>
    </row>
    <row r="121" spans="1:97" ht="15.75" thickBot="1">
      <c r="B121" s="88"/>
      <c r="C121" s="182"/>
      <c r="E121" t="s">
        <v>4</v>
      </c>
      <c r="G121" s="104">
        <f>TRUNC(SUM(G116:G120),2)</f>
        <v>151.94999999999999</v>
      </c>
      <c r="CS121"/>
    </row>
    <row r="122" spans="1:97" s="41" customFormat="1" ht="15.75" thickBot="1">
      <c r="A122" s="95" t="s">
        <v>33</v>
      </c>
      <c r="B122" s="96"/>
      <c r="C122" s="185"/>
      <c r="D122" s="95"/>
      <c r="E122" s="98"/>
      <c r="F122" s="98" t="s">
        <v>214</v>
      </c>
      <c r="G122" s="82">
        <f>G84+G114</f>
        <v>2556.7600000000002</v>
      </c>
      <c r="H122" s="70"/>
      <c r="I122" s="70"/>
      <c r="J122" s="70"/>
      <c r="K122" s="70"/>
      <c r="L122" s="70"/>
      <c r="M122" s="70"/>
      <c r="N122" s="70"/>
      <c r="O122" s="70"/>
      <c r="P122" s="70"/>
      <c r="Q122" s="70"/>
      <c r="R122" s="70"/>
      <c r="S122" s="70"/>
      <c r="T122" s="70"/>
      <c r="U122" s="70"/>
      <c r="V122" s="70"/>
      <c r="W122" s="70"/>
      <c r="X122" s="70"/>
      <c r="Y122" s="70"/>
      <c r="Z122" s="70"/>
      <c r="AA122" s="70"/>
      <c r="AB122" s="70"/>
      <c r="AC122" s="70"/>
      <c r="AD122" s="70"/>
      <c r="AE122" s="70"/>
      <c r="AF122" s="70"/>
      <c r="AG122" s="70"/>
      <c r="AH122" s="70"/>
      <c r="AI122" s="70"/>
      <c r="AJ122" s="70"/>
      <c r="AK122" s="70"/>
      <c r="AL122" s="70"/>
      <c r="AM122" s="70"/>
      <c r="AN122" s="70"/>
      <c r="AO122" s="70"/>
      <c r="AP122" s="70"/>
      <c r="AQ122" s="70"/>
      <c r="AR122" s="70"/>
      <c r="AS122" s="70"/>
      <c r="AT122" s="70"/>
      <c r="AU122" s="70"/>
      <c r="AV122" s="70"/>
      <c r="AW122" s="70"/>
      <c r="AX122" s="70"/>
      <c r="AY122" s="70"/>
      <c r="AZ122" s="70"/>
      <c r="BA122" s="70"/>
      <c r="BB122" s="70"/>
      <c r="BC122" s="70"/>
      <c r="BD122" s="70"/>
      <c r="BE122" s="70"/>
      <c r="BF122" s="70"/>
      <c r="BG122" s="70"/>
      <c r="BH122" s="70"/>
      <c r="BI122" s="70"/>
      <c r="BJ122" s="70"/>
      <c r="BK122" s="70"/>
      <c r="BL122" s="70"/>
      <c r="BM122" s="70"/>
      <c r="BN122" s="70"/>
      <c r="BO122" s="70"/>
      <c r="BP122" s="70"/>
      <c r="BQ122" s="70"/>
      <c r="BR122" s="70"/>
      <c r="BS122" s="70"/>
      <c r="BT122" s="70"/>
      <c r="BU122" s="70"/>
      <c r="BV122" s="70"/>
      <c r="BW122" s="70"/>
      <c r="BX122" s="70"/>
      <c r="BY122" s="70"/>
      <c r="BZ122" s="70"/>
      <c r="CA122" s="70"/>
      <c r="CB122" s="70"/>
      <c r="CC122" s="70"/>
      <c r="CD122" s="70"/>
      <c r="CE122" s="70"/>
      <c r="CF122" s="70"/>
      <c r="CG122" s="70"/>
      <c r="CH122" s="70"/>
      <c r="CI122" s="70"/>
      <c r="CJ122" s="70"/>
      <c r="CK122" s="70"/>
      <c r="CL122" s="70"/>
      <c r="CM122" s="70"/>
      <c r="CN122" s="70"/>
      <c r="CO122" s="70"/>
      <c r="CP122" s="70"/>
      <c r="CQ122" s="70"/>
      <c r="CR122" s="70"/>
    </row>
    <row r="123" spans="1:97" s="41" customFormat="1" ht="15.75" thickBot="1">
      <c r="A123" s="95" t="s">
        <v>66</v>
      </c>
      <c r="B123" s="96"/>
      <c r="C123" s="164" t="s">
        <v>346</v>
      </c>
      <c r="D123" s="95" t="s">
        <v>49</v>
      </c>
      <c r="E123" s="98"/>
      <c r="F123" s="98"/>
      <c r="G123" s="82"/>
      <c r="H123" s="70"/>
      <c r="I123" s="70"/>
      <c r="J123" s="70"/>
      <c r="K123" s="70"/>
      <c r="L123" s="70"/>
      <c r="M123" s="70"/>
      <c r="N123" s="70"/>
      <c r="O123" s="70"/>
      <c r="P123" s="70"/>
      <c r="Q123" s="70"/>
      <c r="R123" s="70"/>
      <c r="S123" s="70"/>
      <c r="T123" s="70"/>
      <c r="U123" s="70"/>
      <c r="V123" s="70"/>
      <c r="W123" s="70"/>
      <c r="X123" s="70"/>
      <c r="Y123" s="70"/>
      <c r="Z123" s="70"/>
      <c r="AA123" s="70"/>
      <c r="AB123" s="70"/>
      <c r="AC123" s="70"/>
      <c r="AD123" s="70"/>
      <c r="AE123" s="70"/>
      <c r="AF123" s="70"/>
      <c r="AG123" s="70"/>
      <c r="AH123" s="70"/>
      <c r="AI123" s="70"/>
      <c r="AJ123" s="70"/>
      <c r="AK123" s="70"/>
      <c r="AL123" s="70"/>
      <c r="AM123" s="70"/>
      <c r="AN123" s="70"/>
      <c r="AO123" s="70"/>
      <c r="AP123" s="70"/>
      <c r="AQ123" s="70"/>
      <c r="AR123" s="70"/>
      <c r="AS123" s="70"/>
      <c r="AT123" s="70"/>
      <c r="AU123" s="70"/>
      <c r="AV123" s="70"/>
      <c r="AW123" s="70"/>
      <c r="AX123" s="70"/>
      <c r="AY123" s="70"/>
      <c r="AZ123" s="70"/>
      <c r="BA123" s="70"/>
      <c r="BB123" s="70"/>
      <c r="BC123" s="70"/>
      <c r="BD123" s="70"/>
      <c r="BE123" s="70"/>
      <c r="BF123" s="70"/>
      <c r="BG123" s="70"/>
      <c r="BH123" s="70"/>
      <c r="BI123" s="70"/>
      <c r="BJ123" s="70"/>
      <c r="BK123" s="70"/>
      <c r="BL123" s="70"/>
      <c r="BM123" s="70"/>
      <c r="BN123" s="70"/>
      <c r="BO123" s="70"/>
      <c r="BP123" s="70"/>
      <c r="BQ123" s="70"/>
      <c r="BR123" s="70"/>
      <c r="BS123" s="70"/>
      <c r="BT123" s="70"/>
      <c r="BU123" s="70"/>
      <c r="BV123" s="70"/>
      <c r="BW123" s="70"/>
      <c r="BX123" s="70"/>
      <c r="BY123" s="70"/>
      <c r="BZ123" s="70"/>
      <c r="CA123" s="70"/>
      <c r="CB123" s="70"/>
      <c r="CC123" s="70"/>
      <c r="CD123" s="70"/>
      <c r="CE123" s="70"/>
      <c r="CF123" s="70"/>
      <c r="CG123" s="70"/>
      <c r="CH123" s="70"/>
      <c r="CI123" s="70"/>
      <c r="CJ123" s="70"/>
      <c r="CK123" s="70"/>
      <c r="CL123" s="70"/>
      <c r="CM123" s="70"/>
      <c r="CN123" s="70"/>
      <c r="CO123" s="70"/>
      <c r="CP123" s="70"/>
      <c r="CQ123" s="70"/>
      <c r="CR123" s="70"/>
    </row>
    <row r="124" spans="1:97" ht="30.75" thickBot="1">
      <c r="A124" s="93" t="s">
        <v>68</v>
      </c>
      <c r="B124" s="94" t="s">
        <v>541</v>
      </c>
      <c r="C124" s="163" t="s">
        <v>549</v>
      </c>
      <c r="D124" s="93" t="s">
        <v>51</v>
      </c>
      <c r="E124" s="92">
        <v>9.6999999999999993</v>
      </c>
      <c r="F124" s="81">
        <f>TRUNC(F125,2)</f>
        <v>99.72</v>
      </c>
      <c r="G124" s="103">
        <f t="shared" ref="G124:G131" si="4">TRUNC(E124*F124,2)</f>
        <v>967.28</v>
      </c>
      <c r="CS124"/>
    </row>
    <row r="125" spans="1:97" ht="45">
      <c r="B125" s="88" t="s">
        <v>541</v>
      </c>
      <c r="C125" s="181" t="s">
        <v>542</v>
      </c>
      <c r="D125" s="46" t="s">
        <v>51</v>
      </c>
      <c r="E125">
        <v>1</v>
      </c>
      <c r="F125" s="105">
        <f>G132</f>
        <v>99.72</v>
      </c>
      <c r="G125" s="104">
        <f t="shared" si="4"/>
        <v>99.72</v>
      </c>
      <c r="CS125"/>
    </row>
    <row r="126" spans="1:97">
      <c r="B126" s="88" t="s">
        <v>543</v>
      </c>
      <c r="C126" s="181" t="s">
        <v>544</v>
      </c>
      <c r="D126" s="46" t="s">
        <v>6</v>
      </c>
      <c r="E126">
        <v>13.35</v>
      </c>
      <c r="F126">
        <f>TRUNC(3.68,2)</f>
        <v>3.68</v>
      </c>
      <c r="G126" s="104">
        <f t="shared" si="4"/>
        <v>49.12</v>
      </c>
      <c r="CS126"/>
    </row>
    <row r="127" spans="1:97">
      <c r="B127" s="88" t="s">
        <v>165</v>
      </c>
      <c r="C127" s="181" t="s">
        <v>545</v>
      </c>
      <c r="D127" s="46" t="s">
        <v>166</v>
      </c>
      <c r="E127">
        <v>1.89E-2</v>
      </c>
      <c r="F127">
        <f>TRUNC(42.14,2)</f>
        <v>42.14</v>
      </c>
      <c r="G127" s="104">
        <f t="shared" si="4"/>
        <v>0.79</v>
      </c>
      <c r="CS127"/>
    </row>
    <row r="128" spans="1:97" ht="30">
      <c r="B128" s="88" t="s">
        <v>546</v>
      </c>
      <c r="C128" s="181" t="s">
        <v>547</v>
      </c>
      <c r="D128" s="46" t="s">
        <v>1</v>
      </c>
      <c r="E128">
        <v>0.78500000000000003</v>
      </c>
      <c r="F128">
        <f>TRUNC(5.13,2)</f>
        <v>5.13</v>
      </c>
      <c r="G128" s="104">
        <f t="shared" si="4"/>
        <v>4.0199999999999996</v>
      </c>
      <c r="CS128"/>
    </row>
    <row r="129" spans="1:97">
      <c r="B129" s="88" t="s">
        <v>167</v>
      </c>
      <c r="C129" s="181" t="s">
        <v>530</v>
      </c>
      <c r="D129" s="46" t="s">
        <v>3</v>
      </c>
      <c r="E129">
        <v>0.495</v>
      </c>
      <c r="F129">
        <f>TRUNC(22.56,2)</f>
        <v>22.56</v>
      </c>
      <c r="G129" s="104">
        <f t="shared" si="4"/>
        <v>11.16</v>
      </c>
      <c r="CS129"/>
    </row>
    <row r="130" spans="1:97">
      <c r="B130" s="88" t="s">
        <v>168</v>
      </c>
      <c r="C130" s="181" t="s">
        <v>531</v>
      </c>
      <c r="D130" s="46" t="s">
        <v>3</v>
      </c>
      <c r="E130">
        <v>0.99</v>
      </c>
      <c r="F130">
        <f>TRUNC(28.64,2)</f>
        <v>28.64</v>
      </c>
      <c r="G130" s="104">
        <f t="shared" si="4"/>
        <v>28.35</v>
      </c>
      <c r="CS130"/>
    </row>
    <row r="131" spans="1:97" ht="45">
      <c r="B131" s="88" t="s">
        <v>169</v>
      </c>
      <c r="C131" s="181" t="s">
        <v>548</v>
      </c>
      <c r="D131" s="46" t="s">
        <v>0</v>
      </c>
      <c r="E131">
        <v>1.38E-2</v>
      </c>
      <c r="F131">
        <f>TRUNC(455.32,2)</f>
        <v>455.32</v>
      </c>
      <c r="G131" s="104">
        <f t="shared" si="4"/>
        <v>6.28</v>
      </c>
      <c r="CS131"/>
    </row>
    <row r="132" spans="1:97" ht="15.75" thickBot="1">
      <c r="B132" s="88"/>
      <c r="C132" s="181"/>
      <c r="E132" t="s">
        <v>4</v>
      </c>
      <c r="G132" s="104">
        <f>TRUNC(SUM(G126:G131),2)</f>
        <v>99.72</v>
      </c>
      <c r="CS132"/>
    </row>
    <row r="133" spans="1:97" ht="30.75" thickBot="1">
      <c r="A133" s="93" t="s">
        <v>69</v>
      </c>
      <c r="B133" s="94" t="s">
        <v>109</v>
      </c>
      <c r="C133" s="184" t="s">
        <v>347</v>
      </c>
      <c r="D133" s="93" t="s">
        <v>51</v>
      </c>
      <c r="E133" s="92">
        <v>23.35</v>
      </c>
      <c r="F133" s="81">
        <f>TRUNC(F134,2)</f>
        <v>39.619999999999997</v>
      </c>
      <c r="G133" s="103">
        <f t="shared" ref="G133:G138" si="5">TRUNC(E133*F133,2)</f>
        <v>925.12</v>
      </c>
      <c r="CS133"/>
    </row>
    <row r="134" spans="1:97" ht="30">
      <c r="B134" s="88" t="s">
        <v>170</v>
      </c>
      <c r="C134" s="181" t="s">
        <v>347</v>
      </c>
      <c r="D134" s="46" t="s">
        <v>51</v>
      </c>
      <c r="E134">
        <v>1</v>
      </c>
      <c r="F134">
        <f>G139</f>
        <v>39.619999999999997</v>
      </c>
      <c r="G134" s="104">
        <f t="shared" si="5"/>
        <v>39.619999999999997</v>
      </c>
      <c r="CS134"/>
    </row>
    <row r="135" spans="1:97">
      <c r="B135" s="88" t="s">
        <v>171</v>
      </c>
      <c r="C135" s="181" t="s">
        <v>442</v>
      </c>
      <c r="D135" s="46" t="s">
        <v>51</v>
      </c>
      <c r="E135">
        <v>0.15809999999999999</v>
      </c>
      <c r="F135">
        <f>TRUNC(14.48,2)</f>
        <v>14.48</v>
      </c>
      <c r="G135" s="104">
        <f t="shared" si="5"/>
        <v>2.2799999999999998</v>
      </c>
      <c r="CS135"/>
    </row>
    <row r="136" spans="1:97">
      <c r="B136" s="88" t="s">
        <v>167</v>
      </c>
      <c r="C136" s="181" t="s">
        <v>437</v>
      </c>
      <c r="D136" s="46" t="s">
        <v>3</v>
      </c>
      <c r="E136">
        <v>0.4</v>
      </c>
      <c r="F136">
        <f>TRUNC(22.56,2)</f>
        <v>22.56</v>
      </c>
      <c r="G136" s="104">
        <f t="shared" si="5"/>
        <v>9.02</v>
      </c>
      <c r="CS136"/>
    </row>
    <row r="137" spans="1:97">
      <c r="B137" s="88" t="s">
        <v>168</v>
      </c>
      <c r="C137" s="181" t="s">
        <v>438</v>
      </c>
      <c r="D137" s="46" t="s">
        <v>3</v>
      </c>
      <c r="E137">
        <v>0.4</v>
      </c>
      <c r="F137">
        <f>TRUNC(28.64,2)</f>
        <v>28.64</v>
      </c>
      <c r="G137" s="104">
        <f t="shared" si="5"/>
        <v>11.45</v>
      </c>
      <c r="CS137"/>
    </row>
    <row r="138" spans="1:97" ht="30">
      <c r="B138" s="88" t="s">
        <v>172</v>
      </c>
      <c r="C138" s="181" t="s">
        <v>443</v>
      </c>
      <c r="D138" s="46" t="s">
        <v>0</v>
      </c>
      <c r="E138">
        <v>2.93E-2</v>
      </c>
      <c r="F138">
        <f>TRUNC(576.1,2)</f>
        <v>576.1</v>
      </c>
      <c r="G138" s="104">
        <f t="shared" si="5"/>
        <v>16.87</v>
      </c>
      <c r="CS138"/>
    </row>
    <row r="139" spans="1:97" ht="15.75" thickBot="1">
      <c r="B139" s="88"/>
      <c r="C139" s="182"/>
      <c r="E139" t="s">
        <v>4</v>
      </c>
      <c r="G139" s="104">
        <f>TRUNC(SUM(G135:G138),2)</f>
        <v>39.619999999999997</v>
      </c>
      <c r="CS139"/>
    </row>
    <row r="140" spans="1:97" s="41" customFormat="1" ht="15.75" thickBot="1">
      <c r="A140" s="95" t="s">
        <v>33</v>
      </c>
      <c r="B140" s="96"/>
      <c r="C140" s="185"/>
      <c r="D140" s="95"/>
      <c r="E140" s="98"/>
      <c r="F140" s="98" t="s">
        <v>215</v>
      </c>
      <c r="G140" s="82">
        <f>G124+G133</f>
        <v>1892.4</v>
      </c>
      <c r="H140" s="70"/>
      <c r="I140" s="70"/>
      <c r="J140" s="70"/>
      <c r="K140" s="70"/>
      <c r="L140" s="70"/>
      <c r="M140" s="70"/>
      <c r="N140" s="70"/>
      <c r="O140" s="70"/>
      <c r="P140" s="70"/>
      <c r="Q140" s="70"/>
      <c r="R140" s="70"/>
      <c r="S140" s="70"/>
      <c r="T140" s="70"/>
      <c r="U140" s="70"/>
      <c r="V140" s="70"/>
      <c r="W140" s="70"/>
      <c r="X140" s="70"/>
      <c r="Y140" s="70"/>
      <c r="Z140" s="70"/>
      <c r="AA140" s="70"/>
      <c r="AB140" s="70"/>
      <c r="AC140" s="70"/>
      <c r="AD140" s="70"/>
      <c r="AE140" s="70"/>
      <c r="AF140" s="70"/>
      <c r="AG140" s="70"/>
      <c r="AH140" s="70"/>
      <c r="AI140" s="70"/>
      <c r="AJ140" s="70"/>
      <c r="AK140" s="70"/>
      <c r="AL140" s="70"/>
      <c r="AM140" s="70"/>
      <c r="AN140" s="70"/>
      <c r="AO140" s="70"/>
      <c r="AP140" s="70"/>
      <c r="AQ140" s="70"/>
      <c r="AR140" s="70"/>
      <c r="AS140" s="70"/>
      <c r="AT140" s="70"/>
      <c r="AU140" s="70"/>
      <c r="AV140" s="70"/>
      <c r="AW140" s="70"/>
      <c r="AX140" s="70"/>
      <c r="AY140" s="70"/>
      <c r="AZ140" s="70"/>
      <c r="BA140" s="70"/>
      <c r="BB140" s="70"/>
      <c r="BC140" s="70"/>
      <c r="BD140" s="70"/>
      <c r="BE140" s="70"/>
      <c r="BF140" s="70"/>
      <c r="BG140" s="70"/>
      <c r="BH140" s="70"/>
      <c r="BI140" s="70"/>
      <c r="BJ140" s="70"/>
      <c r="BK140" s="70"/>
      <c r="BL140" s="70"/>
      <c r="BM140" s="70"/>
      <c r="BN140" s="70"/>
      <c r="BO140" s="70"/>
      <c r="BP140" s="70"/>
      <c r="BQ140" s="70"/>
      <c r="BR140" s="70"/>
      <c r="BS140" s="70"/>
      <c r="BT140" s="70"/>
      <c r="BU140" s="70"/>
      <c r="BV140" s="70"/>
      <c r="BW140" s="70"/>
      <c r="BX140" s="70"/>
      <c r="BY140" s="70"/>
      <c r="BZ140" s="70"/>
      <c r="CA140" s="70"/>
      <c r="CB140" s="70"/>
      <c r="CC140" s="70"/>
      <c r="CD140" s="70"/>
      <c r="CE140" s="70"/>
      <c r="CF140" s="70"/>
      <c r="CG140" s="70"/>
      <c r="CH140" s="70"/>
      <c r="CI140" s="70"/>
      <c r="CJ140" s="70"/>
      <c r="CK140" s="70"/>
      <c r="CL140" s="70"/>
      <c r="CM140" s="70"/>
      <c r="CN140" s="70"/>
      <c r="CO140" s="70"/>
      <c r="CP140" s="70"/>
      <c r="CQ140" s="70"/>
      <c r="CR140" s="70"/>
    </row>
    <row r="141" spans="1:97" s="41" customFormat="1" ht="15.75" thickBot="1">
      <c r="A141" s="95" t="s">
        <v>70</v>
      </c>
      <c r="B141" s="96"/>
      <c r="C141" s="164" t="s">
        <v>348</v>
      </c>
      <c r="D141" s="95" t="s">
        <v>49</v>
      </c>
      <c r="E141" s="98"/>
      <c r="F141" s="98"/>
      <c r="G141" s="82"/>
      <c r="H141" s="70"/>
      <c r="I141" s="70"/>
      <c r="J141" s="70"/>
      <c r="K141" s="70"/>
      <c r="L141" s="70"/>
      <c r="M141" s="70"/>
      <c r="N141" s="70"/>
      <c r="O141" s="70"/>
      <c r="P141" s="70"/>
      <c r="Q141" s="70"/>
      <c r="R141" s="70"/>
      <c r="S141" s="70"/>
      <c r="T141" s="70"/>
      <c r="U141" s="70"/>
      <c r="V141" s="70"/>
      <c r="W141" s="70"/>
      <c r="X141" s="70"/>
      <c r="Y141" s="70"/>
      <c r="Z141" s="70"/>
      <c r="AA141" s="70"/>
      <c r="AB141" s="70"/>
      <c r="AC141" s="70"/>
      <c r="AD141" s="70"/>
      <c r="AE141" s="70"/>
      <c r="AF141" s="70"/>
      <c r="AG141" s="70"/>
      <c r="AH141" s="70"/>
      <c r="AI141" s="70"/>
      <c r="AJ141" s="70"/>
      <c r="AK141" s="70"/>
      <c r="AL141" s="70"/>
      <c r="AM141" s="70"/>
      <c r="AN141" s="70"/>
      <c r="AO141" s="70"/>
      <c r="AP141" s="70"/>
      <c r="AQ141" s="70"/>
      <c r="AR141" s="70"/>
      <c r="AS141" s="70"/>
      <c r="AT141" s="70"/>
      <c r="AU141" s="70"/>
      <c r="AV141" s="70"/>
      <c r="AW141" s="70"/>
      <c r="AX141" s="70"/>
      <c r="AY141" s="70"/>
      <c r="AZ141" s="70"/>
      <c r="BA141" s="70"/>
      <c r="BB141" s="70"/>
      <c r="BC141" s="70"/>
      <c r="BD141" s="70"/>
      <c r="BE141" s="70"/>
      <c r="BF141" s="70"/>
      <c r="BG141" s="70"/>
      <c r="BH141" s="70"/>
      <c r="BI141" s="70"/>
      <c r="BJ141" s="70"/>
      <c r="BK141" s="70"/>
      <c r="BL141" s="70"/>
      <c r="BM141" s="70"/>
      <c r="BN141" s="70"/>
      <c r="BO141" s="70"/>
      <c r="BP141" s="70"/>
      <c r="BQ141" s="70"/>
      <c r="BR141" s="70"/>
      <c r="BS141" s="70"/>
      <c r="BT141" s="70"/>
      <c r="BU141" s="70"/>
      <c r="BV141" s="70"/>
      <c r="BW141" s="70"/>
      <c r="BX141" s="70"/>
      <c r="BY141" s="70"/>
      <c r="BZ141" s="70"/>
      <c r="CA141" s="70"/>
      <c r="CB141" s="70"/>
      <c r="CC141" s="70"/>
      <c r="CD141" s="70"/>
      <c r="CE141" s="70"/>
      <c r="CF141" s="70"/>
      <c r="CG141" s="70"/>
      <c r="CH141" s="70"/>
      <c r="CI141" s="70"/>
      <c r="CJ141" s="70"/>
      <c r="CK141" s="70"/>
      <c r="CL141" s="70"/>
      <c r="CM141" s="70"/>
      <c r="CN141" s="70"/>
      <c r="CO141" s="70"/>
      <c r="CP141" s="70"/>
      <c r="CQ141" s="70"/>
      <c r="CR141" s="70"/>
    </row>
    <row r="142" spans="1:97" ht="45.75" thickBot="1">
      <c r="A142" s="93" t="s">
        <v>71</v>
      </c>
      <c r="B142" s="94" t="s">
        <v>234</v>
      </c>
      <c r="C142" s="163" t="s">
        <v>349</v>
      </c>
      <c r="D142" s="93" t="s">
        <v>235</v>
      </c>
      <c r="E142" s="92">
        <v>126.3</v>
      </c>
      <c r="F142" s="81">
        <f>TRUNC(F143+F147,2)</f>
        <v>100.04</v>
      </c>
      <c r="G142" s="103">
        <f>TRUNC(E142*F142,2)</f>
        <v>12635.05</v>
      </c>
      <c r="CS142"/>
    </row>
    <row r="143" spans="1:97" ht="30">
      <c r="B143" s="88" t="s">
        <v>226</v>
      </c>
      <c r="C143" s="181" t="s">
        <v>444</v>
      </c>
      <c r="D143" s="46" t="s">
        <v>51</v>
      </c>
      <c r="E143">
        <v>1</v>
      </c>
      <c r="F143" s="105">
        <f>G146</f>
        <v>10.47</v>
      </c>
      <c r="G143" s="104">
        <f>TRUNC(E143*F143,2)</f>
        <v>10.47</v>
      </c>
      <c r="CS143"/>
    </row>
    <row r="144" spans="1:97">
      <c r="B144" s="88" t="s">
        <v>227</v>
      </c>
      <c r="C144" s="181" t="s">
        <v>445</v>
      </c>
      <c r="D144" s="46" t="s">
        <v>95</v>
      </c>
      <c r="E144">
        <v>5.808E-2</v>
      </c>
      <c r="F144">
        <f>TRUNC(26.5,2)</f>
        <v>26.5</v>
      </c>
      <c r="G144" s="104">
        <f>TRUNC(E144*F144,2)</f>
        <v>1.53</v>
      </c>
      <c r="CS144"/>
    </row>
    <row r="145" spans="1:97">
      <c r="B145" s="88" t="s">
        <v>39</v>
      </c>
      <c r="C145" s="181" t="s">
        <v>383</v>
      </c>
      <c r="D145" s="46" t="s">
        <v>3</v>
      </c>
      <c r="E145">
        <v>0.54075000000000006</v>
      </c>
      <c r="F145">
        <f>TRUNC(16.55,2)</f>
        <v>16.55</v>
      </c>
      <c r="G145" s="104">
        <f>TRUNC(E145*F145,2)</f>
        <v>8.94</v>
      </c>
      <c r="CS145"/>
    </row>
    <row r="146" spans="1:97">
      <c r="B146" s="88"/>
      <c r="C146" s="182"/>
      <c r="E146" t="s">
        <v>4</v>
      </c>
      <c r="G146" s="104">
        <f>TRUNC(SUM(G144:G145),2)</f>
        <v>10.47</v>
      </c>
      <c r="CS146"/>
    </row>
    <row r="147" spans="1:97" ht="30">
      <c r="B147" s="88" t="s">
        <v>228</v>
      </c>
      <c r="C147" s="181" t="s">
        <v>446</v>
      </c>
      <c r="D147" s="46" t="s">
        <v>51</v>
      </c>
      <c r="E147">
        <v>1</v>
      </c>
      <c r="F147" s="105">
        <f>G153</f>
        <v>89.57</v>
      </c>
      <c r="G147" s="104">
        <f t="shared" ref="G147:G152" si="6">TRUNC(E147*F147,2)</f>
        <v>89.57</v>
      </c>
      <c r="CS147"/>
    </row>
    <row r="148" spans="1:97">
      <c r="B148" s="88" t="s">
        <v>229</v>
      </c>
      <c r="C148" s="181" t="s">
        <v>447</v>
      </c>
      <c r="D148" s="46" t="s">
        <v>2</v>
      </c>
      <c r="E148">
        <v>0.26</v>
      </c>
      <c r="F148">
        <f>TRUNC(5.83,2)</f>
        <v>5.83</v>
      </c>
      <c r="G148" s="104">
        <f t="shared" si="6"/>
        <v>1.51</v>
      </c>
      <c r="CS148"/>
    </row>
    <row r="149" spans="1:97">
      <c r="B149" s="88" t="s">
        <v>230</v>
      </c>
      <c r="C149" s="181" t="s">
        <v>448</v>
      </c>
      <c r="D149" s="46" t="s">
        <v>51</v>
      </c>
      <c r="E149">
        <v>1.125</v>
      </c>
      <c r="F149">
        <f>TRUNC(42.49,2)</f>
        <v>42.49</v>
      </c>
      <c r="G149" s="104">
        <f t="shared" si="6"/>
        <v>47.8</v>
      </c>
      <c r="CS149"/>
    </row>
    <row r="150" spans="1:97">
      <c r="B150" s="88" t="s">
        <v>231</v>
      </c>
      <c r="C150" s="181" t="s">
        <v>449</v>
      </c>
      <c r="D150" s="46" t="s">
        <v>200</v>
      </c>
      <c r="E150">
        <v>0.61499999999999999</v>
      </c>
      <c r="F150">
        <f>TRUNC(12.88,2)</f>
        <v>12.88</v>
      </c>
      <c r="G150" s="104">
        <f t="shared" si="6"/>
        <v>7.92</v>
      </c>
      <c r="CS150"/>
    </row>
    <row r="151" spans="1:97">
      <c r="B151" s="88" t="s">
        <v>232</v>
      </c>
      <c r="C151" s="181" t="s">
        <v>450</v>
      </c>
      <c r="D151" s="46" t="s">
        <v>3</v>
      </c>
      <c r="E151">
        <v>0.94799999999999995</v>
      </c>
      <c r="F151">
        <f>TRUNC(28.64,2)</f>
        <v>28.64</v>
      </c>
      <c r="G151" s="104">
        <f t="shared" si="6"/>
        <v>27.15</v>
      </c>
      <c r="CS151"/>
    </row>
    <row r="152" spans="1:97">
      <c r="B152" s="88" t="s">
        <v>233</v>
      </c>
      <c r="C152" s="181" t="s">
        <v>451</v>
      </c>
      <c r="D152" s="46" t="s">
        <v>3</v>
      </c>
      <c r="E152">
        <v>0.192</v>
      </c>
      <c r="F152">
        <f>TRUNC(27.06,2)</f>
        <v>27.06</v>
      </c>
      <c r="G152" s="104">
        <f t="shared" si="6"/>
        <v>5.19</v>
      </c>
      <c r="CS152"/>
    </row>
    <row r="153" spans="1:97" ht="15.75" thickBot="1">
      <c r="B153" s="88"/>
      <c r="C153" s="182"/>
      <c r="E153" t="s">
        <v>4</v>
      </c>
      <c r="G153" s="104">
        <f>TRUNC(SUM(G148:G152),2)</f>
        <v>89.57</v>
      </c>
      <c r="CS153"/>
    </row>
    <row r="154" spans="1:97" ht="75.75" thickBot="1">
      <c r="A154" s="93" t="s">
        <v>224</v>
      </c>
      <c r="B154" s="94" t="s">
        <v>282</v>
      </c>
      <c r="C154" s="184" t="s">
        <v>350</v>
      </c>
      <c r="D154" s="93" t="s">
        <v>51</v>
      </c>
      <c r="E154" s="92">
        <v>421</v>
      </c>
      <c r="F154" s="81">
        <f>TRUNC(F155,2)</f>
        <v>138.80000000000001</v>
      </c>
      <c r="G154" s="103">
        <f>TRUNC(E154*F154,2)</f>
        <v>58434.8</v>
      </c>
      <c r="CS154"/>
    </row>
    <row r="155" spans="1:97" ht="75">
      <c r="B155" s="88" t="s">
        <v>282</v>
      </c>
      <c r="C155" s="181" t="s">
        <v>350</v>
      </c>
      <c r="D155" s="46" t="s">
        <v>51</v>
      </c>
      <c r="E155">
        <v>1</v>
      </c>
      <c r="F155">
        <f>G157</f>
        <v>138.80000000000001</v>
      </c>
      <c r="G155" s="104">
        <f>TRUNC(E155*F155,2)</f>
        <v>138.80000000000001</v>
      </c>
      <c r="CS155"/>
    </row>
    <row r="156" spans="1:97">
      <c r="B156" s="88" t="s">
        <v>283</v>
      </c>
      <c r="C156" s="181" t="s">
        <v>284</v>
      </c>
      <c r="D156" s="46" t="s">
        <v>51</v>
      </c>
      <c r="E156">
        <v>1</v>
      </c>
      <c r="F156">
        <v>138.80000000000001</v>
      </c>
      <c r="G156" s="104">
        <f>TRUNC(E156*F156,2)</f>
        <v>138.80000000000001</v>
      </c>
      <c r="CS156"/>
    </row>
    <row r="157" spans="1:97">
      <c r="B157" s="88"/>
      <c r="C157" s="182"/>
      <c r="E157" t="s">
        <v>4</v>
      </c>
      <c r="G157" s="104">
        <f>TRUNC(SUM(G156:G156),2)</f>
        <v>138.80000000000001</v>
      </c>
      <c r="CS157"/>
    </row>
    <row r="158" spans="1:97" ht="15.75" thickBot="1">
      <c r="B158" s="88"/>
      <c r="C158" s="182"/>
      <c r="G158" s="104"/>
      <c r="CS158"/>
    </row>
    <row r="159" spans="1:97" ht="30.75" thickBot="1">
      <c r="A159" s="93" t="s">
        <v>225</v>
      </c>
      <c r="B159" s="94" t="s">
        <v>309</v>
      </c>
      <c r="C159" s="184" t="s">
        <v>351</v>
      </c>
      <c r="D159" s="93" t="s">
        <v>51</v>
      </c>
      <c r="E159" s="92">
        <v>65.400000000000006</v>
      </c>
      <c r="F159" s="81">
        <f>TRUNC(F160,2)</f>
        <v>69.48</v>
      </c>
      <c r="G159" s="103">
        <f>TRUNC(E159*F159,2)</f>
        <v>4543.99</v>
      </c>
      <c r="CS159"/>
    </row>
    <row r="160" spans="1:97" ht="30">
      <c r="B160" s="88" t="s">
        <v>173</v>
      </c>
      <c r="C160" s="181" t="s">
        <v>452</v>
      </c>
      <c r="D160" s="46" t="s">
        <v>51</v>
      </c>
      <c r="E160">
        <v>1</v>
      </c>
      <c r="F160">
        <f>G169</f>
        <v>69.48</v>
      </c>
      <c r="G160" s="104">
        <f t="shared" ref="G160:G168" si="7">TRUNC(E160*F160,2)</f>
        <v>69.48</v>
      </c>
      <c r="CS160"/>
    </row>
    <row r="161" spans="1:97" s="41" customFormat="1" ht="30">
      <c r="A161" s="143"/>
      <c r="B161" s="144" t="s">
        <v>304</v>
      </c>
      <c r="C161" s="186" t="s">
        <v>453</v>
      </c>
      <c r="D161" s="143" t="s">
        <v>51</v>
      </c>
      <c r="E161" s="41">
        <v>1.1224000000000001</v>
      </c>
      <c r="F161" s="41">
        <v>6.75</v>
      </c>
      <c r="G161" s="145">
        <f t="shared" si="7"/>
        <v>7.57</v>
      </c>
      <c r="H161" s="70"/>
      <c r="I161" s="70"/>
      <c r="J161" s="70"/>
      <c r="K161" s="70"/>
      <c r="L161" s="70"/>
      <c r="M161" s="70"/>
      <c r="N161" s="70"/>
      <c r="O161" s="70"/>
      <c r="P161" s="70"/>
      <c r="Q161" s="70"/>
      <c r="R161" s="70"/>
      <c r="S161" s="70"/>
      <c r="T161" s="70"/>
      <c r="U161" s="70"/>
      <c r="V161" s="70"/>
      <c r="W161" s="70"/>
      <c r="X161" s="70"/>
      <c r="Y161" s="70"/>
      <c r="Z161" s="70"/>
      <c r="AA161" s="70"/>
      <c r="AB161" s="70"/>
      <c r="AC161" s="70"/>
      <c r="AD161" s="70"/>
      <c r="AE161" s="70"/>
      <c r="AF161" s="70"/>
      <c r="AG161" s="70"/>
      <c r="AH161" s="70"/>
      <c r="AI161" s="70"/>
      <c r="AJ161" s="70"/>
      <c r="AK161" s="70"/>
      <c r="AL161" s="70"/>
      <c r="AM161" s="70"/>
      <c r="AN161" s="70"/>
      <c r="AO161" s="70"/>
      <c r="AP161" s="70"/>
      <c r="AQ161" s="70"/>
      <c r="AR161" s="70"/>
      <c r="AS161" s="70"/>
      <c r="AT161" s="70"/>
      <c r="AU161" s="70"/>
      <c r="AV161" s="70"/>
      <c r="AW161" s="70"/>
      <c r="AX161" s="70"/>
      <c r="AY161" s="70"/>
      <c r="AZ161" s="70"/>
      <c r="BA161" s="70"/>
      <c r="BB161" s="70"/>
      <c r="BC161" s="70"/>
      <c r="BD161" s="70"/>
      <c r="BE161" s="70"/>
      <c r="BF161" s="70"/>
      <c r="BG161" s="70"/>
      <c r="BH161" s="70"/>
      <c r="BI161" s="70"/>
      <c r="BJ161" s="70"/>
      <c r="BK161" s="70"/>
      <c r="BL161" s="70"/>
      <c r="BM161" s="70"/>
      <c r="BN161" s="70"/>
      <c r="BO161" s="70"/>
      <c r="BP161" s="70"/>
      <c r="BQ161" s="70"/>
      <c r="BR161" s="70"/>
      <c r="BS161" s="70"/>
      <c r="BT161" s="70"/>
      <c r="BU161" s="70"/>
      <c r="BV161" s="70"/>
      <c r="BW161" s="70"/>
      <c r="BX161" s="70"/>
      <c r="BY161" s="70"/>
      <c r="BZ161" s="70"/>
      <c r="CA161" s="70"/>
      <c r="CB161" s="70"/>
      <c r="CC161" s="70"/>
      <c r="CD161" s="70"/>
      <c r="CE161" s="70"/>
      <c r="CF161" s="70"/>
      <c r="CG161" s="70"/>
      <c r="CH161" s="70"/>
      <c r="CI161" s="70"/>
      <c r="CJ161" s="70"/>
      <c r="CK161" s="70"/>
      <c r="CL161" s="70"/>
      <c r="CM161" s="70"/>
      <c r="CN161" s="70"/>
      <c r="CO161" s="70"/>
      <c r="CP161" s="70"/>
      <c r="CQ161" s="70"/>
      <c r="CR161" s="70"/>
    </row>
    <row r="162" spans="1:97">
      <c r="B162" s="88" t="s">
        <v>174</v>
      </c>
      <c r="C162" s="181" t="s">
        <v>454</v>
      </c>
      <c r="D162" s="46" t="s">
        <v>1</v>
      </c>
      <c r="E162">
        <v>0.2</v>
      </c>
      <c r="F162">
        <f>TRUNC(2.09,2)</f>
        <v>2.09</v>
      </c>
      <c r="G162" s="104">
        <f t="shared" si="7"/>
        <v>0.41</v>
      </c>
      <c r="CS162"/>
    </row>
    <row r="163" spans="1:97">
      <c r="B163" s="88" t="s">
        <v>175</v>
      </c>
      <c r="C163" s="181" t="s">
        <v>455</v>
      </c>
      <c r="D163" s="46" t="s">
        <v>1</v>
      </c>
      <c r="E163">
        <v>0.25</v>
      </c>
      <c r="F163">
        <f>TRUNC(5.82,2)</f>
        <v>5.82</v>
      </c>
      <c r="G163" s="104">
        <f t="shared" si="7"/>
        <v>1.45</v>
      </c>
      <c r="CS163"/>
    </row>
    <row r="164" spans="1:97" s="41" customFormat="1">
      <c r="A164" s="143"/>
      <c r="B164" s="144" t="s">
        <v>176</v>
      </c>
      <c r="C164" s="186" t="s">
        <v>456</v>
      </c>
      <c r="D164" s="143" t="s">
        <v>51</v>
      </c>
      <c r="F164" s="41">
        <f>TRUNC(1,2)</f>
        <v>1</v>
      </c>
      <c r="G164" s="145">
        <f t="shared" si="7"/>
        <v>0</v>
      </c>
      <c r="H164" s="70"/>
      <c r="I164" s="70"/>
      <c r="J164" s="70"/>
      <c r="K164" s="70"/>
      <c r="L164" s="70"/>
      <c r="M164" s="70"/>
      <c r="N164" s="70"/>
      <c r="O164" s="70"/>
      <c r="P164" s="70"/>
      <c r="Q164" s="70"/>
      <c r="R164" s="70"/>
      <c r="S164" s="70"/>
      <c r="T164" s="70"/>
      <c r="U164" s="70"/>
      <c r="V164" s="70"/>
      <c r="W164" s="70"/>
      <c r="X164" s="70"/>
      <c r="Y164" s="70"/>
      <c r="Z164" s="70"/>
      <c r="AA164" s="70"/>
      <c r="AB164" s="70"/>
      <c r="AC164" s="70"/>
      <c r="AD164" s="70"/>
      <c r="AE164" s="70"/>
      <c r="AF164" s="70"/>
      <c r="AG164" s="70"/>
      <c r="AH164" s="70"/>
      <c r="AI164" s="70"/>
      <c r="AJ164" s="70"/>
      <c r="AK164" s="70"/>
      <c r="AL164" s="70"/>
      <c r="AM164" s="70"/>
      <c r="AN164" s="70"/>
      <c r="AO164" s="70"/>
      <c r="AP164" s="70"/>
      <c r="AQ164" s="70"/>
      <c r="AR164" s="70"/>
      <c r="AS164" s="70"/>
      <c r="AT164" s="70"/>
      <c r="AU164" s="70"/>
      <c r="AV164" s="70"/>
      <c r="AW164" s="70"/>
      <c r="AX164" s="70"/>
      <c r="AY164" s="70"/>
      <c r="AZ164" s="70"/>
      <c r="BA164" s="70"/>
      <c r="BB164" s="70"/>
      <c r="BC164" s="70"/>
      <c r="BD164" s="70"/>
      <c r="BE164" s="70"/>
      <c r="BF164" s="70"/>
      <c r="BG164" s="70"/>
      <c r="BH164" s="70"/>
      <c r="BI164" s="70"/>
      <c r="BJ164" s="70"/>
      <c r="BK164" s="70"/>
      <c r="BL164" s="70"/>
      <c r="BM164" s="70"/>
      <c r="BN164" s="70"/>
      <c r="BO164" s="70"/>
      <c r="BP164" s="70"/>
      <c r="BQ164" s="70"/>
      <c r="BR164" s="70"/>
      <c r="BS164" s="70"/>
      <c r="BT164" s="70"/>
      <c r="BU164" s="70"/>
      <c r="BV164" s="70"/>
      <c r="BW164" s="70"/>
      <c r="BX164" s="70"/>
      <c r="BY164" s="70"/>
      <c r="BZ164" s="70"/>
      <c r="CA164" s="70"/>
      <c r="CB164" s="70"/>
      <c r="CC164" s="70"/>
      <c r="CD164" s="70"/>
      <c r="CE164" s="70"/>
      <c r="CF164" s="70"/>
      <c r="CG164" s="70"/>
      <c r="CH164" s="70"/>
      <c r="CI164" s="70"/>
      <c r="CJ164" s="70"/>
      <c r="CK164" s="70"/>
      <c r="CL164" s="70"/>
      <c r="CM164" s="70"/>
      <c r="CN164" s="70"/>
      <c r="CO164" s="70"/>
      <c r="CP164" s="70"/>
      <c r="CQ164" s="70"/>
      <c r="CR164" s="70"/>
    </row>
    <row r="165" spans="1:97">
      <c r="B165" s="88" t="s">
        <v>167</v>
      </c>
      <c r="C165" s="181" t="s">
        <v>437</v>
      </c>
      <c r="D165" s="46" t="s">
        <v>3</v>
      </c>
      <c r="E165">
        <v>0.4572</v>
      </c>
      <c r="F165">
        <f>TRUNC(22.56,2)</f>
        <v>22.56</v>
      </c>
      <c r="G165" s="104">
        <f t="shared" si="7"/>
        <v>10.31</v>
      </c>
      <c r="CS165"/>
    </row>
    <row r="166" spans="1:97">
      <c r="B166" s="88" t="s">
        <v>168</v>
      </c>
      <c r="C166" s="181" t="s">
        <v>438</v>
      </c>
      <c r="D166" s="46" t="s">
        <v>3</v>
      </c>
      <c r="E166">
        <v>0.2767</v>
      </c>
      <c r="F166">
        <f>TRUNC(28.64,2)</f>
        <v>28.64</v>
      </c>
      <c r="G166" s="104">
        <f t="shared" si="7"/>
        <v>7.92</v>
      </c>
      <c r="CS166"/>
    </row>
    <row r="167" spans="1:97">
      <c r="B167" s="88" t="s">
        <v>177</v>
      </c>
      <c r="C167" s="181" t="s">
        <v>457</v>
      </c>
      <c r="D167" s="46" t="s">
        <v>3</v>
      </c>
      <c r="E167">
        <v>0.18049999999999999</v>
      </c>
      <c r="F167">
        <f>TRUNC(28.52,2)</f>
        <v>28.52</v>
      </c>
      <c r="G167" s="104">
        <f t="shared" si="7"/>
        <v>5.14</v>
      </c>
      <c r="CS167"/>
    </row>
    <row r="168" spans="1:97" ht="30">
      <c r="B168" s="88" t="s">
        <v>178</v>
      </c>
      <c r="C168" s="181" t="s">
        <v>458</v>
      </c>
      <c r="D168" s="46" t="s">
        <v>0</v>
      </c>
      <c r="E168">
        <v>9.7000000000000003E-2</v>
      </c>
      <c r="F168">
        <f>TRUNC(378.16,2)</f>
        <v>378.16</v>
      </c>
      <c r="G168" s="104">
        <f t="shared" si="7"/>
        <v>36.68</v>
      </c>
      <c r="CS168"/>
    </row>
    <row r="169" spans="1:97">
      <c r="B169" s="88"/>
      <c r="C169" s="182"/>
      <c r="E169" t="s">
        <v>4</v>
      </c>
      <c r="G169" s="104">
        <f>TRUNC(SUM(G161:G168),2)</f>
        <v>69.48</v>
      </c>
      <c r="CS169"/>
    </row>
    <row r="170" spans="1:97" ht="15.75" thickBot="1">
      <c r="B170" s="88"/>
      <c r="C170" s="182"/>
      <c r="G170" s="104"/>
      <c r="CS170"/>
    </row>
    <row r="171" spans="1:97" ht="30.75" thickBot="1">
      <c r="A171" s="93" t="s">
        <v>305</v>
      </c>
      <c r="B171" s="94" t="s">
        <v>179</v>
      </c>
      <c r="C171" s="184" t="s">
        <v>352</v>
      </c>
      <c r="D171" s="93" t="s">
        <v>51</v>
      </c>
      <c r="E171" s="92">
        <v>6</v>
      </c>
      <c r="F171" s="81">
        <f>TRUNC(F172,2)</f>
        <v>130.97</v>
      </c>
      <c r="G171" s="103">
        <f>TRUNC(E171*F171,2)</f>
        <v>785.82</v>
      </c>
      <c r="CS171"/>
    </row>
    <row r="172" spans="1:97" ht="45">
      <c r="B172" s="88" t="s">
        <v>179</v>
      </c>
      <c r="C172" s="181" t="s">
        <v>459</v>
      </c>
      <c r="D172" s="46" t="s">
        <v>51</v>
      </c>
      <c r="E172">
        <v>1</v>
      </c>
      <c r="F172">
        <f>G180</f>
        <v>130.97</v>
      </c>
      <c r="G172" s="104">
        <f t="shared" ref="G172:G179" si="8">TRUNC(E172*F172,2)</f>
        <v>130.97</v>
      </c>
      <c r="CS172"/>
    </row>
    <row r="173" spans="1:97">
      <c r="B173" s="88" t="s">
        <v>180</v>
      </c>
      <c r="C173" s="181" t="s">
        <v>460</v>
      </c>
      <c r="D173" s="46" t="s">
        <v>51</v>
      </c>
      <c r="E173">
        <v>1.05</v>
      </c>
      <c r="F173">
        <f>TRUNC(61.8,2)</f>
        <v>61.8</v>
      </c>
      <c r="G173" s="104">
        <f t="shared" si="8"/>
        <v>64.89</v>
      </c>
      <c r="CS173"/>
    </row>
    <row r="174" spans="1:97">
      <c r="B174" s="88" t="s">
        <v>181</v>
      </c>
      <c r="C174" s="181" t="s">
        <v>461</v>
      </c>
      <c r="D174" s="46" t="s">
        <v>2</v>
      </c>
      <c r="E174">
        <v>0.1</v>
      </c>
      <c r="F174">
        <f>TRUNC(35.33,2)</f>
        <v>35.33</v>
      </c>
      <c r="G174" s="104">
        <f t="shared" si="8"/>
        <v>3.53</v>
      </c>
      <c r="CS174"/>
    </row>
    <row r="175" spans="1:97">
      <c r="B175" s="88" t="s">
        <v>182</v>
      </c>
      <c r="C175" s="181" t="s">
        <v>462</v>
      </c>
      <c r="D175" s="46" t="s">
        <v>2</v>
      </c>
      <c r="E175">
        <v>0.1</v>
      </c>
      <c r="F175">
        <f>TRUNC(1.4,2)</f>
        <v>1.4</v>
      </c>
      <c r="G175" s="104">
        <f t="shared" si="8"/>
        <v>0.14000000000000001</v>
      </c>
      <c r="CS175"/>
    </row>
    <row r="176" spans="1:97">
      <c r="B176" s="88" t="s">
        <v>39</v>
      </c>
      <c r="C176" s="181" t="s">
        <v>383</v>
      </c>
      <c r="D176" s="46" t="s">
        <v>3</v>
      </c>
      <c r="E176">
        <v>1.1330000000000002</v>
      </c>
      <c r="F176">
        <f>TRUNC(16.55,2)</f>
        <v>16.55</v>
      </c>
      <c r="G176" s="104">
        <f t="shared" si="8"/>
        <v>18.75</v>
      </c>
      <c r="CS176"/>
    </row>
    <row r="177" spans="1:97">
      <c r="B177" s="88" t="s">
        <v>183</v>
      </c>
      <c r="C177" s="181" t="s">
        <v>463</v>
      </c>
      <c r="D177" s="46" t="s">
        <v>3</v>
      </c>
      <c r="E177">
        <v>1.1330000000000002</v>
      </c>
      <c r="F177">
        <f>TRUNC(24.61,2)</f>
        <v>24.61</v>
      </c>
      <c r="G177" s="104">
        <f t="shared" si="8"/>
        <v>27.88</v>
      </c>
      <c r="CS177"/>
    </row>
    <row r="178" spans="1:97">
      <c r="B178" s="88" t="s">
        <v>184</v>
      </c>
      <c r="C178" s="181" t="s">
        <v>464</v>
      </c>
      <c r="D178" s="46" t="s">
        <v>0</v>
      </c>
      <c r="E178">
        <v>3.5000000000000003E-2</v>
      </c>
      <c r="F178">
        <f>TRUNC(408.329,2)</f>
        <v>408.32</v>
      </c>
      <c r="G178" s="104">
        <f t="shared" si="8"/>
        <v>14.29</v>
      </c>
      <c r="CS178"/>
    </row>
    <row r="179" spans="1:97">
      <c r="B179" s="88" t="s">
        <v>185</v>
      </c>
      <c r="C179" s="181" t="s">
        <v>465</v>
      </c>
      <c r="D179" s="46" t="s">
        <v>0</v>
      </c>
      <c r="E179">
        <v>2E-3</v>
      </c>
      <c r="F179">
        <f>TRUNC(745.9185,2)</f>
        <v>745.91</v>
      </c>
      <c r="G179" s="104">
        <f t="shared" si="8"/>
        <v>1.49</v>
      </c>
      <c r="CS179"/>
    </row>
    <row r="180" spans="1:97">
      <c r="B180" s="88"/>
      <c r="C180" s="182"/>
      <c r="E180" t="s">
        <v>4</v>
      </c>
      <c r="G180" s="104">
        <f>TRUNC(SUM(G173:G179),2)</f>
        <v>130.97</v>
      </c>
      <c r="CS180"/>
    </row>
    <row r="181" spans="1:97" ht="15.75" thickBot="1">
      <c r="B181" s="88"/>
      <c r="C181" s="182"/>
      <c r="G181" s="104"/>
      <c r="CS181"/>
    </row>
    <row r="182" spans="1:97" ht="30.75" thickBot="1">
      <c r="A182" s="93" t="s">
        <v>73</v>
      </c>
      <c r="B182" s="94" t="s">
        <v>110</v>
      </c>
      <c r="C182" s="184" t="s">
        <v>353</v>
      </c>
      <c r="D182" s="93" t="s">
        <v>51</v>
      </c>
      <c r="E182" s="92">
        <v>6.5</v>
      </c>
      <c r="F182" s="81">
        <f>TRUNC(F183,2)</f>
        <v>130.97</v>
      </c>
      <c r="G182" s="103">
        <f>TRUNC(E182*F182,2)</f>
        <v>851.3</v>
      </c>
      <c r="CS182"/>
    </row>
    <row r="183" spans="1:97" ht="45">
      <c r="B183" s="88" t="s">
        <v>110</v>
      </c>
      <c r="C183" s="181" t="s">
        <v>466</v>
      </c>
      <c r="D183" s="46" t="s">
        <v>51</v>
      </c>
      <c r="E183">
        <v>1</v>
      </c>
      <c r="F183">
        <f>G191</f>
        <v>130.97</v>
      </c>
      <c r="G183" s="104">
        <f t="shared" ref="G183:G190" si="9">TRUNC(E183*F183,2)</f>
        <v>130.97</v>
      </c>
      <c r="CS183"/>
    </row>
    <row r="184" spans="1:97">
      <c r="B184" s="88" t="s">
        <v>186</v>
      </c>
      <c r="C184" s="181" t="s">
        <v>467</v>
      </c>
      <c r="D184" s="46" t="s">
        <v>51</v>
      </c>
      <c r="E184">
        <v>1.05</v>
      </c>
      <c r="F184">
        <f>TRUNC(61.8,2)</f>
        <v>61.8</v>
      </c>
      <c r="G184" s="104">
        <f t="shared" si="9"/>
        <v>64.89</v>
      </c>
      <c r="CS184"/>
    </row>
    <row r="185" spans="1:97">
      <c r="B185" s="88" t="s">
        <v>181</v>
      </c>
      <c r="C185" s="181" t="s">
        <v>461</v>
      </c>
      <c r="D185" s="46" t="s">
        <v>2</v>
      </c>
      <c r="E185">
        <v>0.1</v>
      </c>
      <c r="F185">
        <f>TRUNC(35.33,2)</f>
        <v>35.33</v>
      </c>
      <c r="G185" s="104">
        <f t="shared" si="9"/>
        <v>3.53</v>
      </c>
      <c r="CS185"/>
    </row>
    <row r="186" spans="1:97">
      <c r="B186" s="88" t="s">
        <v>182</v>
      </c>
      <c r="C186" s="181" t="s">
        <v>462</v>
      </c>
      <c r="D186" s="46" t="s">
        <v>2</v>
      </c>
      <c r="E186">
        <v>0.1</v>
      </c>
      <c r="F186">
        <f>TRUNC(1.4,2)</f>
        <v>1.4</v>
      </c>
      <c r="G186" s="104">
        <f t="shared" si="9"/>
        <v>0.14000000000000001</v>
      </c>
      <c r="CS186"/>
    </row>
    <row r="187" spans="1:97">
      <c r="B187" s="88" t="s">
        <v>39</v>
      </c>
      <c r="C187" s="181" t="s">
        <v>383</v>
      </c>
      <c r="D187" s="46" t="s">
        <v>3</v>
      </c>
      <c r="E187">
        <v>1.1330000000000002</v>
      </c>
      <c r="F187">
        <f>TRUNC(16.55,2)</f>
        <v>16.55</v>
      </c>
      <c r="G187" s="104">
        <f t="shared" si="9"/>
        <v>18.75</v>
      </c>
      <c r="CS187"/>
    </row>
    <row r="188" spans="1:97">
      <c r="B188" s="88" t="s">
        <v>183</v>
      </c>
      <c r="C188" s="181" t="s">
        <v>463</v>
      </c>
      <c r="D188" s="46" t="s">
        <v>3</v>
      </c>
      <c r="E188">
        <v>1.1330000000000002</v>
      </c>
      <c r="F188">
        <f>TRUNC(24.61,2)</f>
        <v>24.61</v>
      </c>
      <c r="G188" s="104">
        <f t="shared" si="9"/>
        <v>27.88</v>
      </c>
      <c r="CS188"/>
    </row>
    <row r="189" spans="1:97">
      <c r="B189" s="88" t="s">
        <v>184</v>
      </c>
      <c r="C189" s="181" t="s">
        <v>464</v>
      </c>
      <c r="D189" s="46" t="s">
        <v>0</v>
      </c>
      <c r="E189">
        <v>3.5000000000000003E-2</v>
      </c>
      <c r="F189">
        <f>TRUNC(408.329,2)</f>
        <v>408.32</v>
      </c>
      <c r="G189" s="104">
        <f t="shared" si="9"/>
        <v>14.29</v>
      </c>
      <c r="CS189"/>
    </row>
    <row r="190" spans="1:97">
      <c r="B190" s="88" t="s">
        <v>185</v>
      </c>
      <c r="C190" s="181" t="s">
        <v>465</v>
      </c>
      <c r="D190" s="46" t="s">
        <v>0</v>
      </c>
      <c r="E190">
        <v>2E-3</v>
      </c>
      <c r="F190">
        <f>TRUNC(745.9185,2)</f>
        <v>745.91</v>
      </c>
      <c r="G190" s="104">
        <f t="shared" si="9"/>
        <v>1.49</v>
      </c>
      <c r="CS190"/>
    </row>
    <row r="191" spans="1:97">
      <c r="B191" s="88"/>
      <c r="C191" s="182"/>
      <c r="E191" t="s">
        <v>4</v>
      </c>
      <c r="G191" s="104">
        <f>TRUNC(SUM(G184:G190),2)</f>
        <v>130.97</v>
      </c>
      <c r="CS191"/>
    </row>
    <row r="192" spans="1:97" ht="15.75" thickBot="1">
      <c r="B192" s="88"/>
      <c r="C192" s="182"/>
      <c r="G192" s="104"/>
      <c r="CS192"/>
    </row>
    <row r="193" spans="1:97" ht="45.75" thickBot="1">
      <c r="A193" s="93" t="s">
        <v>306</v>
      </c>
      <c r="B193" s="94" t="s">
        <v>111</v>
      </c>
      <c r="C193" s="184" t="s">
        <v>354</v>
      </c>
      <c r="D193" s="93" t="s">
        <v>1</v>
      </c>
      <c r="E193" s="92">
        <v>15</v>
      </c>
      <c r="F193" s="81">
        <f>TRUNC(F194,2)</f>
        <v>63.14</v>
      </c>
      <c r="G193" s="103">
        <f>TRUNC(E193*F193,2)</f>
        <v>947.1</v>
      </c>
      <c r="CS193"/>
    </row>
    <row r="194" spans="1:97" ht="45">
      <c r="B194" s="88" t="s">
        <v>111</v>
      </c>
      <c r="C194" s="181" t="s">
        <v>468</v>
      </c>
      <c r="D194" s="46" t="s">
        <v>1</v>
      </c>
      <c r="E194">
        <v>1</v>
      </c>
      <c r="F194">
        <f>G202</f>
        <v>63.14</v>
      </c>
      <c r="G194" s="104">
        <f t="shared" ref="G194:G201" si="10">TRUNC(E194*F194,2)</f>
        <v>63.14</v>
      </c>
      <c r="CS194"/>
    </row>
    <row r="195" spans="1:97">
      <c r="B195" s="88" t="s">
        <v>39</v>
      </c>
      <c r="C195" s="181" t="s">
        <v>383</v>
      </c>
      <c r="D195" s="46" t="s">
        <v>3</v>
      </c>
      <c r="E195">
        <v>0.2472</v>
      </c>
      <c r="F195">
        <f>TRUNC(16.55,2)</f>
        <v>16.55</v>
      </c>
      <c r="G195" s="104">
        <f t="shared" si="10"/>
        <v>4.09</v>
      </c>
      <c r="CS195"/>
    </row>
    <row r="196" spans="1:97">
      <c r="B196" s="88" t="s">
        <v>187</v>
      </c>
      <c r="C196" s="181" t="s">
        <v>469</v>
      </c>
      <c r="D196" s="46" t="s">
        <v>3</v>
      </c>
      <c r="E196">
        <v>8.2400000000000001E-2</v>
      </c>
      <c r="F196">
        <f>TRUNC(22.86,2)</f>
        <v>22.86</v>
      </c>
      <c r="G196" s="104">
        <f t="shared" si="10"/>
        <v>1.88</v>
      </c>
      <c r="CS196"/>
    </row>
    <row r="197" spans="1:97">
      <c r="B197" s="88" t="s">
        <v>188</v>
      </c>
      <c r="C197" s="181" t="s">
        <v>470</v>
      </c>
      <c r="D197" s="46" t="s">
        <v>0</v>
      </c>
      <c r="E197">
        <v>4.2000000000000003E-2</v>
      </c>
      <c r="F197">
        <f>TRUNC(75.2877,2)</f>
        <v>75.28</v>
      </c>
      <c r="G197" s="104">
        <f t="shared" si="10"/>
        <v>3.16</v>
      </c>
      <c r="CS197"/>
    </row>
    <row r="198" spans="1:97">
      <c r="B198" s="88" t="s">
        <v>189</v>
      </c>
      <c r="C198" s="181" t="s">
        <v>471</v>
      </c>
      <c r="D198" s="46" t="s">
        <v>0</v>
      </c>
      <c r="E198">
        <v>4.2000000000000003E-2</v>
      </c>
      <c r="F198">
        <f>TRUNC(82.295,2)</f>
        <v>82.29</v>
      </c>
      <c r="G198" s="104">
        <f t="shared" si="10"/>
        <v>3.45</v>
      </c>
      <c r="CS198"/>
    </row>
    <row r="199" spans="1:97">
      <c r="B199" s="88" t="s">
        <v>190</v>
      </c>
      <c r="C199" s="181" t="s">
        <v>472</v>
      </c>
      <c r="D199" s="46" t="s">
        <v>51</v>
      </c>
      <c r="E199">
        <v>0.62</v>
      </c>
      <c r="F199">
        <f>TRUNC(62.1585,2)</f>
        <v>62.15</v>
      </c>
      <c r="G199" s="104">
        <f t="shared" si="10"/>
        <v>38.53</v>
      </c>
      <c r="CS199"/>
    </row>
    <row r="200" spans="1:97">
      <c r="B200" s="88" t="s">
        <v>191</v>
      </c>
      <c r="C200" s="181" t="s">
        <v>473</v>
      </c>
      <c r="D200" s="46" t="s">
        <v>0</v>
      </c>
      <c r="E200">
        <v>4.2000000000000003E-2</v>
      </c>
      <c r="F200">
        <f>TRUNC(266.223,2)</f>
        <v>266.22000000000003</v>
      </c>
      <c r="G200" s="104">
        <f t="shared" si="10"/>
        <v>11.18</v>
      </c>
      <c r="CS200"/>
    </row>
    <row r="201" spans="1:97">
      <c r="B201" s="88" t="s">
        <v>192</v>
      </c>
      <c r="C201" s="181" t="s">
        <v>474</v>
      </c>
      <c r="D201" s="46" t="s">
        <v>0</v>
      </c>
      <c r="E201">
        <v>2.5000000000000001E-3</v>
      </c>
      <c r="F201">
        <f>TRUNC(343.6186,2)</f>
        <v>343.61</v>
      </c>
      <c r="G201" s="104">
        <f t="shared" si="10"/>
        <v>0.85</v>
      </c>
      <c r="CS201"/>
    </row>
    <row r="202" spans="1:97" ht="15.75" thickBot="1">
      <c r="B202" s="88"/>
      <c r="C202" s="182"/>
      <c r="E202" t="s">
        <v>4</v>
      </c>
      <c r="G202" s="104">
        <f>TRUNC(SUM(G195:G201),2)</f>
        <v>63.14</v>
      </c>
      <c r="CS202"/>
    </row>
    <row r="203" spans="1:97" s="41" customFormat="1" ht="15.75" thickBot="1">
      <c r="A203" s="95" t="s">
        <v>33</v>
      </c>
      <c r="B203" s="96"/>
      <c r="C203" s="185"/>
      <c r="D203" s="95"/>
      <c r="E203" s="98"/>
      <c r="F203" s="98" t="s">
        <v>216</v>
      </c>
      <c r="G203" s="82">
        <f>G142+G154+G159+G171+G182+G193</f>
        <v>78198.060000000027</v>
      </c>
      <c r="H203" s="70"/>
      <c r="I203" s="70"/>
      <c r="J203" s="70"/>
      <c r="K203" s="70"/>
      <c r="L203" s="70"/>
      <c r="M203" s="70"/>
      <c r="N203" s="70"/>
      <c r="O203" s="70"/>
      <c r="P203" s="70"/>
      <c r="Q203" s="70"/>
      <c r="R203" s="70"/>
      <c r="S203" s="70"/>
      <c r="T203" s="70"/>
      <c r="U203" s="70"/>
      <c r="V203" s="70"/>
      <c r="W203" s="70"/>
      <c r="X203" s="70"/>
      <c r="Y203" s="70"/>
      <c r="Z203" s="70"/>
      <c r="AA203" s="70"/>
      <c r="AB203" s="70"/>
      <c r="AC203" s="70"/>
      <c r="AD203" s="70"/>
      <c r="AE203" s="70"/>
      <c r="AF203" s="70"/>
      <c r="AG203" s="70"/>
      <c r="AH203" s="70"/>
      <c r="AI203" s="70"/>
      <c r="AJ203" s="70"/>
      <c r="AK203" s="70"/>
      <c r="AL203" s="70"/>
      <c r="AM203" s="70"/>
      <c r="AN203" s="70"/>
      <c r="AO203" s="70"/>
      <c r="AP203" s="70"/>
      <c r="AQ203" s="70"/>
      <c r="AR203" s="70"/>
      <c r="AS203" s="70"/>
      <c r="AT203" s="70"/>
      <c r="AU203" s="70"/>
      <c r="AV203" s="70"/>
      <c r="AW203" s="70"/>
      <c r="AX203" s="70"/>
      <c r="AY203" s="70"/>
      <c r="AZ203" s="70"/>
      <c r="BA203" s="70"/>
      <c r="BB203" s="70"/>
      <c r="BC203" s="70"/>
      <c r="BD203" s="70"/>
      <c r="BE203" s="70"/>
      <c r="BF203" s="70"/>
      <c r="BG203" s="70"/>
      <c r="BH203" s="70"/>
      <c r="BI203" s="70"/>
      <c r="BJ203" s="70"/>
      <c r="BK203" s="70"/>
      <c r="BL203" s="70"/>
      <c r="BM203" s="70"/>
      <c r="BN203" s="70"/>
      <c r="BO203" s="70"/>
      <c r="BP203" s="70"/>
      <c r="BQ203" s="70"/>
      <c r="BR203" s="70"/>
      <c r="BS203" s="70"/>
      <c r="BT203" s="70"/>
      <c r="BU203" s="70"/>
      <c r="BV203" s="70"/>
      <c r="BW203" s="70"/>
      <c r="BX203" s="70"/>
      <c r="BY203" s="70"/>
      <c r="BZ203" s="70"/>
      <c r="CA203" s="70"/>
      <c r="CB203" s="70"/>
      <c r="CC203" s="70"/>
      <c r="CD203" s="70"/>
      <c r="CE203" s="70"/>
      <c r="CF203" s="70"/>
      <c r="CG203" s="70"/>
      <c r="CH203" s="70"/>
      <c r="CI203" s="70"/>
      <c r="CJ203" s="70"/>
      <c r="CK203" s="70"/>
      <c r="CL203" s="70"/>
      <c r="CM203" s="70"/>
      <c r="CN203" s="70"/>
      <c r="CO203" s="70"/>
      <c r="CP203" s="70"/>
      <c r="CQ203" s="70"/>
      <c r="CR203" s="70"/>
    </row>
    <row r="204" spans="1:97" s="41" customFormat="1" ht="15.75" thickBot="1">
      <c r="A204" s="95" t="s">
        <v>74</v>
      </c>
      <c r="B204" s="96"/>
      <c r="C204" s="164" t="s">
        <v>355</v>
      </c>
      <c r="D204" s="95" t="s">
        <v>49</v>
      </c>
      <c r="E204" s="98"/>
      <c r="F204" s="98"/>
      <c r="G204" s="82"/>
      <c r="H204" s="70"/>
      <c r="I204" s="70"/>
      <c r="J204" s="70"/>
      <c r="K204" s="70"/>
      <c r="L204" s="70"/>
      <c r="M204" s="70"/>
      <c r="N204" s="70"/>
      <c r="O204" s="70"/>
      <c r="P204" s="70"/>
      <c r="Q204" s="70"/>
      <c r="R204" s="70"/>
      <c r="S204" s="70"/>
      <c r="T204" s="70"/>
      <c r="U204" s="70"/>
      <c r="V204" s="70"/>
      <c r="W204" s="70"/>
      <c r="X204" s="70"/>
      <c r="Y204" s="70"/>
      <c r="Z204" s="70"/>
      <c r="AA204" s="70"/>
      <c r="AB204" s="70"/>
      <c r="AC204" s="70"/>
      <c r="AD204" s="70"/>
      <c r="AE204" s="70"/>
      <c r="AF204" s="70"/>
      <c r="AG204" s="70"/>
      <c r="AH204" s="70"/>
      <c r="AI204" s="70"/>
      <c r="AJ204" s="70"/>
      <c r="AK204" s="70"/>
      <c r="AL204" s="70"/>
      <c r="AM204" s="70"/>
      <c r="AN204" s="70"/>
      <c r="AO204" s="70"/>
      <c r="AP204" s="70"/>
      <c r="AQ204" s="70"/>
      <c r="AR204" s="70"/>
      <c r="AS204" s="70"/>
      <c r="AT204" s="70"/>
      <c r="AU204" s="70"/>
      <c r="AV204" s="70"/>
      <c r="AW204" s="70"/>
      <c r="AX204" s="70"/>
      <c r="AY204" s="70"/>
      <c r="AZ204" s="70"/>
      <c r="BA204" s="70"/>
      <c r="BB204" s="70"/>
      <c r="BC204" s="70"/>
      <c r="BD204" s="70"/>
      <c r="BE204" s="70"/>
      <c r="BF204" s="70"/>
      <c r="BG204" s="70"/>
      <c r="BH204" s="70"/>
      <c r="BI204" s="70"/>
      <c r="BJ204" s="70"/>
      <c r="BK204" s="70"/>
      <c r="BL204" s="70"/>
      <c r="BM204" s="70"/>
      <c r="BN204" s="70"/>
      <c r="BO204" s="70"/>
      <c r="BP204" s="70"/>
      <c r="BQ204" s="70"/>
      <c r="BR204" s="70"/>
      <c r="BS204" s="70"/>
      <c r="BT204" s="70"/>
      <c r="BU204" s="70"/>
      <c r="BV204" s="70"/>
      <c r="BW204" s="70"/>
      <c r="BX204" s="70"/>
      <c r="BY204" s="70"/>
      <c r="BZ204" s="70"/>
      <c r="CA204" s="70"/>
      <c r="CB204" s="70"/>
      <c r="CC204" s="70"/>
      <c r="CD204" s="70"/>
      <c r="CE204" s="70"/>
      <c r="CF204" s="70"/>
      <c r="CG204" s="70"/>
      <c r="CH204" s="70"/>
      <c r="CI204" s="70"/>
      <c r="CJ204" s="70"/>
      <c r="CK204" s="70"/>
      <c r="CL204" s="70"/>
      <c r="CM204" s="70"/>
      <c r="CN204" s="70"/>
      <c r="CO204" s="70"/>
      <c r="CP204" s="70"/>
      <c r="CQ204" s="70"/>
      <c r="CR204" s="70"/>
    </row>
    <row r="205" spans="1:97" ht="45.75" thickBot="1">
      <c r="A205" s="93" t="s">
        <v>76</v>
      </c>
      <c r="B205" s="94" t="s">
        <v>240</v>
      </c>
      <c r="C205" s="163" t="s">
        <v>555</v>
      </c>
      <c r="D205" s="93" t="s">
        <v>51</v>
      </c>
      <c r="E205" s="92">
        <f>330.2</f>
        <v>330.2</v>
      </c>
      <c r="F205" s="81">
        <f>TRUNC(F206,2)</f>
        <v>47.03</v>
      </c>
      <c r="G205" s="103">
        <f>TRUNC(E205*F205,2)</f>
        <v>15529.3</v>
      </c>
      <c r="CS205"/>
    </row>
    <row r="206" spans="1:97">
      <c r="B206" s="88" t="s">
        <v>112</v>
      </c>
      <c r="C206" s="181" t="s">
        <v>536</v>
      </c>
      <c r="D206" s="46" t="s">
        <v>51</v>
      </c>
      <c r="E206">
        <v>1</v>
      </c>
      <c r="F206" s="105">
        <f>G209</f>
        <v>47.03</v>
      </c>
      <c r="G206" s="104">
        <f>TRUNC(E206*F206,2)</f>
        <v>47.03</v>
      </c>
      <c r="CS206"/>
    </row>
    <row r="207" spans="1:97">
      <c r="B207" s="88" t="s">
        <v>537</v>
      </c>
      <c r="C207" s="181" t="s">
        <v>538</v>
      </c>
      <c r="D207" s="46" t="s">
        <v>51</v>
      </c>
      <c r="E207">
        <v>0.85</v>
      </c>
      <c r="F207">
        <f>TRUNC(43.89,2)</f>
        <v>43.89</v>
      </c>
      <c r="G207" s="104">
        <f>TRUNC(E207*F207,2)</f>
        <v>37.299999999999997</v>
      </c>
      <c r="CS207"/>
    </row>
    <row r="208" spans="1:97" s="141" customFormat="1">
      <c r="A208" s="156"/>
      <c r="B208" s="157" t="s">
        <v>287</v>
      </c>
      <c r="C208" s="180" t="s">
        <v>475</v>
      </c>
      <c r="D208" s="156" t="s">
        <v>329</v>
      </c>
      <c r="E208" s="141">
        <v>1</v>
      </c>
      <c r="F208" s="141">
        <v>9.73</v>
      </c>
      <c r="G208" s="158">
        <f>TRUNC(E208*F208,2)</f>
        <v>9.73</v>
      </c>
      <c r="H208" s="140"/>
      <c r="I208" s="140"/>
      <c r="J208" s="140"/>
      <c r="K208" s="140"/>
      <c r="L208" s="140"/>
      <c r="M208" s="140"/>
      <c r="N208" s="140"/>
      <c r="O208" s="140"/>
      <c r="P208" s="140"/>
      <c r="Q208" s="140"/>
      <c r="R208" s="140"/>
      <c r="S208" s="140"/>
      <c r="T208" s="140"/>
      <c r="U208" s="140"/>
      <c r="V208" s="140"/>
      <c r="W208" s="140"/>
      <c r="X208" s="140"/>
      <c r="Y208" s="140"/>
      <c r="Z208" s="140"/>
      <c r="AA208" s="140"/>
      <c r="AB208" s="140"/>
      <c r="AC208" s="140"/>
      <c r="AD208" s="140"/>
      <c r="AE208" s="140"/>
      <c r="AF208" s="140"/>
      <c r="AG208" s="140"/>
      <c r="AH208" s="140"/>
      <c r="AI208" s="140"/>
      <c r="AJ208" s="140"/>
      <c r="AK208" s="140"/>
      <c r="AL208" s="140"/>
      <c r="AM208" s="140"/>
      <c r="AN208" s="140"/>
      <c r="AO208" s="140"/>
      <c r="AP208" s="140"/>
      <c r="AQ208" s="140"/>
      <c r="AR208" s="140"/>
      <c r="AS208" s="140"/>
      <c r="AT208" s="140"/>
      <c r="AU208" s="140"/>
      <c r="AV208" s="140"/>
      <c r="AW208" s="140"/>
      <c r="AX208" s="140"/>
      <c r="AY208" s="140"/>
      <c r="AZ208" s="140"/>
      <c r="BA208" s="140"/>
      <c r="BB208" s="140"/>
      <c r="BC208" s="140"/>
      <c r="BD208" s="140"/>
      <c r="BE208" s="140"/>
      <c r="BF208" s="140"/>
      <c r="BG208" s="140"/>
      <c r="BH208" s="140"/>
      <c r="BI208" s="140"/>
      <c r="BJ208" s="140"/>
      <c r="BK208" s="140"/>
      <c r="BL208" s="140"/>
      <c r="BM208" s="140"/>
      <c r="BN208" s="140"/>
      <c r="BO208" s="140"/>
      <c r="BP208" s="140"/>
      <c r="BQ208" s="140"/>
      <c r="BR208" s="140"/>
      <c r="BS208" s="140"/>
      <c r="BT208" s="140"/>
      <c r="BU208" s="140"/>
      <c r="BV208" s="140"/>
      <c r="BW208" s="140"/>
      <c r="BX208" s="140"/>
      <c r="BY208" s="140"/>
      <c r="BZ208" s="140"/>
      <c r="CA208" s="140"/>
      <c r="CB208" s="140"/>
      <c r="CC208" s="140"/>
      <c r="CD208" s="140"/>
      <c r="CE208" s="140"/>
      <c r="CF208" s="140"/>
      <c r="CG208" s="140"/>
      <c r="CH208" s="140"/>
      <c r="CI208" s="140"/>
      <c r="CJ208" s="140"/>
      <c r="CK208" s="140"/>
      <c r="CL208" s="140"/>
      <c r="CM208" s="140"/>
      <c r="CN208" s="140"/>
      <c r="CO208" s="140"/>
      <c r="CP208" s="140"/>
      <c r="CQ208" s="140"/>
      <c r="CR208" s="140"/>
    </row>
    <row r="209" spans="1:97" ht="15.75" thickBot="1">
      <c r="B209" s="88"/>
      <c r="C209" s="181"/>
      <c r="E209" t="s">
        <v>4</v>
      </c>
      <c r="G209" s="104">
        <f>SUM(G207:G208)</f>
        <v>47.03</v>
      </c>
      <c r="CS209"/>
    </row>
    <row r="210" spans="1:97" ht="30.75" thickBot="1">
      <c r="A210" s="93" t="s">
        <v>236</v>
      </c>
      <c r="B210" s="94" t="s">
        <v>113</v>
      </c>
      <c r="C210" s="184" t="s">
        <v>356</v>
      </c>
      <c r="D210" s="93" t="s">
        <v>1</v>
      </c>
      <c r="E210" s="92">
        <v>9</v>
      </c>
      <c r="F210" s="81">
        <f>TRUNC(F211,2)</f>
        <v>96.77</v>
      </c>
      <c r="G210" s="103">
        <f>TRUNC(E210*F210,2)</f>
        <v>870.93</v>
      </c>
      <c r="CS210"/>
    </row>
    <row r="211" spans="1:97" ht="45">
      <c r="B211" s="88" t="s">
        <v>113</v>
      </c>
      <c r="C211" s="181" t="s">
        <v>476</v>
      </c>
      <c r="D211" s="46" t="s">
        <v>1</v>
      </c>
      <c r="E211">
        <v>1</v>
      </c>
      <c r="F211">
        <f>G215</f>
        <v>96.77</v>
      </c>
      <c r="G211" s="104">
        <f>TRUNC(E211*F211,2)</f>
        <v>96.77</v>
      </c>
      <c r="CS211"/>
    </row>
    <row r="212" spans="1:97">
      <c r="B212" s="88" t="s">
        <v>193</v>
      </c>
      <c r="C212" s="181" t="s">
        <v>477</v>
      </c>
      <c r="D212" s="46" t="s">
        <v>1</v>
      </c>
      <c r="E212">
        <v>1.2649999999999999</v>
      </c>
      <c r="F212">
        <f>TRUNC(59.75,2)</f>
        <v>59.75</v>
      </c>
      <c r="G212" s="104">
        <f>TRUNC(E212*F212,2)</f>
        <v>75.58</v>
      </c>
      <c r="CS212"/>
    </row>
    <row r="213" spans="1:97">
      <c r="B213" s="88" t="s">
        <v>194</v>
      </c>
      <c r="C213" s="181" t="s">
        <v>478</v>
      </c>
      <c r="D213" s="46" t="s">
        <v>3</v>
      </c>
      <c r="E213">
        <v>0.51500000000000001</v>
      </c>
      <c r="F213">
        <f>TRUNC(24.61,2)</f>
        <v>24.61</v>
      </c>
      <c r="G213" s="104">
        <f>TRUNC(E213*F213,2)</f>
        <v>12.67</v>
      </c>
      <c r="CS213"/>
    </row>
    <row r="214" spans="1:97">
      <c r="B214" s="88" t="s">
        <v>39</v>
      </c>
      <c r="C214" s="181" t="s">
        <v>383</v>
      </c>
      <c r="D214" s="46" t="s">
        <v>3</v>
      </c>
      <c r="E214">
        <v>0.51500000000000001</v>
      </c>
      <c r="F214">
        <f>TRUNC(16.55,2)</f>
        <v>16.55</v>
      </c>
      <c r="G214" s="104">
        <f>TRUNC(E214*F214,2)</f>
        <v>8.52</v>
      </c>
      <c r="CS214"/>
    </row>
    <row r="215" spans="1:97" ht="15.75" thickBot="1">
      <c r="B215" s="88"/>
      <c r="C215" s="182"/>
      <c r="E215" t="s">
        <v>4</v>
      </c>
      <c r="G215" s="104">
        <f>TRUNC(SUM(G212:G214),2)</f>
        <v>96.77</v>
      </c>
      <c r="CS215"/>
    </row>
    <row r="216" spans="1:97" ht="30.75" thickBot="1">
      <c r="A216" s="93" t="s">
        <v>237</v>
      </c>
      <c r="B216" s="94" t="s">
        <v>239</v>
      </c>
      <c r="C216" s="184" t="s">
        <v>357</v>
      </c>
      <c r="D216" s="93" t="s">
        <v>1</v>
      </c>
      <c r="E216" s="92">
        <v>24.2</v>
      </c>
      <c r="F216" s="81">
        <f>TRUNC(F217,2)</f>
        <v>21.19</v>
      </c>
      <c r="G216" s="103">
        <f>TRUNC(E216*F216,2)</f>
        <v>512.79</v>
      </c>
      <c r="CS216"/>
    </row>
    <row r="217" spans="1:97" ht="45">
      <c r="B217" s="88" t="s">
        <v>113</v>
      </c>
      <c r="C217" s="181" t="s">
        <v>476</v>
      </c>
      <c r="D217" s="46" t="s">
        <v>1</v>
      </c>
      <c r="E217">
        <v>1</v>
      </c>
      <c r="F217">
        <f>G221</f>
        <v>21.19</v>
      </c>
      <c r="G217" s="104">
        <f>TRUNC(E217*F217,2)</f>
        <v>21.19</v>
      </c>
      <c r="CS217"/>
    </row>
    <row r="218" spans="1:97">
      <c r="B218" s="88" t="s">
        <v>193</v>
      </c>
      <c r="C218" s="181" t="s">
        <v>477</v>
      </c>
      <c r="D218" s="46" t="s">
        <v>1</v>
      </c>
      <c r="F218">
        <f>TRUNC(59.75,2)</f>
        <v>59.75</v>
      </c>
      <c r="G218" s="104">
        <f>TRUNC(E218*F218,2)</f>
        <v>0</v>
      </c>
      <c r="CS218"/>
    </row>
    <row r="219" spans="1:97">
      <c r="B219" s="88" t="s">
        <v>194</v>
      </c>
      <c r="C219" s="181" t="s">
        <v>478</v>
      </c>
      <c r="D219" s="46" t="s">
        <v>3</v>
      </c>
      <c r="E219">
        <v>0.51500000000000001</v>
      </c>
      <c r="F219">
        <f>TRUNC(24.61,2)</f>
        <v>24.61</v>
      </c>
      <c r="G219" s="104">
        <f>TRUNC(E219*F219,2)</f>
        <v>12.67</v>
      </c>
      <c r="CS219"/>
    </row>
    <row r="220" spans="1:97">
      <c r="B220" s="88" t="s">
        <v>39</v>
      </c>
      <c r="C220" s="181" t="s">
        <v>383</v>
      </c>
      <c r="D220" s="46" t="s">
        <v>3</v>
      </c>
      <c r="E220">
        <v>0.51500000000000001</v>
      </c>
      <c r="F220">
        <f>TRUNC(16.55,2)</f>
        <v>16.55</v>
      </c>
      <c r="G220" s="104">
        <f>TRUNC(E220*F220,2)</f>
        <v>8.52</v>
      </c>
      <c r="CS220"/>
    </row>
    <row r="221" spans="1:97">
      <c r="B221" s="88"/>
      <c r="C221" s="182"/>
      <c r="E221" t="s">
        <v>4</v>
      </c>
      <c r="G221" s="104">
        <f>TRUNC(SUM(G218:G220),2)</f>
        <v>21.19</v>
      </c>
      <c r="CS221"/>
    </row>
    <row r="222" spans="1:97" ht="15.75" thickBot="1">
      <c r="B222" s="88"/>
      <c r="C222" s="182"/>
      <c r="G222" s="104"/>
      <c r="CS222"/>
    </row>
    <row r="223" spans="1:97" ht="41.25" customHeight="1" thickBot="1">
      <c r="A223" s="93" t="s">
        <v>238</v>
      </c>
      <c r="B223" s="94" t="s">
        <v>286</v>
      </c>
      <c r="C223" s="184" t="s">
        <v>358</v>
      </c>
      <c r="D223" s="93" t="s">
        <v>51</v>
      </c>
      <c r="E223" s="92">
        <v>560</v>
      </c>
      <c r="F223" s="81">
        <f>TRUNC(F224,2)</f>
        <v>16.07</v>
      </c>
      <c r="G223" s="103">
        <f t="shared" ref="G223:G228" si="11">TRUNC(E223*F223,2)</f>
        <v>8999.2000000000007</v>
      </c>
      <c r="CS223"/>
    </row>
    <row r="224" spans="1:97" ht="30">
      <c r="B224" s="88" t="s">
        <v>104</v>
      </c>
      <c r="C224" s="181" t="s">
        <v>404</v>
      </c>
      <c r="D224" s="46" t="s">
        <v>51</v>
      </c>
      <c r="E224">
        <v>1</v>
      </c>
      <c r="F224" s="105">
        <f>G229</f>
        <v>16.07</v>
      </c>
      <c r="G224" s="104">
        <f t="shared" si="11"/>
        <v>16.07</v>
      </c>
      <c r="CS224"/>
    </row>
    <row r="225" spans="1:97">
      <c r="B225" s="88" t="s">
        <v>285</v>
      </c>
      <c r="C225" s="181" t="s">
        <v>479</v>
      </c>
      <c r="D225" s="46" t="s">
        <v>1</v>
      </c>
      <c r="E225">
        <v>0.15</v>
      </c>
      <c r="F225">
        <v>3.2</v>
      </c>
      <c r="G225" s="104">
        <f t="shared" si="11"/>
        <v>0.48</v>
      </c>
      <c r="CS225"/>
    </row>
    <row r="226" spans="1:97">
      <c r="B226" s="88" t="s">
        <v>135</v>
      </c>
      <c r="C226" s="181" t="s">
        <v>480</v>
      </c>
      <c r="D226" s="46" t="s">
        <v>51</v>
      </c>
      <c r="E226">
        <v>1.05</v>
      </c>
      <c r="F226">
        <f>TRUNC(11.63,2)</f>
        <v>11.63</v>
      </c>
      <c r="G226" s="104">
        <f t="shared" si="11"/>
        <v>12.21</v>
      </c>
      <c r="CS226"/>
    </row>
    <row r="227" spans="1:97">
      <c r="B227" s="88" t="s">
        <v>39</v>
      </c>
      <c r="C227" s="181" t="s">
        <v>383</v>
      </c>
      <c r="D227" s="46" t="s">
        <v>3</v>
      </c>
      <c r="E227">
        <v>8.2400000000000001E-2</v>
      </c>
      <c r="F227">
        <f>TRUNC(16.55,2)</f>
        <v>16.55</v>
      </c>
      <c r="G227" s="104">
        <f t="shared" si="11"/>
        <v>1.36</v>
      </c>
      <c r="CS227"/>
    </row>
    <row r="228" spans="1:97">
      <c r="B228" s="88" t="s">
        <v>125</v>
      </c>
      <c r="C228" s="181" t="s">
        <v>384</v>
      </c>
      <c r="D228" s="46" t="s">
        <v>3</v>
      </c>
      <c r="E228">
        <v>8.2400000000000001E-2</v>
      </c>
      <c r="F228">
        <f>TRUNC(24.61,2)</f>
        <v>24.61</v>
      </c>
      <c r="G228" s="104">
        <f t="shared" si="11"/>
        <v>2.02</v>
      </c>
      <c r="CS228"/>
    </row>
    <row r="229" spans="1:97" ht="15.75" thickBot="1">
      <c r="B229" s="88"/>
      <c r="C229" s="182"/>
      <c r="E229" t="s">
        <v>4</v>
      </c>
      <c r="G229" s="104">
        <f>TRUNC(SUM(G225:G228),2)</f>
        <v>16.07</v>
      </c>
      <c r="CS229"/>
    </row>
    <row r="230" spans="1:97" ht="30.75" thickBot="1">
      <c r="A230" s="93" t="s">
        <v>241</v>
      </c>
      <c r="B230" s="94" t="s">
        <v>243</v>
      </c>
      <c r="C230" s="184" t="s">
        <v>595</v>
      </c>
      <c r="D230" s="93" t="s">
        <v>6</v>
      </c>
      <c r="E230" s="92">
        <v>9</v>
      </c>
      <c r="F230" s="81">
        <f>TRUNC(F231,2)</f>
        <v>49.13</v>
      </c>
      <c r="G230" s="103">
        <f>TRUNC(E230*F230,2)</f>
        <v>442.17</v>
      </c>
      <c r="CS230"/>
    </row>
    <row r="231" spans="1:97">
      <c r="B231" s="88" t="s">
        <v>243</v>
      </c>
      <c r="C231" s="181" t="s">
        <v>481</v>
      </c>
      <c r="D231" s="46" t="s">
        <v>6</v>
      </c>
      <c r="E231">
        <v>1</v>
      </c>
      <c r="F231" s="105">
        <f>G233</f>
        <v>49.13</v>
      </c>
      <c r="G231" s="104">
        <f>TRUNC(E231*F231,2)</f>
        <v>49.13</v>
      </c>
      <c r="CS231"/>
    </row>
    <row r="232" spans="1:97">
      <c r="B232" s="88" t="s">
        <v>287</v>
      </c>
      <c r="C232" s="181" t="s">
        <v>482</v>
      </c>
      <c r="D232" s="46" t="s">
        <v>6</v>
      </c>
      <c r="E232">
        <v>1</v>
      </c>
      <c r="F232">
        <f>TRUNC(49.13,2)</f>
        <v>49.13</v>
      </c>
      <c r="G232" s="104">
        <f>TRUNC(E232*F232,2)</f>
        <v>49.13</v>
      </c>
      <c r="CS232"/>
    </row>
    <row r="233" spans="1:97" ht="15.75" thickBot="1">
      <c r="B233" s="88"/>
      <c r="C233" s="182"/>
      <c r="E233" t="s">
        <v>4</v>
      </c>
      <c r="G233" s="104">
        <f>TRUNC(SUM(G232:G232),2)</f>
        <v>49.13</v>
      </c>
      <c r="CS233"/>
    </row>
    <row r="234" spans="1:97" ht="45.75" thickBot="1">
      <c r="A234" s="93" t="s">
        <v>242</v>
      </c>
      <c r="B234" s="94" t="s">
        <v>289</v>
      </c>
      <c r="C234" s="184" t="s">
        <v>483</v>
      </c>
      <c r="D234" s="93" t="s">
        <v>6</v>
      </c>
      <c r="E234" s="92">
        <v>2</v>
      </c>
      <c r="F234" s="81">
        <f>TRUNC(F235,2)</f>
        <v>176.72</v>
      </c>
      <c r="G234" s="103">
        <f>TRUNC(E234*F234,2)</f>
        <v>353.44</v>
      </c>
      <c r="CS234"/>
    </row>
    <row r="235" spans="1:97" ht="45">
      <c r="B235" s="88" t="s">
        <v>244</v>
      </c>
      <c r="C235" s="181" t="s">
        <v>484</v>
      </c>
      <c r="D235" s="46" t="s">
        <v>6</v>
      </c>
      <c r="E235">
        <v>1</v>
      </c>
      <c r="F235" s="105">
        <f>G238</f>
        <v>176.72</v>
      </c>
      <c r="G235" s="104">
        <f>TRUNC(E235*F235,2)</f>
        <v>176.72</v>
      </c>
      <c r="CS235"/>
    </row>
    <row r="236" spans="1:97" ht="30">
      <c r="B236" s="88" t="s">
        <v>245</v>
      </c>
      <c r="C236" s="181" t="s">
        <v>485</v>
      </c>
      <c r="D236" s="46" t="s">
        <v>6</v>
      </c>
      <c r="E236">
        <v>1.6</v>
      </c>
      <c r="F236">
        <f>TRUNC(109,2)</f>
        <v>109</v>
      </c>
      <c r="G236" s="104">
        <f>TRUNC(E236*F236,2)</f>
        <v>174.4</v>
      </c>
      <c r="CS236"/>
    </row>
    <row r="237" spans="1:97">
      <c r="B237" s="88" t="s">
        <v>288</v>
      </c>
      <c r="C237" s="181" t="s">
        <v>486</v>
      </c>
      <c r="D237" s="46" t="s">
        <v>6</v>
      </c>
      <c r="E237">
        <f>0.3/6</f>
        <v>4.9999999999999996E-2</v>
      </c>
      <c r="F237">
        <v>46.4893</v>
      </c>
      <c r="G237" s="104">
        <f>TRUNC(E237*F237,2)</f>
        <v>2.3199999999999998</v>
      </c>
      <c r="CS237"/>
    </row>
    <row r="238" spans="1:97" ht="15.75" thickBot="1">
      <c r="B238" s="88"/>
      <c r="C238" s="182"/>
      <c r="E238" t="s">
        <v>4</v>
      </c>
      <c r="G238" s="104">
        <f>TRUNC(SUM(G236:G237),2)</f>
        <v>176.72</v>
      </c>
      <c r="CS238"/>
    </row>
    <row r="239" spans="1:97" s="141" customFormat="1" ht="30.75" thickBot="1">
      <c r="A239" s="136" t="s">
        <v>246</v>
      </c>
      <c r="B239" s="137" t="s">
        <v>279</v>
      </c>
      <c r="C239" s="183" t="s">
        <v>487</v>
      </c>
      <c r="D239" s="136" t="s">
        <v>1</v>
      </c>
      <c r="E239" s="138">
        <v>1.6</v>
      </c>
      <c r="F239" s="138">
        <f>TRUNC(F240,2)</f>
        <v>115.07</v>
      </c>
      <c r="G239" s="139">
        <f>TRUNC(E239*F239,2)</f>
        <v>184.11</v>
      </c>
      <c r="H239" s="140"/>
      <c r="I239" s="140"/>
      <c r="J239" s="140"/>
      <c r="K239" s="140"/>
      <c r="L239" s="140"/>
      <c r="M239" s="140"/>
      <c r="N239" s="140"/>
      <c r="O239" s="140"/>
      <c r="P239" s="140"/>
      <c r="Q239" s="140"/>
      <c r="R239" s="140"/>
      <c r="S239" s="140"/>
      <c r="T239" s="140"/>
      <c r="U239" s="140"/>
      <c r="V239" s="140"/>
      <c r="W239" s="140"/>
      <c r="X239" s="140"/>
      <c r="Y239" s="140"/>
      <c r="Z239" s="140"/>
      <c r="AA239" s="140"/>
      <c r="AB239" s="140"/>
      <c r="AC239" s="140"/>
      <c r="AD239" s="140"/>
      <c r="AE239" s="140"/>
      <c r="AF239" s="140"/>
      <c r="AG239" s="140"/>
      <c r="AH239" s="140"/>
      <c r="AI239" s="140"/>
      <c r="AJ239" s="140"/>
      <c r="AK239" s="140"/>
      <c r="AL239" s="140"/>
      <c r="AM239" s="140"/>
      <c r="AN239" s="140"/>
      <c r="AO239" s="140"/>
      <c r="AP239" s="140"/>
      <c r="AQ239" s="140"/>
      <c r="AR239" s="140"/>
      <c r="AS239" s="140"/>
      <c r="AT239" s="140"/>
      <c r="AU239" s="140"/>
      <c r="AV239" s="140"/>
      <c r="AW239" s="140"/>
      <c r="AX239" s="140"/>
      <c r="AY239" s="140"/>
      <c r="AZ239" s="140"/>
      <c r="BA239" s="140"/>
      <c r="BB239" s="140"/>
      <c r="BC239" s="140"/>
      <c r="BD239" s="140"/>
      <c r="BE239" s="140"/>
      <c r="BF239" s="140"/>
      <c r="BG239" s="140"/>
      <c r="BH239" s="140"/>
      <c r="BI239" s="140"/>
      <c r="BJ239" s="140"/>
      <c r="BK239" s="140"/>
      <c r="BL239" s="140"/>
      <c r="BM239" s="140"/>
      <c r="BN239" s="140"/>
      <c r="BO239" s="140"/>
      <c r="BP239" s="140"/>
      <c r="BQ239" s="140"/>
      <c r="BR239" s="140"/>
      <c r="BS239" s="140"/>
      <c r="BT239" s="140"/>
      <c r="BU239" s="140"/>
      <c r="BV239" s="140"/>
      <c r="BW239" s="140"/>
      <c r="BX239" s="140"/>
      <c r="BY239" s="140"/>
      <c r="BZ239" s="140"/>
      <c r="CA239" s="140"/>
      <c r="CB239" s="140"/>
      <c r="CC239" s="140"/>
      <c r="CD239" s="140"/>
      <c r="CE239" s="140"/>
      <c r="CF239" s="140"/>
      <c r="CG239" s="140"/>
      <c r="CH239" s="140"/>
      <c r="CI239" s="140"/>
      <c r="CJ239" s="140"/>
      <c r="CK239" s="140"/>
      <c r="CL239" s="140"/>
      <c r="CM239" s="140"/>
      <c r="CN239" s="140"/>
      <c r="CO239" s="140"/>
      <c r="CP239" s="140"/>
      <c r="CQ239" s="140"/>
      <c r="CR239" s="140"/>
    </row>
    <row r="240" spans="1:97" ht="45">
      <c r="B240" s="88" t="s">
        <v>277</v>
      </c>
      <c r="C240" s="181" t="s">
        <v>488</v>
      </c>
      <c r="D240" s="46" t="s">
        <v>1</v>
      </c>
      <c r="E240">
        <v>1</v>
      </c>
      <c r="F240" s="105">
        <f>G244</f>
        <v>115.07</v>
      </c>
      <c r="G240" s="104">
        <f>TRUNC(E240*F240,2)</f>
        <v>115.07</v>
      </c>
      <c r="CS240"/>
    </row>
    <row r="241" spans="1:97">
      <c r="B241" s="88" t="s">
        <v>278</v>
      </c>
      <c r="C241" s="181" t="s">
        <v>489</v>
      </c>
      <c r="D241" s="46" t="s">
        <v>1</v>
      </c>
      <c r="E241">
        <v>1.05</v>
      </c>
      <c r="F241">
        <v>90</v>
      </c>
      <c r="G241" s="104">
        <f>TRUNC(E241*F241,2)</f>
        <v>94.5</v>
      </c>
      <c r="CS241"/>
    </row>
    <row r="242" spans="1:97">
      <c r="B242" s="88" t="s">
        <v>194</v>
      </c>
      <c r="C242" s="181" t="s">
        <v>478</v>
      </c>
      <c r="D242" s="46" t="s">
        <v>3</v>
      </c>
      <c r="E242">
        <v>0.5</v>
      </c>
      <c r="F242">
        <f>TRUNC(24.61,2)</f>
        <v>24.61</v>
      </c>
      <c r="G242" s="104">
        <f>TRUNC(E242*F242,2)</f>
        <v>12.3</v>
      </c>
      <c r="CS242"/>
    </row>
    <row r="243" spans="1:97">
      <c r="B243" s="88" t="s">
        <v>39</v>
      </c>
      <c r="C243" s="181" t="s">
        <v>383</v>
      </c>
      <c r="D243" s="46" t="s">
        <v>3</v>
      </c>
      <c r="E243">
        <v>0.5</v>
      </c>
      <c r="F243">
        <f>TRUNC(16.55,2)</f>
        <v>16.55</v>
      </c>
      <c r="G243" s="104">
        <f>TRUNC(E243*F243,2)</f>
        <v>8.27</v>
      </c>
      <c r="CS243"/>
    </row>
    <row r="244" spans="1:97">
      <c r="B244" s="88"/>
      <c r="C244" s="182"/>
      <c r="E244" t="s">
        <v>4</v>
      </c>
      <c r="G244" s="104">
        <f>TRUNC(SUM(G241:G243),2)</f>
        <v>115.07</v>
      </c>
      <c r="CS244"/>
    </row>
    <row r="245" spans="1:97" ht="30">
      <c r="A245" s="93" t="s">
        <v>572</v>
      </c>
      <c r="B245" s="94" t="s">
        <v>578</v>
      </c>
      <c r="C245" s="188" t="s">
        <v>581</v>
      </c>
      <c r="D245" s="93" t="s">
        <v>577</v>
      </c>
      <c r="E245" s="92">
        <v>21</v>
      </c>
      <c r="F245" s="103">
        <f>TRUNC((F246+G251),2)</f>
        <v>25.82</v>
      </c>
      <c r="G245" s="103">
        <f>TRUNC(E245*F245,2)</f>
        <v>542.22</v>
      </c>
      <c r="CS245"/>
    </row>
    <row r="246" spans="1:97" ht="45">
      <c r="B246" s="46" t="s">
        <v>558</v>
      </c>
      <c r="C246" s="1" t="s">
        <v>559</v>
      </c>
      <c r="D246" s="46" t="s">
        <v>1</v>
      </c>
      <c r="E246">
        <v>1</v>
      </c>
      <c r="F246" s="155">
        <f>G250</f>
        <v>7.88</v>
      </c>
      <c r="G246" s="105">
        <f>TRUNC(E246*F246,2)</f>
        <v>7.88</v>
      </c>
    </row>
    <row r="247" spans="1:97">
      <c r="B247" s="46" t="s">
        <v>579</v>
      </c>
      <c r="C247" s="1" t="s">
        <v>580</v>
      </c>
      <c r="D247" s="46" t="s">
        <v>2</v>
      </c>
      <c r="E247">
        <v>1</v>
      </c>
      <c r="F247">
        <v>12.2194</v>
      </c>
      <c r="G247" s="105">
        <f>TRUNC(E247*F247,2)</f>
        <v>12.21</v>
      </c>
    </row>
    <row r="248" spans="1:97">
      <c r="B248" s="46" t="s">
        <v>39</v>
      </c>
      <c r="C248" s="1" t="s">
        <v>560</v>
      </c>
      <c r="D248" s="46" t="s">
        <v>3</v>
      </c>
      <c r="E248">
        <v>0.2</v>
      </c>
      <c r="F248" s="105">
        <f>TRUNC(16.55,2)</f>
        <v>16.55</v>
      </c>
      <c r="G248" s="105">
        <f>TRUNC(E248*F248,2)</f>
        <v>3.31</v>
      </c>
    </row>
    <row r="249" spans="1:97">
      <c r="B249" s="46" t="s">
        <v>129</v>
      </c>
      <c r="C249" s="1" t="s">
        <v>561</v>
      </c>
      <c r="D249" s="46" t="s">
        <v>3</v>
      </c>
      <c r="E249">
        <v>0.2</v>
      </c>
      <c r="F249" s="105">
        <f>TRUNC(22.86,2)</f>
        <v>22.86</v>
      </c>
      <c r="G249" s="105">
        <f>TRUNC(E249*F249,2)</f>
        <v>4.57</v>
      </c>
    </row>
    <row r="250" spans="1:97">
      <c r="E250" t="s">
        <v>4</v>
      </c>
      <c r="F250" s="105"/>
      <c r="G250" s="105">
        <f>TRUNC(SUM(G248:G249),2)</f>
        <v>7.88</v>
      </c>
    </row>
    <row r="251" spans="1:97" ht="30">
      <c r="B251" s="46" t="s">
        <v>573</v>
      </c>
      <c r="C251" s="1" t="s">
        <v>564</v>
      </c>
      <c r="D251" s="46" t="s">
        <v>6</v>
      </c>
      <c r="E251">
        <v>2</v>
      </c>
      <c r="F251" s="105">
        <f>G256</f>
        <v>8.9700000000000006</v>
      </c>
      <c r="G251" s="155">
        <f>TRUNC(E251*F251,2)</f>
        <v>17.940000000000001</v>
      </c>
    </row>
    <row r="252" spans="1:97" ht="30">
      <c r="B252" s="46" t="s">
        <v>297</v>
      </c>
      <c r="C252" s="1" t="s">
        <v>565</v>
      </c>
      <c r="D252" s="46" t="s">
        <v>2</v>
      </c>
      <c r="E252">
        <v>0.04</v>
      </c>
      <c r="F252">
        <f>TRUNC(19.61,2)</f>
        <v>19.61</v>
      </c>
      <c r="G252" s="105">
        <f>TRUNC(E252*F252,2)</f>
        <v>0.78</v>
      </c>
    </row>
    <row r="253" spans="1:97">
      <c r="B253" s="46" t="s">
        <v>132</v>
      </c>
      <c r="C253" s="1" t="s">
        <v>574</v>
      </c>
      <c r="D253" s="46" t="s">
        <v>3</v>
      </c>
      <c r="E253">
        <v>0.18540000000000001</v>
      </c>
      <c r="F253">
        <f>TRUNC(24.61,2)</f>
        <v>24.61</v>
      </c>
      <c r="G253" s="105">
        <f>TRUNC(E253*F253,2)</f>
        <v>4.5599999999999996</v>
      </c>
    </row>
    <row r="254" spans="1:97">
      <c r="B254" s="46" t="s">
        <v>133</v>
      </c>
      <c r="C254" s="1" t="s">
        <v>575</v>
      </c>
      <c r="D254" s="46" t="s">
        <v>3</v>
      </c>
      <c r="E254">
        <v>0.1545</v>
      </c>
      <c r="F254">
        <f>TRUNC(17.43,2)</f>
        <v>17.43</v>
      </c>
      <c r="G254" s="105">
        <f>TRUNC(E254*F254,2)</f>
        <v>2.69</v>
      </c>
    </row>
    <row r="255" spans="1:97">
      <c r="B255" s="46" t="s">
        <v>298</v>
      </c>
      <c r="C255" s="1" t="s">
        <v>576</v>
      </c>
      <c r="D255" s="46" t="s">
        <v>3</v>
      </c>
      <c r="E255">
        <v>0.05</v>
      </c>
      <c r="F255">
        <f>TRUNC(18.8688,2)</f>
        <v>18.86</v>
      </c>
      <c r="G255" s="105">
        <f>TRUNC(E255*F255,2)</f>
        <v>0.94</v>
      </c>
    </row>
    <row r="256" spans="1:97" ht="15.75" thickBot="1">
      <c r="E256" t="s">
        <v>4</v>
      </c>
      <c r="G256" s="105">
        <f>TRUNC(SUM(G252:G255),2)</f>
        <v>8.9700000000000006</v>
      </c>
    </row>
    <row r="257" spans="1:97" s="41" customFormat="1" ht="15.75" thickBot="1">
      <c r="A257" s="95" t="s">
        <v>33</v>
      </c>
      <c r="B257" s="96"/>
      <c r="C257" s="185"/>
      <c r="D257" s="95"/>
      <c r="E257" s="98"/>
      <c r="F257" s="98" t="s">
        <v>217</v>
      </c>
      <c r="G257" s="82">
        <f>G205+G210+G216+G223+G230+G234+G239+G245</f>
        <v>27434.16</v>
      </c>
      <c r="H257" s="70"/>
      <c r="I257" s="70"/>
      <c r="J257" s="70"/>
      <c r="K257" s="70"/>
      <c r="L257" s="70"/>
      <c r="M257" s="70"/>
      <c r="N257" s="70"/>
      <c r="O257" s="70"/>
      <c r="P257" s="70"/>
      <c r="Q257" s="70"/>
      <c r="R257" s="70"/>
      <c r="S257" s="70"/>
      <c r="T257" s="70"/>
      <c r="U257" s="70"/>
      <c r="V257" s="70"/>
      <c r="W257" s="70"/>
      <c r="X257" s="70"/>
      <c r="Y257" s="70"/>
      <c r="Z257" s="70"/>
      <c r="AA257" s="70"/>
      <c r="AB257" s="70"/>
      <c r="AC257" s="70"/>
      <c r="AD257" s="70"/>
      <c r="AE257" s="70"/>
      <c r="AF257" s="70"/>
      <c r="AG257" s="70"/>
      <c r="AH257" s="70"/>
      <c r="AI257" s="70"/>
      <c r="AJ257" s="70"/>
      <c r="AK257" s="70"/>
      <c r="AL257" s="70"/>
      <c r="AM257" s="70"/>
      <c r="AN257" s="70"/>
      <c r="AO257" s="70"/>
      <c r="AP257" s="70"/>
      <c r="AQ257" s="70"/>
      <c r="AR257" s="70"/>
      <c r="AS257" s="70"/>
      <c r="AT257" s="70"/>
      <c r="AU257" s="70"/>
      <c r="AV257" s="70"/>
      <c r="AW257" s="70"/>
      <c r="AX257" s="70"/>
      <c r="AY257" s="70"/>
      <c r="AZ257" s="70"/>
      <c r="BA257" s="70"/>
      <c r="BB257" s="70"/>
      <c r="BC257" s="70"/>
      <c r="BD257" s="70"/>
      <c r="BE257" s="70"/>
      <c r="BF257" s="70"/>
      <c r="BG257" s="70"/>
      <c r="BH257" s="70"/>
      <c r="BI257" s="70"/>
      <c r="BJ257" s="70"/>
      <c r="BK257" s="70"/>
      <c r="BL257" s="70"/>
      <c r="BM257" s="70"/>
      <c r="BN257" s="70"/>
      <c r="BO257" s="70"/>
      <c r="BP257" s="70"/>
      <c r="BQ257" s="70"/>
      <c r="BR257" s="70"/>
      <c r="BS257" s="70"/>
      <c r="BT257" s="70"/>
      <c r="BU257" s="70"/>
      <c r="BV257" s="70"/>
      <c r="BW257" s="70"/>
      <c r="BX257" s="70"/>
      <c r="BY257" s="70"/>
      <c r="BZ257" s="70"/>
      <c r="CA257" s="70"/>
      <c r="CB257" s="70"/>
      <c r="CC257" s="70"/>
      <c r="CD257" s="70"/>
      <c r="CE257" s="70"/>
      <c r="CF257" s="70"/>
      <c r="CG257" s="70"/>
      <c r="CH257" s="70"/>
      <c r="CI257" s="70"/>
      <c r="CJ257" s="70"/>
      <c r="CK257" s="70"/>
      <c r="CL257" s="70"/>
      <c r="CM257" s="70"/>
      <c r="CN257" s="70"/>
      <c r="CO257" s="70"/>
      <c r="CP257" s="70"/>
      <c r="CQ257" s="70"/>
      <c r="CR257" s="70"/>
    </row>
    <row r="258" spans="1:97" s="41" customFormat="1" ht="15.75" thickBot="1">
      <c r="A258" s="95" t="s">
        <v>77</v>
      </c>
      <c r="B258" s="96"/>
      <c r="C258" s="164" t="s">
        <v>361</v>
      </c>
      <c r="D258" s="95" t="s">
        <v>49</v>
      </c>
      <c r="E258" s="98"/>
      <c r="F258" s="98"/>
      <c r="G258" s="82"/>
      <c r="H258" s="70"/>
      <c r="I258" s="70"/>
      <c r="J258" s="70"/>
      <c r="K258" s="70"/>
      <c r="L258" s="70"/>
      <c r="M258" s="70"/>
      <c r="N258" s="70"/>
      <c r="O258" s="70"/>
      <c r="P258" s="70"/>
      <c r="Q258" s="70"/>
      <c r="R258" s="70"/>
      <c r="S258" s="70"/>
      <c r="T258" s="70"/>
      <c r="U258" s="70"/>
      <c r="V258" s="70"/>
      <c r="W258" s="70"/>
      <c r="X258" s="70"/>
      <c r="Y258" s="70"/>
      <c r="Z258" s="70"/>
      <c r="AA258" s="70"/>
      <c r="AB258" s="70"/>
      <c r="AC258" s="70"/>
      <c r="AD258" s="70"/>
      <c r="AE258" s="70"/>
      <c r="AF258" s="70"/>
      <c r="AG258" s="70"/>
      <c r="AH258" s="70"/>
      <c r="AI258" s="70"/>
      <c r="AJ258" s="70"/>
      <c r="AK258" s="70"/>
      <c r="AL258" s="70"/>
      <c r="AM258" s="70"/>
      <c r="AN258" s="70"/>
      <c r="AO258" s="70"/>
      <c r="AP258" s="70"/>
      <c r="AQ258" s="70"/>
      <c r="AR258" s="70"/>
      <c r="AS258" s="70"/>
      <c r="AT258" s="70"/>
      <c r="AU258" s="70"/>
      <c r="AV258" s="70"/>
      <c r="AW258" s="70"/>
      <c r="AX258" s="70"/>
      <c r="AY258" s="70"/>
      <c r="AZ258" s="70"/>
      <c r="BA258" s="70"/>
      <c r="BB258" s="70"/>
      <c r="BC258" s="70"/>
      <c r="BD258" s="70"/>
      <c r="BE258" s="70"/>
      <c r="BF258" s="70"/>
      <c r="BG258" s="70"/>
      <c r="BH258" s="70"/>
      <c r="BI258" s="70"/>
      <c r="BJ258" s="70"/>
      <c r="BK258" s="70"/>
      <c r="BL258" s="70"/>
      <c r="BM258" s="70"/>
      <c r="BN258" s="70"/>
      <c r="BO258" s="70"/>
      <c r="BP258" s="70"/>
      <c r="BQ258" s="70"/>
      <c r="BR258" s="70"/>
      <c r="BS258" s="70"/>
      <c r="BT258" s="70"/>
      <c r="BU258" s="70"/>
      <c r="BV258" s="70"/>
      <c r="BW258" s="70"/>
      <c r="BX258" s="70"/>
      <c r="BY258" s="70"/>
      <c r="BZ258" s="70"/>
      <c r="CA258" s="70"/>
      <c r="CB258" s="70"/>
      <c r="CC258" s="70"/>
      <c r="CD258" s="70"/>
      <c r="CE258" s="70"/>
      <c r="CF258" s="70"/>
      <c r="CG258" s="70"/>
      <c r="CH258" s="70"/>
      <c r="CI258" s="70"/>
      <c r="CJ258" s="70"/>
      <c r="CK258" s="70"/>
      <c r="CL258" s="70"/>
      <c r="CM258" s="70"/>
      <c r="CN258" s="70"/>
      <c r="CO258" s="70"/>
      <c r="CP258" s="70"/>
      <c r="CQ258" s="70"/>
      <c r="CR258" s="70"/>
    </row>
    <row r="259" spans="1:97" ht="15.75" thickBot="1">
      <c r="A259" s="93" t="s">
        <v>79</v>
      </c>
      <c r="B259" s="94" t="s">
        <v>594</v>
      </c>
      <c r="C259" s="163" t="s">
        <v>596</v>
      </c>
      <c r="D259" s="93" t="s">
        <v>6</v>
      </c>
      <c r="E259" s="92">
        <v>8</v>
      </c>
      <c r="F259" s="142">
        <f>TRUNC(F260,2)</f>
        <v>355.72</v>
      </c>
      <c r="G259" s="103">
        <f t="shared" ref="G259:G265" si="12">TRUNC(E259*F259,2)</f>
        <v>2845.76</v>
      </c>
      <c r="CS259"/>
    </row>
    <row r="260" spans="1:97" ht="30">
      <c r="B260" s="88" t="s">
        <v>582</v>
      </c>
      <c r="C260" s="182" t="s">
        <v>583</v>
      </c>
      <c r="D260" s="46" t="s">
        <v>6</v>
      </c>
      <c r="E260">
        <v>1</v>
      </c>
      <c r="F260" s="105">
        <f>G266</f>
        <v>355.72</v>
      </c>
      <c r="G260" s="104">
        <f t="shared" si="12"/>
        <v>355.72</v>
      </c>
      <c r="CS260"/>
    </row>
    <row r="261" spans="1:97">
      <c r="B261" s="88" t="s">
        <v>287</v>
      </c>
      <c r="C261" s="182" t="s">
        <v>584</v>
      </c>
      <c r="D261" s="46" t="s">
        <v>6</v>
      </c>
      <c r="E261">
        <v>1</v>
      </c>
      <c r="F261">
        <v>300</v>
      </c>
      <c r="G261" s="104">
        <f t="shared" si="12"/>
        <v>300</v>
      </c>
      <c r="CS261"/>
    </row>
    <row r="262" spans="1:97">
      <c r="B262" s="88" t="s">
        <v>585</v>
      </c>
      <c r="C262" s="182" t="s">
        <v>586</v>
      </c>
      <c r="D262" s="46" t="s">
        <v>6</v>
      </c>
      <c r="E262">
        <v>1.4E-2</v>
      </c>
      <c r="F262">
        <f>TRUNC(7.35,2)</f>
        <v>7.35</v>
      </c>
      <c r="G262" s="104">
        <f t="shared" si="12"/>
        <v>0.1</v>
      </c>
      <c r="CS262"/>
    </row>
    <row r="263" spans="1:97">
      <c r="B263" s="88" t="s">
        <v>587</v>
      </c>
      <c r="C263" s="182" t="s">
        <v>588</v>
      </c>
      <c r="D263" s="46" t="s">
        <v>3</v>
      </c>
      <c r="E263">
        <v>0.23810000000000001</v>
      </c>
      <c r="F263">
        <f>TRUNC(30.08,2)</f>
        <v>30.08</v>
      </c>
      <c r="G263" s="104">
        <f t="shared" si="12"/>
        <v>7.16</v>
      </c>
      <c r="CS263"/>
    </row>
    <row r="264" spans="1:97">
      <c r="B264" s="88" t="s">
        <v>589</v>
      </c>
      <c r="C264" s="182" t="s">
        <v>590</v>
      </c>
      <c r="D264" s="46" t="s">
        <v>3</v>
      </c>
      <c r="E264">
        <v>0.23810000000000001</v>
      </c>
      <c r="F264">
        <f>TRUNC(23.24,2)</f>
        <v>23.24</v>
      </c>
      <c r="G264" s="104">
        <f t="shared" si="12"/>
        <v>5.53</v>
      </c>
      <c r="CS264"/>
    </row>
    <row r="265" spans="1:97" ht="45">
      <c r="B265" s="88" t="s">
        <v>591</v>
      </c>
      <c r="C265" s="182" t="s">
        <v>592</v>
      </c>
      <c r="D265" s="46" t="s">
        <v>593</v>
      </c>
      <c r="E265">
        <v>0.23880000000000001</v>
      </c>
      <c r="F265">
        <f>TRUNC(179.79,2)</f>
        <v>179.79</v>
      </c>
      <c r="G265" s="104">
        <f t="shared" si="12"/>
        <v>42.93</v>
      </c>
      <c r="CS265"/>
    </row>
    <row r="266" spans="1:97" ht="15.75" thickBot="1">
      <c r="B266" s="88"/>
      <c r="C266" s="182"/>
      <c r="E266" t="s">
        <v>4</v>
      </c>
      <c r="G266" s="104">
        <f>TRUNC(SUM(G261:G265),2)</f>
        <v>355.72</v>
      </c>
      <c r="CS266"/>
    </row>
    <row r="267" spans="1:97" ht="30.75" thickBot="1">
      <c r="A267" s="93" t="s">
        <v>80</v>
      </c>
      <c r="B267" s="94" t="s">
        <v>290</v>
      </c>
      <c r="C267" s="184" t="s">
        <v>362</v>
      </c>
      <c r="D267" s="93" t="s">
        <v>6</v>
      </c>
      <c r="E267" s="92">
        <v>4</v>
      </c>
      <c r="F267" s="81">
        <f>TRUNC(F268,2)</f>
        <v>96.38</v>
      </c>
      <c r="G267" s="103">
        <f t="shared" ref="G267:G273" si="13">TRUNC(E267*F267,2)</f>
        <v>385.52</v>
      </c>
      <c r="CS267"/>
    </row>
    <row r="268" spans="1:97" ht="30">
      <c r="B268" s="88" t="s">
        <v>290</v>
      </c>
      <c r="C268" s="181" t="s">
        <v>362</v>
      </c>
      <c r="D268" s="46" t="s">
        <v>6</v>
      </c>
      <c r="E268">
        <v>1</v>
      </c>
      <c r="F268" s="105">
        <f>G274</f>
        <v>96.38</v>
      </c>
      <c r="G268" s="104">
        <f t="shared" si="13"/>
        <v>96.38</v>
      </c>
      <c r="CS268"/>
    </row>
    <row r="269" spans="1:97">
      <c r="B269" s="88" t="s">
        <v>291</v>
      </c>
      <c r="C269" s="181" t="s">
        <v>491</v>
      </c>
      <c r="D269" s="46" t="s">
        <v>6</v>
      </c>
      <c r="E269">
        <v>1</v>
      </c>
      <c r="F269">
        <f>TRUNC(52.68,2)</f>
        <v>52.68</v>
      </c>
      <c r="G269" s="104">
        <f t="shared" si="13"/>
        <v>52.68</v>
      </c>
      <c r="CS269"/>
    </row>
    <row r="270" spans="1:97">
      <c r="B270" s="88" t="s">
        <v>167</v>
      </c>
      <c r="C270" s="181" t="s">
        <v>437</v>
      </c>
      <c r="D270" s="46" t="s">
        <v>3</v>
      </c>
      <c r="E270">
        <v>5.9499999999999997E-2</v>
      </c>
      <c r="F270">
        <f>TRUNC(22.56,2)</f>
        <v>22.56</v>
      </c>
      <c r="G270" s="104">
        <f t="shared" si="13"/>
        <v>1.34</v>
      </c>
      <c r="CS270"/>
    </row>
    <row r="271" spans="1:97">
      <c r="B271" s="88" t="s">
        <v>168</v>
      </c>
      <c r="C271" s="181" t="s">
        <v>438</v>
      </c>
      <c r="D271" s="46" t="s">
        <v>3</v>
      </c>
      <c r="E271">
        <v>5.9499999999999997E-2</v>
      </c>
      <c r="F271">
        <f>TRUNC(28.64,2)</f>
        <v>28.64</v>
      </c>
      <c r="G271" s="104">
        <f t="shared" si="13"/>
        <v>1.7</v>
      </c>
      <c r="CS271"/>
    </row>
    <row r="272" spans="1:97" ht="30">
      <c r="B272" s="88" t="s">
        <v>197</v>
      </c>
      <c r="C272" s="181" t="s">
        <v>492</v>
      </c>
      <c r="D272" s="46" t="s">
        <v>0</v>
      </c>
      <c r="E272">
        <v>3.5999999999999997E-2</v>
      </c>
      <c r="F272">
        <f>TRUNC(243.36,2)</f>
        <v>243.36</v>
      </c>
      <c r="G272" s="104">
        <f t="shared" si="13"/>
        <v>8.76</v>
      </c>
      <c r="CS272"/>
    </row>
    <row r="273" spans="1:97" ht="30">
      <c r="B273" s="88" t="s">
        <v>292</v>
      </c>
      <c r="C273" s="181" t="s">
        <v>493</v>
      </c>
      <c r="D273" s="46" t="s">
        <v>0</v>
      </c>
      <c r="E273">
        <v>9.1000000000000004E-3</v>
      </c>
      <c r="F273">
        <f>TRUNC(3506.28,2)</f>
        <v>3506.28</v>
      </c>
      <c r="G273" s="104">
        <f t="shared" si="13"/>
        <v>31.9</v>
      </c>
      <c r="CS273"/>
    </row>
    <row r="274" spans="1:97" ht="15.75" thickBot="1">
      <c r="B274" s="88"/>
      <c r="C274" s="182"/>
      <c r="E274" t="s">
        <v>4</v>
      </c>
      <c r="G274" s="104">
        <f>TRUNC(SUM(G269:G273),2)</f>
        <v>96.38</v>
      </c>
      <c r="CS274"/>
    </row>
    <row r="275" spans="1:97" s="154" customFormat="1" ht="94.5" thickBot="1">
      <c r="A275" s="150" t="s">
        <v>310</v>
      </c>
      <c r="B275" s="151" t="s">
        <v>534</v>
      </c>
      <c r="C275" s="187" t="s">
        <v>535</v>
      </c>
      <c r="D275" s="150" t="s">
        <v>320</v>
      </c>
      <c r="E275" s="152">
        <v>4</v>
      </c>
      <c r="F275" s="153">
        <f>TRUNC(G276+G282+G287,2)</f>
        <v>40.53</v>
      </c>
      <c r="G275" s="153">
        <f t="shared" ref="G275:G280" si="14">TRUNC(E275*F275,2)</f>
        <v>162.12</v>
      </c>
      <c r="H275" s="64"/>
      <c r="I275" s="64"/>
      <c r="J275" s="64"/>
      <c r="K275" s="64"/>
      <c r="L275" s="64"/>
      <c r="M275" s="64"/>
      <c r="N275" s="64"/>
      <c r="O275" s="64"/>
      <c r="P275" s="64"/>
      <c r="Q275" s="64"/>
      <c r="R275" s="64"/>
      <c r="S275" s="64"/>
      <c r="T275" s="64"/>
      <c r="U275" s="64"/>
      <c r="V275" s="64"/>
      <c r="W275" s="64"/>
      <c r="X275" s="64"/>
      <c r="Y275" s="64"/>
      <c r="Z275" s="64"/>
      <c r="AA275" s="64"/>
      <c r="AB275" s="64"/>
      <c r="AC275" s="64"/>
      <c r="AD275" s="64"/>
      <c r="AE275" s="64"/>
      <c r="AF275" s="64"/>
      <c r="AG275" s="64"/>
      <c r="AH275" s="64"/>
      <c r="AI275" s="64"/>
      <c r="AJ275" s="64"/>
      <c r="AK275" s="64"/>
      <c r="AL275" s="64"/>
      <c r="AM275" s="64"/>
      <c r="AN275" s="64"/>
      <c r="AO275" s="64"/>
      <c r="AP275" s="64"/>
      <c r="AQ275" s="64"/>
      <c r="AR275" s="64"/>
      <c r="AS275" s="64"/>
      <c r="AT275" s="64"/>
      <c r="AU275" s="64"/>
      <c r="AV275" s="64"/>
      <c r="AW275" s="64"/>
      <c r="AX275" s="64"/>
      <c r="AY275" s="64"/>
      <c r="AZ275" s="64"/>
      <c r="BA275" s="64"/>
      <c r="BB275" s="64"/>
      <c r="BC275" s="64"/>
      <c r="BD275" s="64"/>
      <c r="BE275" s="64"/>
      <c r="BF275" s="64"/>
      <c r="BG275" s="64"/>
      <c r="BH275" s="64"/>
      <c r="BI275" s="64"/>
      <c r="BJ275" s="64"/>
      <c r="BK275" s="64"/>
      <c r="BL275" s="64"/>
      <c r="BM275" s="64"/>
      <c r="BN275" s="64"/>
      <c r="BO275" s="64"/>
      <c r="BP275" s="64"/>
      <c r="BQ275" s="64"/>
      <c r="BR275" s="64"/>
      <c r="BS275" s="64"/>
      <c r="BT275" s="64"/>
      <c r="BU275" s="64"/>
      <c r="BV275" s="64"/>
      <c r="BW275" s="64"/>
      <c r="BX275" s="64"/>
      <c r="BY275" s="64"/>
      <c r="BZ275" s="64"/>
      <c r="CA275" s="64"/>
      <c r="CB275" s="64"/>
      <c r="CC275" s="64"/>
      <c r="CD275" s="64"/>
      <c r="CE275" s="64"/>
      <c r="CF275" s="64"/>
      <c r="CG275" s="64"/>
      <c r="CH275" s="64"/>
      <c r="CI275" s="64"/>
      <c r="CJ275" s="64"/>
      <c r="CK275" s="64"/>
      <c r="CL275" s="64"/>
      <c r="CM275" s="64"/>
      <c r="CN275" s="64"/>
      <c r="CO275" s="64"/>
      <c r="CP275" s="64"/>
      <c r="CQ275" s="64"/>
      <c r="CR275" s="64"/>
    </row>
    <row r="276" spans="1:97">
      <c r="B276" s="88" t="s">
        <v>526</v>
      </c>
      <c r="C276" s="181" t="s">
        <v>527</v>
      </c>
      <c r="D276" s="46" t="s">
        <v>6</v>
      </c>
      <c r="E276">
        <v>1</v>
      </c>
      <c r="F276" s="105">
        <f>TRUNC(28.295298,2)</f>
        <v>28.29</v>
      </c>
      <c r="G276" s="104">
        <f t="shared" si="14"/>
        <v>28.29</v>
      </c>
      <c r="CS276"/>
    </row>
    <row r="277" spans="1:97">
      <c r="B277" s="88" t="s">
        <v>528</v>
      </c>
      <c r="C277" s="181" t="s">
        <v>529</v>
      </c>
      <c r="D277" s="46" t="s">
        <v>6</v>
      </c>
      <c r="E277">
        <v>1</v>
      </c>
      <c r="F277" s="105">
        <f>TRUNC(16.72,2)</f>
        <v>16.72</v>
      </c>
      <c r="G277" s="104">
        <f t="shared" si="14"/>
        <v>16.72</v>
      </c>
      <c r="CS277"/>
    </row>
    <row r="278" spans="1:97">
      <c r="B278" s="88" t="s">
        <v>167</v>
      </c>
      <c r="C278" s="181" t="s">
        <v>530</v>
      </c>
      <c r="D278" s="46" t="s">
        <v>3</v>
      </c>
      <c r="E278">
        <v>0.16930000000000001</v>
      </c>
      <c r="F278" s="105">
        <f>TRUNC(22.56,2)</f>
        <v>22.56</v>
      </c>
      <c r="G278" s="104">
        <f t="shared" si="14"/>
        <v>3.81</v>
      </c>
      <c r="CS278"/>
    </row>
    <row r="279" spans="1:97">
      <c r="B279" s="88" t="s">
        <v>168</v>
      </c>
      <c r="C279" s="181" t="s">
        <v>531</v>
      </c>
      <c r="D279" s="46" t="s">
        <v>3</v>
      </c>
      <c r="E279">
        <v>0.16930000000000001</v>
      </c>
      <c r="F279" s="105">
        <f>TRUNC(28.64,2)</f>
        <v>28.64</v>
      </c>
      <c r="G279" s="104">
        <f t="shared" si="14"/>
        <v>4.84</v>
      </c>
      <c r="CS279"/>
    </row>
    <row r="280" spans="1:97" ht="30">
      <c r="B280" s="88" t="s">
        <v>532</v>
      </c>
      <c r="C280" s="181" t="s">
        <v>533</v>
      </c>
      <c r="D280" s="46" t="s">
        <v>0</v>
      </c>
      <c r="E280">
        <v>1.41E-2</v>
      </c>
      <c r="F280" s="105">
        <f>TRUNC(206.18,2)</f>
        <v>206.18</v>
      </c>
      <c r="G280" s="104">
        <f t="shared" si="14"/>
        <v>2.9</v>
      </c>
      <c r="CS280"/>
    </row>
    <row r="281" spans="1:97">
      <c r="B281" s="88"/>
      <c r="C281" s="181"/>
      <c r="E281" t="s">
        <v>4</v>
      </c>
      <c r="F281" s="105"/>
      <c r="G281" s="104">
        <f>TRUNC(SUM(G277:G280),2)</f>
        <v>28.27</v>
      </c>
      <c r="CS281"/>
    </row>
    <row r="282" spans="1:97" ht="30">
      <c r="A282" s="46" t="s">
        <v>301</v>
      </c>
      <c r="B282" s="88" t="s">
        <v>318</v>
      </c>
      <c r="C282" s="181" t="s">
        <v>494</v>
      </c>
      <c r="D282" s="46" t="s">
        <v>1</v>
      </c>
      <c r="E282">
        <v>1</v>
      </c>
      <c r="F282" s="105">
        <f>G286</f>
        <v>8.1999999999999993</v>
      </c>
      <c r="G282" s="104">
        <f>TRUNC(E282*F282,2)</f>
        <v>8.1999999999999993</v>
      </c>
      <c r="CS282"/>
    </row>
    <row r="283" spans="1:97">
      <c r="B283" s="88" t="s">
        <v>319</v>
      </c>
      <c r="C283" s="181" t="s">
        <v>495</v>
      </c>
      <c r="D283" s="46" t="s">
        <v>6</v>
      </c>
      <c r="E283">
        <v>0.38500000000000001</v>
      </c>
      <c r="F283" s="105">
        <f>TRUNC(8.7,2)</f>
        <v>8.6999999999999993</v>
      </c>
      <c r="G283" s="104">
        <f>TRUNC(E283*F283,2)</f>
        <v>3.34</v>
      </c>
      <c r="CS283"/>
    </row>
    <row r="284" spans="1:97">
      <c r="B284" s="88" t="s">
        <v>39</v>
      </c>
      <c r="C284" s="181" t="s">
        <v>383</v>
      </c>
      <c r="D284" s="46" t="s">
        <v>3</v>
      </c>
      <c r="E284">
        <v>0.1236</v>
      </c>
      <c r="F284" s="105">
        <f>TRUNC(16.55,2)</f>
        <v>16.55</v>
      </c>
      <c r="G284" s="104">
        <f>TRUNC(E284*F284,2)</f>
        <v>2.04</v>
      </c>
      <c r="CS284"/>
    </row>
    <row r="285" spans="1:97">
      <c r="B285" s="88" t="s">
        <v>40</v>
      </c>
      <c r="C285" s="181" t="s">
        <v>490</v>
      </c>
      <c r="D285" s="46" t="s">
        <v>3</v>
      </c>
      <c r="E285">
        <v>0.1236</v>
      </c>
      <c r="F285" s="105">
        <f>TRUNC(22.86,2)</f>
        <v>22.86</v>
      </c>
      <c r="G285" s="104">
        <f>TRUNC(E285*F285,2)</f>
        <v>2.82</v>
      </c>
      <c r="CS285"/>
    </row>
    <row r="286" spans="1:97">
      <c r="B286" s="88"/>
      <c r="C286" s="182"/>
      <c r="E286" t="s">
        <v>4</v>
      </c>
      <c r="F286" s="105"/>
      <c r="G286" s="104">
        <f>TRUNC(SUM(G283:G285),2)</f>
        <v>8.1999999999999993</v>
      </c>
      <c r="CS286"/>
    </row>
    <row r="287" spans="1:97" ht="30">
      <c r="A287" s="46" t="s">
        <v>324</v>
      </c>
      <c r="B287" s="88" t="s">
        <v>321</v>
      </c>
      <c r="C287" s="181" t="s">
        <v>496</v>
      </c>
      <c r="D287" s="46" t="s">
        <v>1</v>
      </c>
      <c r="E287">
        <v>2</v>
      </c>
      <c r="F287" s="105">
        <f>G292</f>
        <v>2.02</v>
      </c>
      <c r="G287" s="104">
        <f>TRUNC(E287*F287,2)</f>
        <v>4.04</v>
      </c>
      <c r="CS287"/>
    </row>
    <row r="288" spans="1:97" s="41" customFormat="1">
      <c r="A288" s="143"/>
      <c r="B288" s="144" t="s">
        <v>322</v>
      </c>
      <c r="C288" s="186" t="s">
        <v>497</v>
      </c>
      <c r="D288" s="143" t="s">
        <v>1</v>
      </c>
      <c r="F288" s="155">
        <f>TRUNC(1.5723,2)</f>
        <v>1.57</v>
      </c>
      <c r="G288" s="145">
        <f>TRUNC(E288*F288,2)</f>
        <v>0</v>
      </c>
      <c r="H288" s="70"/>
      <c r="I288" s="70"/>
      <c r="J288" s="70"/>
      <c r="K288" s="70"/>
      <c r="L288" s="70"/>
      <c r="M288" s="70"/>
      <c r="N288" s="70"/>
      <c r="O288" s="70"/>
      <c r="P288" s="70"/>
      <c r="Q288" s="70"/>
      <c r="R288" s="70"/>
      <c r="S288" s="70"/>
      <c r="T288" s="70"/>
      <c r="U288" s="70"/>
      <c r="V288" s="70"/>
      <c r="W288" s="70"/>
      <c r="X288" s="70"/>
      <c r="Y288" s="70"/>
      <c r="Z288" s="70"/>
      <c r="AA288" s="70"/>
      <c r="AB288" s="70"/>
      <c r="AC288" s="70"/>
      <c r="AD288" s="70"/>
      <c r="AE288" s="70"/>
      <c r="AF288" s="70"/>
      <c r="AG288" s="70"/>
      <c r="AH288" s="70"/>
      <c r="AI288" s="70"/>
      <c r="AJ288" s="70"/>
      <c r="AK288" s="70"/>
      <c r="AL288" s="70"/>
      <c r="AM288" s="70"/>
      <c r="AN288" s="70"/>
      <c r="AO288" s="70"/>
      <c r="AP288" s="70"/>
      <c r="AQ288" s="70"/>
      <c r="AR288" s="70"/>
      <c r="AS288" s="70"/>
      <c r="AT288" s="70"/>
      <c r="AU288" s="70"/>
      <c r="AV288" s="70"/>
      <c r="AW288" s="70"/>
      <c r="AX288" s="70"/>
      <c r="AY288" s="70"/>
      <c r="AZ288" s="70"/>
      <c r="BA288" s="70"/>
      <c r="BB288" s="70"/>
      <c r="BC288" s="70"/>
      <c r="BD288" s="70"/>
      <c r="BE288" s="70"/>
      <c r="BF288" s="70"/>
      <c r="BG288" s="70"/>
      <c r="BH288" s="70"/>
      <c r="BI288" s="70"/>
      <c r="BJ288" s="70"/>
      <c r="BK288" s="70"/>
      <c r="BL288" s="70"/>
      <c r="BM288" s="70"/>
      <c r="BN288" s="70"/>
      <c r="BO288" s="70"/>
      <c r="BP288" s="70"/>
      <c r="BQ288" s="70"/>
      <c r="BR288" s="70"/>
      <c r="BS288" s="70"/>
      <c r="BT288" s="70"/>
      <c r="BU288" s="70"/>
      <c r="BV288" s="70"/>
      <c r="BW288" s="70"/>
      <c r="BX288" s="70"/>
      <c r="BY288" s="70"/>
      <c r="BZ288" s="70"/>
      <c r="CA288" s="70"/>
      <c r="CB288" s="70"/>
      <c r="CC288" s="70"/>
      <c r="CD288" s="70"/>
      <c r="CE288" s="70"/>
      <c r="CF288" s="70"/>
      <c r="CG288" s="70"/>
      <c r="CH288" s="70"/>
      <c r="CI288" s="70"/>
      <c r="CJ288" s="70"/>
      <c r="CK288" s="70"/>
      <c r="CL288" s="70"/>
      <c r="CM288" s="70"/>
      <c r="CN288" s="70"/>
      <c r="CO288" s="70"/>
      <c r="CP288" s="70"/>
      <c r="CQ288" s="70"/>
      <c r="CR288" s="70"/>
    </row>
    <row r="289" spans="1:97">
      <c r="B289" s="88" t="s">
        <v>323</v>
      </c>
      <c r="C289" s="181" t="s">
        <v>498</v>
      </c>
      <c r="D289" s="46" t="s">
        <v>6</v>
      </c>
      <c r="E289">
        <v>1.4E-3</v>
      </c>
      <c r="F289" s="105">
        <f>TRUNC(4.22,2)</f>
        <v>4.22</v>
      </c>
      <c r="G289" s="104">
        <f>TRUNC(E289*F289,2)</f>
        <v>0</v>
      </c>
      <c r="CS289"/>
    </row>
    <row r="290" spans="1:97">
      <c r="B290" s="88" t="s">
        <v>39</v>
      </c>
      <c r="C290" s="181" t="s">
        <v>383</v>
      </c>
      <c r="D290" s="46" t="s">
        <v>3</v>
      </c>
      <c r="E290">
        <v>5.1500000000000004E-2</v>
      </c>
      <c r="F290" s="105">
        <f>TRUNC(16.55,2)</f>
        <v>16.55</v>
      </c>
      <c r="G290" s="104">
        <f>TRUNC(E290*F290,2)</f>
        <v>0.85</v>
      </c>
      <c r="CS290"/>
    </row>
    <row r="291" spans="1:97">
      <c r="B291" s="88" t="s">
        <v>40</v>
      </c>
      <c r="C291" s="181" t="s">
        <v>490</v>
      </c>
      <c r="D291" s="46" t="s">
        <v>3</v>
      </c>
      <c r="E291">
        <v>5.1500000000000004E-2</v>
      </c>
      <c r="F291" s="105">
        <f>TRUNC(22.86,2)</f>
        <v>22.86</v>
      </c>
      <c r="G291" s="104">
        <f>TRUNC(E291*F291,2)</f>
        <v>1.17</v>
      </c>
      <c r="CS291"/>
    </row>
    <row r="292" spans="1:97" ht="15.75" thickBot="1">
      <c r="B292" s="88"/>
      <c r="C292" s="182"/>
      <c r="E292" t="s">
        <v>4</v>
      </c>
      <c r="F292" s="105"/>
      <c r="G292" s="104">
        <f>TRUNC(SUM(G288:G291),2)</f>
        <v>2.02</v>
      </c>
      <c r="CS292"/>
    </row>
    <row r="293" spans="1:97" s="154" customFormat="1" ht="19.5" thickBot="1">
      <c r="A293" s="150" t="s">
        <v>311</v>
      </c>
      <c r="B293" s="151" t="s">
        <v>327</v>
      </c>
      <c r="C293" s="187" t="s">
        <v>328</v>
      </c>
      <c r="D293" s="150" t="s">
        <v>320</v>
      </c>
      <c r="E293" s="152">
        <v>4</v>
      </c>
      <c r="F293" s="153">
        <f>TRUNC(F294,2)</f>
        <v>11.2</v>
      </c>
      <c r="G293" s="153">
        <f>TRUNC(E293*F293,2)</f>
        <v>44.8</v>
      </c>
      <c r="H293" s="64"/>
      <c r="I293" s="64"/>
      <c r="J293" s="64"/>
      <c r="K293" s="64"/>
      <c r="L293" s="64"/>
      <c r="M293" s="64"/>
      <c r="N293" s="64"/>
      <c r="O293" s="64"/>
      <c r="P293" s="64"/>
      <c r="Q293" s="64"/>
      <c r="R293" s="64"/>
      <c r="S293" s="64"/>
      <c r="T293" s="64"/>
      <c r="U293" s="64"/>
      <c r="V293" s="64"/>
      <c r="W293" s="64"/>
      <c r="X293" s="64"/>
      <c r="Y293" s="64"/>
      <c r="Z293" s="64"/>
      <c r="AA293" s="64"/>
      <c r="AB293" s="64"/>
      <c r="AC293" s="64"/>
      <c r="AD293" s="64"/>
      <c r="AE293" s="64"/>
      <c r="AF293" s="64"/>
      <c r="AG293" s="64"/>
      <c r="AH293" s="64"/>
      <c r="AI293" s="64"/>
      <c r="AJ293" s="64"/>
      <c r="AK293" s="64"/>
      <c r="AL293" s="64"/>
      <c r="AM293" s="64"/>
      <c r="AN293" s="64"/>
      <c r="AO293" s="64"/>
      <c r="AP293" s="64"/>
      <c r="AQ293" s="64"/>
      <c r="AR293" s="64"/>
      <c r="AS293" s="64"/>
      <c r="AT293" s="64"/>
      <c r="AU293" s="64"/>
      <c r="AV293" s="64"/>
      <c r="AW293" s="64"/>
      <c r="AX293" s="64"/>
      <c r="AY293" s="64"/>
      <c r="AZ293" s="64"/>
      <c r="BA293" s="64"/>
      <c r="BB293" s="64"/>
      <c r="BC293" s="64"/>
      <c r="BD293" s="64"/>
      <c r="BE293" s="64"/>
      <c r="BF293" s="64"/>
      <c r="BG293" s="64"/>
      <c r="BH293" s="64"/>
      <c r="BI293" s="64"/>
      <c r="BJ293" s="64"/>
      <c r="BK293" s="64"/>
      <c r="BL293" s="64"/>
      <c r="BM293" s="64"/>
      <c r="BN293" s="64"/>
      <c r="BO293" s="64"/>
      <c r="BP293" s="64"/>
      <c r="BQ293" s="64"/>
      <c r="BR293" s="64"/>
      <c r="BS293" s="64"/>
      <c r="BT293" s="64"/>
      <c r="BU293" s="64"/>
      <c r="BV293" s="64"/>
      <c r="BW293" s="64"/>
      <c r="BX293" s="64"/>
      <c r="BY293" s="64"/>
      <c r="BZ293" s="64"/>
      <c r="CA293" s="64"/>
      <c r="CB293" s="64"/>
      <c r="CC293" s="64"/>
      <c r="CD293" s="64"/>
      <c r="CE293" s="64"/>
      <c r="CF293" s="64"/>
      <c r="CG293" s="64"/>
      <c r="CH293" s="64"/>
      <c r="CI293" s="64"/>
      <c r="CJ293" s="64"/>
      <c r="CK293" s="64"/>
      <c r="CL293" s="64"/>
      <c r="CM293" s="64"/>
      <c r="CN293" s="64"/>
      <c r="CO293" s="64"/>
      <c r="CP293" s="64"/>
      <c r="CQ293" s="64"/>
      <c r="CR293" s="64"/>
    </row>
    <row r="294" spans="1:97" ht="30">
      <c r="B294" s="88" t="s">
        <v>325</v>
      </c>
      <c r="C294" s="181" t="s">
        <v>499</v>
      </c>
      <c r="D294" s="46" t="s">
        <v>6</v>
      </c>
      <c r="E294">
        <v>1</v>
      </c>
      <c r="F294" s="105">
        <f>TRUNC(11.20846,2)</f>
        <v>11.2</v>
      </c>
      <c r="G294" s="104">
        <f>TRUNC(E294*F294,2)</f>
        <v>11.2</v>
      </c>
      <c r="CS294"/>
    </row>
    <row r="295" spans="1:97">
      <c r="B295" s="88" t="s">
        <v>326</v>
      </c>
      <c r="C295" s="181" t="s">
        <v>500</v>
      </c>
      <c r="D295" s="46" t="s">
        <v>6</v>
      </c>
      <c r="E295">
        <v>1</v>
      </c>
      <c r="F295" s="105">
        <f>TRUNC(3.09,2)</f>
        <v>3.09</v>
      </c>
      <c r="G295" s="104">
        <f>TRUNC(E295*F295,2)</f>
        <v>3.09</v>
      </c>
      <c r="CS295"/>
    </row>
    <row r="296" spans="1:97">
      <c r="B296" s="88" t="s">
        <v>39</v>
      </c>
      <c r="C296" s="181" t="s">
        <v>383</v>
      </c>
      <c r="D296" s="46" t="s">
        <v>3</v>
      </c>
      <c r="E296">
        <v>0.20600000000000002</v>
      </c>
      <c r="F296" s="105">
        <f>TRUNC(16.55,2)</f>
        <v>16.55</v>
      </c>
      <c r="G296" s="104">
        <f>TRUNC(E296*F296,2)</f>
        <v>3.4</v>
      </c>
      <c r="CS296"/>
    </row>
    <row r="297" spans="1:97">
      <c r="B297" s="88" t="s">
        <v>40</v>
      </c>
      <c r="C297" s="181" t="s">
        <v>490</v>
      </c>
      <c r="D297" s="46" t="s">
        <v>3</v>
      </c>
      <c r="E297">
        <v>0.20600000000000002</v>
      </c>
      <c r="F297" s="105">
        <f>TRUNC(22.86,2)</f>
        <v>22.86</v>
      </c>
      <c r="G297" s="104">
        <f>TRUNC(E297*F297,2)</f>
        <v>4.7</v>
      </c>
      <c r="CS297"/>
    </row>
    <row r="298" spans="1:97" ht="15.75" thickBot="1">
      <c r="B298" s="88"/>
      <c r="C298" s="182"/>
      <c r="E298" t="s">
        <v>4</v>
      </c>
      <c r="F298" s="105"/>
      <c r="G298" s="104">
        <f>TRUNC(SUM(G295:G297),2)</f>
        <v>11.19</v>
      </c>
      <c r="CS298"/>
    </row>
    <row r="299" spans="1:97" s="41" customFormat="1" ht="15.75" thickBot="1">
      <c r="A299" s="95" t="s">
        <v>33</v>
      </c>
      <c r="B299" s="96"/>
      <c r="C299" s="185"/>
      <c r="D299" s="95"/>
      <c r="E299" s="98"/>
      <c r="F299" s="98" t="s">
        <v>218</v>
      </c>
      <c r="G299" s="82">
        <f>G259+G267+G275+G293</f>
        <v>3438.2000000000003</v>
      </c>
      <c r="H299" s="70"/>
      <c r="I299" s="70"/>
      <c r="J299" s="70"/>
      <c r="K299" s="70"/>
      <c r="L299" s="70"/>
      <c r="M299" s="70"/>
      <c r="N299" s="70"/>
      <c r="O299" s="70"/>
      <c r="P299" s="70"/>
      <c r="Q299" s="70"/>
      <c r="R299" s="70"/>
      <c r="S299" s="70"/>
      <c r="T299" s="70"/>
      <c r="U299" s="70"/>
      <c r="V299" s="70"/>
      <c r="W299" s="70"/>
      <c r="X299" s="70"/>
      <c r="Y299" s="70"/>
      <c r="Z299" s="70"/>
      <c r="AA299" s="70"/>
      <c r="AB299" s="70"/>
      <c r="AC299" s="70"/>
      <c r="AD299" s="70"/>
      <c r="AE299" s="70"/>
      <c r="AF299" s="70"/>
      <c r="AG299" s="70"/>
      <c r="AH299" s="70"/>
      <c r="AI299" s="70"/>
      <c r="AJ299" s="70"/>
      <c r="AK299" s="70"/>
      <c r="AL299" s="70"/>
      <c r="AM299" s="70"/>
      <c r="AN299" s="70"/>
      <c r="AO299" s="70"/>
      <c r="AP299" s="70"/>
      <c r="AQ299" s="70"/>
      <c r="AR299" s="70"/>
      <c r="AS299" s="70"/>
      <c r="AT299" s="70"/>
      <c r="AU299" s="70"/>
      <c r="AV299" s="70"/>
      <c r="AW299" s="70"/>
      <c r="AX299" s="70"/>
      <c r="AY299" s="70"/>
      <c r="AZ299" s="70"/>
      <c r="BA299" s="70"/>
      <c r="BB299" s="70"/>
      <c r="BC299" s="70"/>
      <c r="BD299" s="70"/>
      <c r="BE299" s="70"/>
      <c r="BF299" s="70"/>
      <c r="BG299" s="70"/>
      <c r="BH299" s="70"/>
      <c r="BI299" s="70"/>
      <c r="BJ299" s="70"/>
      <c r="BK299" s="70"/>
      <c r="BL299" s="70"/>
      <c r="BM299" s="70"/>
      <c r="BN299" s="70"/>
      <c r="BO299" s="70"/>
      <c r="BP299" s="70"/>
      <c r="BQ299" s="70"/>
      <c r="BR299" s="70"/>
      <c r="BS299" s="70"/>
      <c r="BT299" s="70"/>
      <c r="BU299" s="70"/>
      <c r="BV299" s="70"/>
      <c r="BW299" s="70"/>
      <c r="BX299" s="70"/>
      <c r="BY299" s="70"/>
      <c r="BZ299" s="70"/>
      <c r="CA299" s="70"/>
      <c r="CB299" s="70"/>
      <c r="CC299" s="70"/>
      <c r="CD299" s="70"/>
      <c r="CE299" s="70"/>
      <c r="CF299" s="70"/>
      <c r="CG299" s="70"/>
      <c r="CH299" s="70"/>
      <c r="CI299" s="70"/>
      <c r="CJ299" s="70"/>
      <c r="CK299" s="70"/>
      <c r="CL299" s="70"/>
      <c r="CM299" s="70"/>
      <c r="CN299" s="70"/>
      <c r="CO299" s="70"/>
      <c r="CP299" s="70"/>
      <c r="CQ299" s="70"/>
      <c r="CR299" s="70"/>
    </row>
    <row r="300" spans="1:97" s="41" customFormat="1" ht="15.75" thickBot="1">
      <c r="A300" s="95" t="s">
        <v>81</v>
      </c>
      <c r="B300" s="96"/>
      <c r="C300" s="164" t="s">
        <v>363</v>
      </c>
      <c r="D300" s="95" t="s">
        <v>49</v>
      </c>
      <c r="E300" s="98"/>
      <c r="F300" s="98"/>
      <c r="G300" s="82"/>
      <c r="H300" s="70"/>
      <c r="I300" s="70"/>
      <c r="J300" s="70"/>
      <c r="K300" s="70"/>
      <c r="L300" s="70"/>
      <c r="M300" s="70"/>
      <c r="N300" s="70"/>
      <c r="O300" s="70"/>
      <c r="P300" s="70"/>
      <c r="Q300" s="70"/>
      <c r="R300" s="70"/>
      <c r="S300" s="70"/>
      <c r="T300" s="70"/>
      <c r="U300" s="70"/>
      <c r="V300" s="70"/>
      <c r="W300" s="70"/>
      <c r="X300" s="70"/>
      <c r="Y300" s="70"/>
      <c r="Z300" s="70"/>
      <c r="AA300" s="70"/>
      <c r="AB300" s="70"/>
      <c r="AC300" s="70"/>
      <c r="AD300" s="70"/>
      <c r="AE300" s="70"/>
      <c r="AF300" s="70"/>
      <c r="AG300" s="70"/>
      <c r="AH300" s="70"/>
      <c r="AI300" s="70"/>
      <c r="AJ300" s="70"/>
      <c r="AK300" s="70"/>
      <c r="AL300" s="70"/>
      <c r="AM300" s="70"/>
      <c r="AN300" s="70"/>
      <c r="AO300" s="70"/>
      <c r="AP300" s="70"/>
      <c r="AQ300" s="70"/>
      <c r="AR300" s="70"/>
      <c r="AS300" s="70"/>
      <c r="AT300" s="70"/>
      <c r="AU300" s="70"/>
      <c r="AV300" s="70"/>
      <c r="AW300" s="70"/>
      <c r="AX300" s="70"/>
      <c r="AY300" s="70"/>
      <c r="AZ300" s="70"/>
      <c r="BA300" s="70"/>
      <c r="BB300" s="70"/>
      <c r="BC300" s="70"/>
      <c r="BD300" s="70"/>
      <c r="BE300" s="70"/>
      <c r="BF300" s="70"/>
      <c r="BG300" s="70"/>
      <c r="BH300" s="70"/>
      <c r="BI300" s="70"/>
      <c r="BJ300" s="70"/>
      <c r="BK300" s="70"/>
      <c r="BL300" s="70"/>
      <c r="BM300" s="70"/>
      <c r="BN300" s="70"/>
      <c r="BO300" s="70"/>
      <c r="BP300" s="70"/>
      <c r="BQ300" s="70"/>
      <c r="BR300" s="70"/>
      <c r="BS300" s="70"/>
      <c r="BT300" s="70"/>
      <c r="BU300" s="70"/>
      <c r="BV300" s="70"/>
      <c r="BW300" s="70"/>
      <c r="BX300" s="70"/>
      <c r="BY300" s="70"/>
      <c r="BZ300" s="70"/>
      <c r="CA300" s="70"/>
      <c r="CB300" s="70"/>
      <c r="CC300" s="70"/>
      <c r="CD300" s="70"/>
      <c r="CE300" s="70"/>
      <c r="CF300" s="70"/>
      <c r="CG300" s="70"/>
      <c r="CH300" s="70"/>
      <c r="CI300" s="70"/>
      <c r="CJ300" s="70"/>
      <c r="CK300" s="70"/>
      <c r="CL300" s="70"/>
      <c r="CM300" s="70"/>
      <c r="CN300" s="70"/>
      <c r="CO300" s="70"/>
      <c r="CP300" s="70"/>
      <c r="CQ300" s="70"/>
      <c r="CR300" s="70"/>
    </row>
    <row r="301" spans="1:97" ht="30.75" thickBot="1">
      <c r="A301" s="93" t="s">
        <v>83</v>
      </c>
      <c r="B301" s="94" t="s">
        <v>293</v>
      </c>
      <c r="C301" s="163" t="s">
        <v>597</v>
      </c>
      <c r="D301" s="93" t="s">
        <v>84</v>
      </c>
      <c r="E301" s="92">
        <v>1</v>
      </c>
      <c r="F301" s="81">
        <f>TRUNC(F302,2)</f>
        <v>2422.56</v>
      </c>
      <c r="G301" s="103">
        <f>TRUNC(E301*F301,2)</f>
        <v>2422.56</v>
      </c>
      <c r="CS301"/>
    </row>
    <row r="302" spans="1:97">
      <c r="B302" s="88" t="s">
        <v>114</v>
      </c>
      <c r="C302" s="181" t="s">
        <v>501</v>
      </c>
      <c r="D302" s="46" t="s">
        <v>84</v>
      </c>
      <c r="E302">
        <v>1</v>
      </c>
      <c r="F302">
        <f>G304</f>
        <v>2422.56</v>
      </c>
      <c r="G302" s="104">
        <f>TRUNC(E302*F302,2)</f>
        <v>2422.56</v>
      </c>
      <c r="CS302"/>
    </row>
    <row r="303" spans="1:97">
      <c r="B303" s="88" t="s">
        <v>195</v>
      </c>
      <c r="C303" s="181" t="s">
        <v>502</v>
      </c>
      <c r="D303" s="46" t="s">
        <v>6</v>
      </c>
      <c r="E303">
        <v>1</v>
      </c>
      <c r="F303">
        <f>TRUNC(2422.56,2)</f>
        <v>2422.56</v>
      </c>
      <c r="G303" s="104">
        <f>TRUNC(E303*F303,2)</f>
        <v>2422.56</v>
      </c>
      <c r="CS303"/>
    </row>
    <row r="304" spans="1:97">
      <c r="B304" s="88"/>
      <c r="C304" s="182"/>
      <c r="E304" t="s">
        <v>4</v>
      </c>
      <c r="G304" s="104">
        <f>TRUNC(SUM(G303:G303),2)</f>
        <v>2422.56</v>
      </c>
      <c r="CS304"/>
    </row>
    <row r="305" spans="1:97" ht="15.75" thickBot="1">
      <c r="B305" s="88"/>
      <c r="C305" s="182"/>
      <c r="G305" s="104"/>
      <c r="CS305"/>
    </row>
    <row r="306" spans="1:97" ht="15.75" thickBot="1">
      <c r="A306" s="93" t="s">
        <v>85</v>
      </c>
      <c r="B306" s="94" t="s">
        <v>115</v>
      </c>
      <c r="C306" s="184" t="s">
        <v>364</v>
      </c>
      <c r="D306" s="93" t="s">
        <v>84</v>
      </c>
      <c r="E306" s="92">
        <v>1</v>
      </c>
      <c r="F306" s="81">
        <f>TRUNC(F307,2)</f>
        <v>108.15</v>
      </c>
      <c r="G306" s="103">
        <f>TRUNC(E306*F306,2)</f>
        <v>108.15</v>
      </c>
      <c r="CS306"/>
    </row>
    <row r="307" spans="1:97">
      <c r="B307" s="88" t="s">
        <v>115</v>
      </c>
      <c r="C307" s="181" t="s">
        <v>364</v>
      </c>
      <c r="D307" s="46" t="s">
        <v>84</v>
      </c>
      <c r="E307">
        <v>1</v>
      </c>
      <c r="F307">
        <f>G309</f>
        <v>108.15</v>
      </c>
      <c r="G307" s="104">
        <f>TRUNC(E307*F307,2)</f>
        <v>108.15</v>
      </c>
      <c r="CS307"/>
    </row>
    <row r="308" spans="1:97">
      <c r="B308" s="88" t="s">
        <v>196</v>
      </c>
      <c r="C308" s="181" t="s">
        <v>503</v>
      </c>
      <c r="D308" s="46" t="s">
        <v>6</v>
      </c>
      <c r="E308">
        <v>1</v>
      </c>
      <c r="F308">
        <f>TRUNC(108.15,2)</f>
        <v>108.15</v>
      </c>
      <c r="G308" s="104">
        <f>TRUNC(E308*F308,2)</f>
        <v>108.15</v>
      </c>
      <c r="CS308"/>
    </row>
    <row r="309" spans="1:97" ht="15.75" thickBot="1">
      <c r="B309" s="88"/>
      <c r="C309" s="182"/>
      <c r="E309" t="s">
        <v>4</v>
      </c>
      <c r="G309" s="104">
        <f>TRUNC(SUM(G308:G308),2)</f>
        <v>108.15</v>
      </c>
      <c r="CS309"/>
    </row>
    <row r="310" spans="1:97" s="41" customFormat="1" ht="15.75" thickBot="1">
      <c r="A310" s="95" t="s">
        <v>33</v>
      </c>
      <c r="B310" s="96"/>
      <c r="C310" s="185"/>
      <c r="D310" s="95"/>
      <c r="E310" s="98"/>
      <c r="F310" s="98" t="s">
        <v>219</v>
      </c>
      <c r="G310" s="82">
        <f>G301+G306</f>
        <v>2530.71</v>
      </c>
      <c r="H310" s="70"/>
      <c r="I310" s="70"/>
      <c r="J310" s="70"/>
      <c r="K310" s="70"/>
      <c r="L310" s="70"/>
      <c r="M310" s="70"/>
      <c r="N310" s="70"/>
      <c r="O310" s="70"/>
      <c r="P310" s="70"/>
      <c r="Q310" s="70"/>
      <c r="R310" s="70"/>
      <c r="S310" s="70"/>
      <c r="T310" s="70"/>
      <c r="U310" s="70"/>
      <c r="V310" s="70"/>
      <c r="W310" s="70"/>
      <c r="X310" s="70"/>
      <c r="Y310" s="70"/>
      <c r="Z310" s="70"/>
      <c r="AA310" s="70"/>
      <c r="AB310" s="70"/>
      <c r="AC310" s="70"/>
      <c r="AD310" s="70"/>
      <c r="AE310" s="70"/>
      <c r="AF310" s="70"/>
      <c r="AG310" s="70"/>
      <c r="AH310" s="70"/>
      <c r="AI310" s="70"/>
      <c r="AJ310" s="70"/>
      <c r="AK310" s="70"/>
      <c r="AL310" s="70"/>
      <c r="AM310" s="70"/>
      <c r="AN310" s="70"/>
      <c r="AO310" s="70"/>
      <c r="AP310" s="70"/>
      <c r="AQ310" s="70"/>
      <c r="AR310" s="70"/>
      <c r="AS310" s="70"/>
      <c r="AT310" s="70"/>
      <c r="AU310" s="70"/>
      <c r="AV310" s="70"/>
      <c r="AW310" s="70"/>
      <c r="AX310" s="70"/>
      <c r="AY310" s="70"/>
      <c r="AZ310" s="70"/>
      <c r="BA310" s="70"/>
      <c r="BB310" s="70"/>
      <c r="BC310" s="70"/>
      <c r="BD310" s="70"/>
      <c r="BE310" s="70"/>
      <c r="BF310" s="70"/>
      <c r="BG310" s="70"/>
      <c r="BH310" s="70"/>
      <c r="BI310" s="70"/>
      <c r="BJ310" s="70"/>
      <c r="BK310" s="70"/>
      <c r="BL310" s="70"/>
      <c r="BM310" s="70"/>
      <c r="BN310" s="70"/>
      <c r="BO310" s="70"/>
      <c r="BP310" s="70"/>
      <c r="BQ310" s="70"/>
      <c r="BR310" s="70"/>
      <c r="BS310" s="70"/>
      <c r="BT310" s="70"/>
      <c r="BU310" s="70"/>
      <c r="BV310" s="70"/>
      <c r="BW310" s="70"/>
      <c r="BX310" s="70"/>
      <c r="BY310" s="70"/>
      <c r="BZ310" s="70"/>
      <c r="CA310" s="70"/>
      <c r="CB310" s="70"/>
      <c r="CC310" s="70"/>
      <c r="CD310" s="70"/>
      <c r="CE310" s="70"/>
      <c r="CF310" s="70"/>
      <c r="CG310" s="70"/>
      <c r="CH310" s="70"/>
      <c r="CI310" s="70"/>
      <c r="CJ310" s="70"/>
      <c r="CK310" s="70"/>
      <c r="CL310" s="70"/>
      <c r="CM310" s="70"/>
      <c r="CN310" s="70"/>
      <c r="CO310" s="70"/>
      <c r="CP310" s="70"/>
      <c r="CQ310" s="70"/>
      <c r="CR310" s="70"/>
    </row>
    <row r="311" spans="1:97" s="41" customFormat="1" ht="15.75" thickBot="1">
      <c r="A311" s="95" t="s">
        <v>86</v>
      </c>
      <c r="B311" s="96"/>
      <c r="C311" s="164" t="s">
        <v>365</v>
      </c>
      <c r="D311" s="95" t="s">
        <v>49</v>
      </c>
      <c r="E311" s="98"/>
      <c r="F311" s="98"/>
      <c r="G311" s="82"/>
      <c r="H311" s="70"/>
      <c r="I311" s="70"/>
      <c r="J311" s="70"/>
      <c r="K311" s="70"/>
      <c r="L311" s="70"/>
      <c r="M311" s="70"/>
      <c r="N311" s="70"/>
      <c r="O311" s="70"/>
      <c r="P311" s="70"/>
      <c r="Q311" s="70"/>
      <c r="R311" s="70"/>
      <c r="S311" s="70"/>
      <c r="T311" s="70"/>
      <c r="U311" s="70"/>
      <c r="V311" s="70"/>
      <c r="W311" s="70"/>
      <c r="X311" s="70"/>
      <c r="Y311" s="70"/>
      <c r="Z311" s="70"/>
      <c r="AA311" s="70"/>
      <c r="AB311" s="70"/>
      <c r="AC311" s="70"/>
      <c r="AD311" s="70"/>
      <c r="AE311" s="70"/>
      <c r="AF311" s="70"/>
      <c r="AG311" s="70"/>
      <c r="AH311" s="70"/>
      <c r="AI311" s="70"/>
      <c r="AJ311" s="70"/>
      <c r="AK311" s="70"/>
      <c r="AL311" s="70"/>
      <c r="AM311" s="70"/>
      <c r="AN311" s="70"/>
      <c r="AO311" s="70"/>
      <c r="AP311" s="70"/>
      <c r="AQ311" s="70"/>
      <c r="AR311" s="70"/>
      <c r="AS311" s="70"/>
      <c r="AT311" s="70"/>
      <c r="AU311" s="70"/>
      <c r="AV311" s="70"/>
      <c r="AW311" s="70"/>
      <c r="AX311" s="70"/>
      <c r="AY311" s="70"/>
      <c r="AZ311" s="70"/>
      <c r="BA311" s="70"/>
      <c r="BB311" s="70"/>
      <c r="BC311" s="70"/>
      <c r="BD311" s="70"/>
      <c r="BE311" s="70"/>
      <c r="BF311" s="70"/>
      <c r="BG311" s="70"/>
      <c r="BH311" s="70"/>
      <c r="BI311" s="70"/>
      <c r="BJ311" s="70"/>
      <c r="BK311" s="70"/>
      <c r="BL311" s="70"/>
      <c r="BM311" s="70"/>
      <c r="BN311" s="70"/>
      <c r="BO311" s="70"/>
      <c r="BP311" s="70"/>
      <c r="BQ311" s="70"/>
      <c r="BR311" s="70"/>
      <c r="BS311" s="70"/>
      <c r="BT311" s="70"/>
      <c r="BU311" s="70"/>
      <c r="BV311" s="70"/>
      <c r="BW311" s="70"/>
      <c r="BX311" s="70"/>
      <c r="BY311" s="70"/>
      <c r="BZ311" s="70"/>
      <c r="CA311" s="70"/>
      <c r="CB311" s="70"/>
      <c r="CC311" s="70"/>
      <c r="CD311" s="70"/>
      <c r="CE311" s="70"/>
      <c r="CF311" s="70"/>
      <c r="CG311" s="70"/>
      <c r="CH311" s="70"/>
      <c r="CI311" s="70"/>
      <c r="CJ311" s="70"/>
      <c r="CK311" s="70"/>
      <c r="CL311" s="70"/>
      <c r="CM311" s="70"/>
      <c r="CN311" s="70"/>
      <c r="CO311" s="70"/>
      <c r="CP311" s="70"/>
      <c r="CQ311" s="70"/>
      <c r="CR311" s="70"/>
    </row>
    <row r="312" spans="1:97" ht="30.75" thickBot="1">
      <c r="A312" s="93" t="s">
        <v>88</v>
      </c>
      <c r="B312" s="94" t="s">
        <v>313</v>
      </c>
      <c r="C312" s="163" t="s">
        <v>554</v>
      </c>
      <c r="D312" s="93" t="s">
        <v>51</v>
      </c>
      <c r="E312" s="92">
        <v>145.5</v>
      </c>
      <c r="F312" s="81">
        <f>TRUNC(F313,2)</f>
        <v>5.79</v>
      </c>
      <c r="G312" s="103">
        <f t="shared" ref="G312:G317" si="15">TRUNC(E312*F312,2)</f>
        <v>842.44</v>
      </c>
      <c r="CS312"/>
    </row>
    <row r="313" spans="1:97">
      <c r="B313" s="88" t="s">
        <v>198</v>
      </c>
      <c r="C313" s="181" t="s">
        <v>504</v>
      </c>
      <c r="D313" s="46" t="s">
        <v>51</v>
      </c>
      <c r="E313">
        <v>1</v>
      </c>
      <c r="F313">
        <f>G318</f>
        <v>5.79</v>
      </c>
      <c r="G313" s="104">
        <f t="shared" si="15"/>
        <v>5.79</v>
      </c>
      <c r="CS313"/>
    </row>
    <row r="314" spans="1:97">
      <c r="B314" s="88" t="s">
        <v>199</v>
      </c>
      <c r="C314" s="181" t="s">
        <v>505</v>
      </c>
      <c r="D314" s="46" t="s">
        <v>200</v>
      </c>
      <c r="E314">
        <v>0.16</v>
      </c>
      <c r="F314">
        <f>TRUNC(8.33,2)</f>
        <v>8.33</v>
      </c>
      <c r="G314" s="104">
        <f t="shared" si="15"/>
        <v>1.33</v>
      </c>
      <c r="CS314"/>
    </row>
    <row r="315" spans="1:97">
      <c r="B315" s="88" t="s">
        <v>312</v>
      </c>
      <c r="C315" s="181" t="s">
        <v>506</v>
      </c>
      <c r="D315" s="46" t="s">
        <v>6</v>
      </c>
      <c r="E315">
        <v>1</v>
      </c>
      <c r="F315">
        <f>TRUNC(0.64,2)</f>
        <v>0.64</v>
      </c>
      <c r="G315" s="104">
        <f t="shared" si="15"/>
        <v>0.64</v>
      </c>
      <c r="CS315"/>
    </row>
    <row r="316" spans="1:97">
      <c r="B316" s="88" t="s">
        <v>167</v>
      </c>
      <c r="C316" s="181" t="s">
        <v>437</v>
      </c>
      <c r="D316" s="46" t="s">
        <v>3</v>
      </c>
      <c r="E316">
        <f>0.014*2</f>
        <v>2.8000000000000001E-2</v>
      </c>
      <c r="F316">
        <f>TRUNC(22.56,2)</f>
        <v>22.56</v>
      </c>
      <c r="G316" s="104">
        <f t="shared" si="15"/>
        <v>0.63</v>
      </c>
      <c r="CS316"/>
    </row>
    <row r="317" spans="1:97">
      <c r="B317" s="88" t="s">
        <v>201</v>
      </c>
      <c r="C317" s="181" t="s">
        <v>507</v>
      </c>
      <c r="D317" s="46" t="s">
        <v>3</v>
      </c>
      <c r="E317">
        <f>0.054*2</f>
        <v>0.108</v>
      </c>
      <c r="F317">
        <f>TRUNC(29.61,2)</f>
        <v>29.61</v>
      </c>
      <c r="G317" s="104">
        <f t="shared" si="15"/>
        <v>3.19</v>
      </c>
      <c r="CS317"/>
    </row>
    <row r="318" spans="1:97" ht="15.75" thickBot="1">
      <c r="B318" s="88"/>
      <c r="C318" s="182"/>
      <c r="E318" t="s">
        <v>4</v>
      </c>
      <c r="G318" s="104">
        <f>TRUNC(SUM(G314:G317),2)</f>
        <v>5.79</v>
      </c>
      <c r="CS318"/>
    </row>
    <row r="319" spans="1:97" ht="15.75" thickBot="1">
      <c r="A319" s="93" t="s">
        <v>89</v>
      </c>
      <c r="B319" s="94" t="s">
        <v>116</v>
      </c>
      <c r="C319" s="184" t="s">
        <v>552</v>
      </c>
      <c r="D319" s="93" t="s">
        <v>51</v>
      </c>
      <c r="E319" s="92">
        <v>145.5</v>
      </c>
      <c r="F319" s="81">
        <f>TRUNC(F320,2)</f>
        <v>14.29</v>
      </c>
      <c r="G319" s="103">
        <f>TRUNC(E319*F319,2)</f>
        <v>2079.19</v>
      </c>
      <c r="CS319"/>
    </row>
    <row r="320" spans="1:97">
      <c r="B320" s="88" t="s">
        <v>202</v>
      </c>
      <c r="C320" s="181" t="s">
        <v>508</v>
      </c>
      <c r="D320" s="46" t="s">
        <v>51</v>
      </c>
      <c r="E320">
        <v>1</v>
      </c>
      <c r="F320">
        <f>G324</f>
        <v>14.29</v>
      </c>
      <c r="G320" s="104">
        <f>TRUNC(E320*F320,2)</f>
        <v>14.29</v>
      </c>
      <c r="CS320"/>
    </row>
    <row r="321" spans="1:97">
      <c r="B321" s="88" t="s">
        <v>203</v>
      </c>
      <c r="C321" s="181" t="s">
        <v>509</v>
      </c>
      <c r="D321" s="46" t="s">
        <v>200</v>
      </c>
      <c r="E321">
        <v>0.33</v>
      </c>
      <c r="F321">
        <f>TRUNC(21.85,2)</f>
        <v>21.85</v>
      </c>
      <c r="G321" s="104">
        <f>TRUNC(E321*F321,2)</f>
        <v>7.21</v>
      </c>
      <c r="CS321"/>
    </row>
    <row r="322" spans="1:97">
      <c r="B322" s="88" t="s">
        <v>167</v>
      </c>
      <c r="C322" s="181" t="s">
        <v>437</v>
      </c>
      <c r="D322" s="46" t="s">
        <v>3</v>
      </c>
      <c r="E322">
        <v>6.9000000000000006E-2</v>
      </c>
      <c r="F322">
        <f>TRUNC(22.56,2)</f>
        <v>22.56</v>
      </c>
      <c r="G322" s="104">
        <f>TRUNC(E322*F322,2)</f>
        <v>1.55</v>
      </c>
      <c r="CS322"/>
    </row>
    <row r="323" spans="1:97">
      <c r="B323" s="88" t="s">
        <v>201</v>
      </c>
      <c r="C323" s="181" t="s">
        <v>507</v>
      </c>
      <c r="D323" s="46" t="s">
        <v>3</v>
      </c>
      <c r="E323">
        <v>0.187</v>
      </c>
      <c r="F323">
        <f>TRUNC(29.61,2)</f>
        <v>29.61</v>
      </c>
      <c r="G323" s="104">
        <f>TRUNC(E323*F323,2)</f>
        <v>5.53</v>
      </c>
      <c r="CS323"/>
    </row>
    <row r="324" spans="1:97" ht="15.75" thickBot="1">
      <c r="B324" s="88"/>
      <c r="C324" s="182"/>
      <c r="E324" t="s">
        <v>4</v>
      </c>
      <c r="G324" s="104">
        <f>TRUNC(SUM(G321:G323),2)</f>
        <v>14.29</v>
      </c>
      <c r="CS324"/>
    </row>
    <row r="325" spans="1:97" ht="45.75" thickBot="1">
      <c r="A325" s="93" t="s">
        <v>90</v>
      </c>
      <c r="B325" s="94" t="s">
        <v>315</v>
      </c>
      <c r="C325" s="184" t="s">
        <v>551</v>
      </c>
      <c r="D325" s="93" t="s">
        <v>51</v>
      </c>
      <c r="E325" s="92">
        <v>130</v>
      </c>
      <c r="F325" s="81">
        <f>TRUNC(F326,2)</f>
        <v>22.44</v>
      </c>
      <c r="G325" s="103">
        <f t="shared" ref="G325:G332" si="16">TRUNC(E325*F325,2)</f>
        <v>2917.2</v>
      </c>
      <c r="CS325"/>
    </row>
    <row r="326" spans="1:97" ht="45">
      <c r="B326" s="88" t="s">
        <v>315</v>
      </c>
      <c r="C326" s="181" t="s">
        <v>510</v>
      </c>
      <c r="D326" s="46" t="s">
        <v>51</v>
      </c>
      <c r="E326">
        <v>1</v>
      </c>
      <c r="F326" s="105">
        <f>G333</f>
        <v>22.44</v>
      </c>
      <c r="G326" s="104">
        <f t="shared" si="16"/>
        <v>22.44</v>
      </c>
      <c r="CS326"/>
    </row>
    <row r="327" spans="1:97">
      <c r="B327" s="88" t="s">
        <v>316</v>
      </c>
      <c r="C327" s="181" t="s">
        <v>511</v>
      </c>
      <c r="D327" s="46" t="s">
        <v>123</v>
      </c>
      <c r="E327">
        <v>3.5000000000000003E-2</v>
      </c>
      <c r="F327">
        <f>TRUNC(158.44,2)</f>
        <v>158.44</v>
      </c>
      <c r="G327" s="104">
        <f t="shared" si="16"/>
        <v>5.54</v>
      </c>
      <c r="CS327"/>
    </row>
    <row r="328" spans="1:97">
      <c r="B328" s="88" t="s">
        <v>317</v>
      </c>
      <c r="C328" s="181" t="s">
        <v>512</v>
      </c>
      <c r="D328" s="46" t="s">
        <v>2</v>
      </c>
      <c r="E328">
        <v>2.5000000000000001E-2</v>
      </c>
      <c r="F328">
        <f>TRUNC(17.81,2)</f>
        <v>17.809999999999999</v>
      </c>
      <c r="G328" s="104">
        <f t="shared" si="16"/>
        <v>0.44</v>
      </c>
      <c r="CS328"/>
    </row>
    <row r="329" spans="1:97" ht="30">
      <c r="B329" s="88" t="s">
        <v>294</v>
      </c>
      <c r="C329" s="181" t="s">
        <v>513</v>
      </c>
      <c r="D329" s="46" t="s">
        <v>6</v>
      </c>
      <c r="E329">
        <v>0.05</v>
      </c>
      <c r="F329">
        <v>87.59</v>
      </c>
      <c r="G329" s="104">
        <f t="shared" si="16"/>
        <v>4.37</v>
      </c>
      <c r="CS329"/>
    </row>
    <row r="330" spans="1:97">
      <c r="B330" s="88" t="s">
        <v>314</v>
      </c>
      <c r="C330" s="181" t="s">
        <v>514</v>
      </c>
      <c r="D330" s="46" t="s">
        <v>123</v>
      </c>
      <c r="E330">
        <v>0.05</v>
      </c>
      <c r="F330">
        <f>TRUNC(81.69,2)</f>
        <v>81.69</v>
      </c>
      <c r="G330" s="104">
        <f t="shared" si="16"/>
        <v>4.08</v>
      </c>
      <c r="CS330"/>
    </row>
    <row r="331" spans="1:97">
      <c r="B331" s="88" t="s">
        <v>39</v>
      </c>
      <c r="C331" s="181" t="s">
        <v>383</v>
      </c>
      <c r="D331" s="46" t="s">
        <v>3</v>
      </c>
      <c r="E331">
        <v>0.12875</v>
      </c>
      <c r="F331">
        <f>TRUNC(16.55,2)</f>
        <v>16.55</v>
      </c>
      <c r="G331" s="104">
        <f t="shared" si="16"/>
        <v>2.13</v>
      </c>
      <c r="CS331"/>
    </row>
    <row r="332" spans="1:97">
      <c r="B332" s="88" t="s">
        <v>126</v>
      </c>
      <c r="C332" s="181" t="s">
        <v>385</v>
      </c>
      <c r="D332" s="46" t="s">
        <v>3</v>
      </c>
      <c r="E332">
        <v>0.25750000000000001</v>
      </c>
      <c r="F332">
        <f>TRUNC(22.86,2)</f>
        <v>22.86</v>
      </c>
      <c r="G332" s="104">
        <f t="shared" si="16"/>
        <v>5.88</v>
      </c>
      <c r="CS332"/>
    </row>
    <row r="333" spans="1:97" ht="15.75" thickBot="1">
      <c r="B333" s="88"/>
      <c r="C333" s="182"/>
      <c r="E333" t="s">
        <v>4</v>
      </c>
      <c r="G333" s="104">
        <f>TRUNC(SUM(G327:G332),2)</f>
        <v>22.44</v>
      </c>
      <c r="CS333"/>
    </row>
    <row r="334" spans="1:97" s="41" customFormat="1" ht="15.75" thickBot="1">
      <c r="A334" s="95" t="s">
        <v>33</v>
      </c>
      <c r="B334" s="96"/>
      <c r="C334" s="185"/>
      <c r="D334" s="95"/>
      <c r="E334" s="98"/>
      <c r="F334" s="98" t="s">
        <v>220</v>
      </c>
      <c r="G334" s="82">
        <f>G312+G319+G325</f>
        <v>5838.83</v>
      </c>
      <c r="H334" s="70"/>
      <c r="I334" s="70"/>
      <c r="J334" s="70"/>
      <c r="K334" s="70"/>
      <c r="L334" s="70"/>
      <c r="M334" s="70"/>
      <c r="N334" s="70"/>
      <c r="O334" s="70"/>
      <c r="P334" s="70"/>
      <c r="Q334" s="70"/>
      <c r="R334" s="70"/>
      <c r="S334" s="70"/>
      <c r="T334" s="70"/>
      <c r="U334" s="70"/>
      <c r="V334" s="70"/>
      <c r="W334" s="70"/>
      <c r="X334" s="70"/>
      <c r="Y334" s="70"/>
      <c r="Z334" s="70"/>
      <c r="AA334" s="70"/>
      <c r="AB334" s="70"/>
      <c r="AC334" s="70"/>
      <c r="AD334" s="70"/>
      <c r="AE334" s="70"/>
      <c r="AF334" s="70"/>
      <c r="AG334" s="70"/>
      <c r="AH334" s="70"/>
      <c r="AI334" s="70"/>
      <c r="AJ334" s="70"/>
      <c r="AK334" s="70"/>
      <c r="AL334" s="70"/>
      <c r="AM334" s="70"/>
      <c r="AN334" s="70"/>
      <c r="AO334" s="70"/>
      <c r="AP334" s="70"/>
      <c r="AQ334" s="70"/>
      <c r="AR334" s="70"/>
      <c r="AS334" s="70"/>
      <c r="AT334" s="70"/>
      <c r="AU334" s="70"/>
      <c r="AV334" s="70"/>
      <c r="AW334" s="70"/>
      <c r="AX334" s="70"/>
      <c r="AY334" s="70"/>
      <c r="AZ334" s="70"/>
      <c r="BA334" s="70"/>
      <c r="BB334" s="70"/>
      <c r="BC334" s="70"/>
      <c r="BD334" s="70"/>
      <c r="BE334" s="70"/>
      <c r="BF334" s="70"/>
      <c r="BG334" s="70"/>
      <c r="BH334" s="70"/>
      <c r="BI334" s="70"/>
      <c r="BJ334" s="70"/>
      <c r="BK334" s="70"/>
      <c r="BL334" s="70"/>
      <c r="BM334" s="70"/>
      <c r="BN334" s="70"/>
      <c r="BO334" s="70"/>
      <c r="BP334" s="70"/>
      <c r="BQ334" s="70"/>
      <c r="BR334" s="70"/>
      <c r="BS334" s="70"/>
      <c r="BT334" s="70"/>
      <c r="BU334" s="70"/>
      <c r="BV334" s="70"/>
      <c r="BW334" s="70"/>
      <c r="BX334" s="70"/>
      <c r="BY334" s="70"/>
      <c r="BZ334" s="70"/>
      <c r="CA334" s="70"/>
      <c r="CB334" s="70"/>
      <c r="CC334" s="70"/>
      <c r="CD334" s="70"/>
      <c r="CE334" s="70"/>
      <c r="CF334" s="70"/>
      <c r="CG334" s="70"/>
      <c r="CH334" s="70"/>
      <c r="CI334" s="70"/>
      <c r="CJ334" s="70"/>
      <c r="CK334" s="70"/>
      <c r="CL334" s="70"/>
      <c r="CM334" s="70"/>
      <c r="CN334" s="70"/>
      <c r="CO334" s="70"/>
      <c r="CP334" s="70"/>
      <c r="CQ334" s="70"/>
      <c r="CR334" s="70"/>
    </row>
    <row r="335" spans="1:97" s="41" customFormat="1" ht="15.75" thickBot="1">
      <c r="A335" s="95" t="s">
        <v>91</v>
      </c>
      <c r="B335" s="96"/>
      <c r="C335" s="164" t="s">
        <v>366</v>
      </c>
      <c r="D335" s="95" t="s">
        <v>49</v>
      </c>
      <c r="E335" s="98"/>
      <c r="F335" s="98"/>
      <c r="G335" s="82"/>
      <c r="H335" s="70"/>
      <c r="I335" s="70"/>
      <c r="J335" s="70"/>
      <c r="K335" s="70"/>
      <c r="L335" s="70"/>
      <c r="M335" s="70"/>
      <c r="N335" s="70"/>
      <c r="O335" s="70"/>
      <c r="P335" s="70"/>
      <c r="Q335" s="70"/>
      <c r="R335" s="70"/>
      <c r="S335" s="70"/>
      <c r="T335" s="70"/>
      <c r="U335" s="70"/>
      <c r="V335" s="70"/>
      <c r="W335" s="70"/>
      <c r="X335" s="70"/>
      <c r="Y335" s="70"/>
      <c r="Z335" s="70"/>
      <c r="AA335" s="70"/>
      <c r="AB335" s="70"/>
      <c r="AC335" s="70"/>
      <c r="AD335" s="70"/>
      <c r="AE335" s="70"/>
      <c r="AF335" s="70"/>
      <c r="AG335" s="70"/>
      <c r="AH335" s="70"/>
      <c r="AI335" s="70"/>
      <c r="AJ335" s="70"/>
      <c r="AK335" s="70"/>
      <c r="AL335" s="70"/>
      <c r="AM335" s="70"/>
      <c r="AN335" s="70"/>
      <c r="AO335" s="70"/>
      <c r="AP335" s="70"/>
      <c r="AQ335" s="70"/>
      <c r="AR335" s="70"/>
      <c r="AS335" s="70"/>
      <c r="AT335" s="70"/>
      <c r="AU335" s="70"/>
      <c r="AV335" s="70"/>
      <c r="AW335" s="70"/>
      <c r="AX335" s="70"/>
      <c r="AY335" s="70"/>
      <c r="AZ335" s="70"/>
      <c r="BA335" s="70"/>
      <c r="BB335" s="70"/>
      <c r="BC335" s="70"/>
      <c r="BD335" s="70"/>
      <c r="BE335" s="70"/>
      <c r="BF335" s="70"/>
      <c r="BG335" s="70"/>
      <c r="BH335" s="70"/>
      <c r="BI335" s="70"/>
      <c r="BJ335" s="70"/>
      <c r="BK335" s="70"/>
      <c r="BL335" s="70"/>
      <c r="BM335" s="70"/>
      <c r="BN335" s="70"/>
      <c r="BO335" s="70"/>
      <c r="BP335" s="70"/>
      <c r="BQ335" s="70"/>
      <c r="BR335" s="70"/>
      <c r="BS335" s="70"/>
      <c r="BT335" s="70"/>
      <c r="BU335" s="70"/>
      <c r="BV335" s="70"/>
      <c r="BW335" s="70"/>
      <c r="BX335" s="70"/>
      <c r="BY335" s="70"/>
      <c r="BZ335" s="70"/>
      <c r="CA335" s="70"/>
      <c r="CB335" s="70"/>
      <c r="CC335" s="70"/>
      <c r="CD335" s="70"/>
      <c r="CE335" s="70"/>
      <c r="CF335" s="70"/>
      <c r="CG335" s="70"/>
      <c r="CH335" s="70"/>
      <c r="CI335" s="70"/>
      <c r="CJ335" s="70"/>
      <c r="CK335" s="70"/>
      <c r="CL335" s="70"/>
      <c r="CM335" s="70"/>
      <c r="CN335" s="70"/>
      <c r="CO335" s="70"/>
      <c r="CP335" s="70"/>
      <c r="CQ335" s="70"/>
      <c r="CR335" s="70"/>
    </row>
    <row r="336" spans="1:97" ht="30.75" thickBot="1">
      <c r="A336" s="93" t="s">
        <v>92</v>
      </c>
      <c r="B336" s="94" t="s">
        <v>204</v>
      </c>
      <c r="C336" s="163" t="s">
        <v>367</v>
      </c>
      <c r="D336" s="93" t="s">
        <v>0</v>
      </c>
      <c r="E336" s="92">
        <v>40</v>
      </c>
      <c r="F336" s="81">
        <f>TRUNC(F337,2)</f>
        <v>23.86</v>
      </c>
      <c r="G336" s="103">
        <f>TRUNC(E336*F336,2)</f>
        <v>954.4</v>
      </c>
      <c r="CS336"/>
    </row>
    <row r="337" spans="1:97" ht="30">
      <c r="B337" s="88" t="s">
        <v>204</v>
      </c>
      <c r="C337" s="181" t="s">
        <v>367</v>
      </c>
      <c r="D337" s="46" t="s">
        <v>0</v>
      </c>
      <c r="E337">
        <v>1</v>
      </c>
      <c r="F337">
        <f>G339</f>
        <v>23.86</v>
      </c>
      <c r="G337" s="104">
        <f>TRUNC(E337*F337,2)</f>
        <v>23.86</v>
      </c>
      <c r="CS337"/>
    </row>
    <row r="338" spans="1:97">
      <c r="B338" s="88" t="s">
        <v>39</v>
      </c>
      <c r="C338" s="181" t="s">
        <v>383</v>
      </c>
      <c r="D338" s="46" t="s">
        <v>3</v>
      </c>
      <c r="E338">
        <v>1.4419999999999999</v>
      </c>
      <c r="F338">
        <f>TRUNC(16.55,2)</f>
        <v>16.55</v>
      </c>
      <c r="G338" s="104">
        <f>TRUNC(E338*F338,2)</f>
        <v>23.86</v>
      </c>
      <c r="CS338"/>
    </row>
    <row r="339" spans="1:97" ht="15.75" thickBot="1">
      <c r="B339" s="88"/>
      <c r="C339" s="182"/>
      <c r="E339" t="s">
        <v>4</v>
      </c>
      <c r="G339" s="104">
        <f>TRUNC(SUM(G338:G338),2)</f>
        <v>23.86</v>
      </c>
      <c r="CS339"/>
    </row>
    <row r="340" spans="1:97" ht="30.75" thickBot="1">
      <c r="A340" s="93" t="s">
        <v>93</v>
      </c>
      <c r="B340" s="94" t="s">
        <v>295</v>
      </c>
      <c r="C340" s="184" t="s">
        <v>368</v>
      </c>
      <c r="D340" s="93" t="s">
        <v>6</v>
      </c>
      <c r="E340" s="92">
        <v>8</v>
      </c>
      <c r="F340" s="81">
        <f>TRUNC(F341,2)</f>
        <v>240</v>
      </c>
      <c r="G340" s="103">
        <f>TRUNC(E340*F340,2)</f>
        <v>1920</v>
      </c>
      <c r="CS340"/>
    </row>
    <row r="341" spans="1:97" ht="45">
      <c r="B341" s="88" t="s">
        <v>117</v>
      </c>
      <c r="C341" s="181" t="s">
        <v>515</v>
      </c>
      <c r="D341" s="46" t="s">
        <v>6</v>
      </c>
      <c r="E341">
        <v>1</v>
      </c>
      <c r="F341">
        <f>G344</f>
        <v>240</v>
      </c>
      <c r="G341" s="104">
        <f>TRUNC(E341*F341,2)</f>
        <v>240</v>
      </c>
      <c r="CS341"/>
    </row>
    <row r="342" spans="1:97" s="41" customFormat="1">
      <c r="A342" s="143"/>
      <c r="B342" s="144" t="s">
        <v>39</v>
      </c>
      <c r="C342" s="186" t="s">
        <v>383</v>
      </c>
      <c r="D342" s="143" t="s">
        <v>3</v>
      </c>
      <c r="F342" s="41">
        <f>TRUNC(16.55,2)</f>
        <v>16.55</v>
      </c>
      <c r="G342" s="145">
        <f>TRUNC(E342*F342,2)</f>
        <v>0</v>
      </c>
      <c r="H342" s="70"/>
      <c r="I342" s="70"/>
      <c r="J342" s="70"/>
      <c r="K342" s="70"/>
      <c r="L342" s="70"/>
      <c r="M342" s="70"/>
      <c r="N342" s="70"/>
      <c r="O342" s="70"/>
      <c r="P342" s="70"/>
      <c r="Q342" s="70"/>
      <c r="R342" s="70"/>
      <c r="S342" s="70"/>
      <c r="T342" s="70"/>
      <c r="U342" s="70"/>
      <c r="V342" s="70"/>
      <c r="W342" s="70"/>
      <c r="X342" s="70"/>
      <c r="Y342" s="70"/>
      <c r="Z342" s="70"/>
      <c r="AA342" s="70"/>
      <c r="AB342" s="70"/>
      <c r="AC342" s="70"/>
      <c r="AD342" s="70"/>
      <c r="AE342" s="70"/>
      <c r="AF342" s="70"/>
      <c r="AG342" s="70"/>
      <c r="AH342" s="70"/>
      <c r="AI342" s="70"/>
      <c r="AJ342" s="70"/>
      <c r="AK342" s="70"/>
      <c r="AL342" s="70"/>
      <c r="AM342" s="70"/>
      <c r="AN342" s="70"/>
      <c r="AO342" s="70"/>
      <c r="AP342" s="70"/>
      <c r="AQ342" s="70"/>
      <c r="AR342" s="70"/>
      <c r="AS342" s="70"/>
      <c r="AT342" s="70"/>
      <c r="AU342" s="70"/>
      <c r="AV342" s="70"/>
      <c r="AW342" s="70"/>
      <c r="AX342" s="70"/>
      <c r="AY342" s="70"/>
      <c r="AZ342" s="70"/>
      <c r="BA342" s="70"/>
      <c r="BB342" s="70"/>
      <c r="BC342" s="70"/>
      <c r="BD342" s="70"/>
      <c r="BE342" s="70"/>
      <c r="BF342" s="70"/>
      <c r="BG342" s="70"/>
      <c r="BH342" s="70"/>
      <c r="BI342" s="70"/>
      <c r="BJ342" s="70"/>
      <c r="BK342" s="70"/>
      <c r="BL342" s="70"/>
      <c r="BM342" s="70"/>
      <c r="BN342" s="70"/>
      <c r="BO342" s="70"/>
      <c r="BP342" s="70"/>
      <c r="BQ342" s="70"/>
      <c r="BR342" s="70"/>
      <c r="BS342" s="70"/>
      <c r="BT342" s="70"/>
      <c r="BU342" s="70"/>
      <c r="BV342" s="70"/>
      <c r="BW342" s="70"/>
      <c r="BX342" s="70"/>
      <c r="BY342" s="70"/>
      <c r="BZ342" s="70"/>
      <c r="CA342" s="70"/>
      <c r="CB342" s="70"/>
      <c r="CC342" s="70"/>
      <c r="CD342" s="70"/>
      <c r="CE342" s="70"/>
      <c r="CF342" s="70"/>
      <c r="CG342" s="70"/>
      <c r="CH342" s="70"/>
      <c r="CI342" s="70"/>
      <c r="CJ342" s="70"/>
      <c r="CK342" s="70"/>
      <c r="CL342" s="70"/>
      <c r="CM342" s="70"/>
      <c r="CN342" s="70"/>
      <c r="CO342" s="70"/>
      <c r="CP342" s="70"/>
      <c r="CQ342" s="70"/>
      <c r="CR342" s="70"/>
    </row>
    <row r="343" spans="1:97" ht="30">
      <c r="B343" s="88" t="s">
        <v>205</v>
      </c>
      <c r="C343" s="181" t="s">
        <v>516</v>
      </c>
      <c r="D343" s="46" t="s">
        <v>6</v>
      </c>
      <c r="E343">
        <v>1</v>
      </c>
      <c r="F343">
        <f>TRUNC(240,2)</f>
        <v>240</v>
      </c>
      <c r="G343" s="104">
        <f>TRUNC(E343*F343,2)</f>
        <v>240</v>
      </c>
      <c r="CS343"/>
    </row>
    <row r="344" spans="1:97">
      <c r="B344" s="88"/>
      <c r="C344" s="182"/>
      <c r="E344" t="s">
        <v>4</v>
      </c>
      <c r="G344" s="104">
        <f>TRUNC(SUM(G342:G343),2)</f>
        <v>240</v>
      </c>
      <c r="CS344"/>
    </row>
    <row r="345" spans="1:97" ht="15.75" thickBot="1">
      <c r="B345" s="88"/>
      <c r="C345" s="182"/>
      <c r="G345" s="104"/>
      <c r="CS345"/>
    </row>
    <row r="346" spans="1:97" ht="45.75" thickBot="1">
      <c r="A346" s="93" t="s">
        <v>94</v>
      </c>
      <c r="B346" s="94" t="s">
        <v>118</v>
      </c>
      <c r="C346" s="184" t="s">
        <v>369</v>
      </c>
      <c r="D346" s="93" t="s">
        <v>95</v>
      </c>
      <c r="E346" s="92">
        <v>7.5</v>
      </c>
      <c r="F346" s="81">
        <f>TRUNC(F347,2)</f>
        <v>84.5</v>
      </c>
      <c r="G346" s="103">
        <f>TRUNC(E346*F346,2)</f>
        <v>633.75</v>
      </c>
      <c r="CS346"/>
    </row>
    <row r="347" spans="1:97" ht="45">
      <c r="B347" s="88" t="s">
        <v>118</v>
      </c>
      <c r="C347" s="181" t="s">
        <v>517</v>
      </c>
      <c r="D347" s="46" t="s">
        <v>95</v>
      </c>
      <c r="E347">
        <v>1</v>
      </c>
      <c r="F347">
        <f>G351</f>
        <v>84.5</v>
      </c>
      <c r="G347" s="104">
        <f>TRUNC(E347*F347,2)</f>
        <v>84.5</v>
      </c>
      <c r="CS347"/>
    </row>
    <row r="348" spans="1:97">
      <c r="B348" s="88" t="s">
        <v>39</v>
      </c>
      <c r="C348" s="181" t="s">
        <v>383</v>
      </c>
      <c r="D348" s="46" t="s">
        <v>3</v>
      </c>
      <c r="E348">
        <v>3.09</v>
      </c>
      <c r="F348">
        <f>TRUNC(16.55,2)</f>
        <v>16.55</v>
      </c>
      <c r="G348" s="104">
        <f>TRUNC(E348*F348,2)</f>
        <v>51.13</v>
      </c>
      <c r="CS348"/>
    </row>
    <row r="349" spans="1:97">
      <c r="B349" s="88" t="s">
        <v>206</v>
      </c>
      <c r="C349" s="181" t="s">
        <v>518</v>
      </c>
      <c r="D349" s="46" t="s">
        <v>3</v>
      </c>
      <c r="E349">
        <v>0.75</v>
      </c>
      <c r="F349">
        <f>TRUNC(43.8067,2)</f>
        <v>43.8</v>
      </c>
      <c r="G349" s="104">
        <f>TRUNC(E349*F349,2)</f>
        <v>32.85</v>
      </c>
      <c r="CS349"/>
    </row>
    <row r="350" spans="1:97">
      <c r="B350" s="88" t="s">
        <v>207</v>
      </c>
      <c r="C350" s="181" t="s">
        <v>519</v>
      </c>
      <c r="D350" s="46" t="s">
        <v>3</v>
      </c>
      <c r="E350">
        <v>4.0000000000000001E-3</v>
      </c>
      <c r="F350">
        <f>TRUNC(132.0902,2)</f>
        <v>132.09</v>
      </c>
      <c r="G350" s="104">
        <f>TRUNC(E350*F350,2)</f>
        <v>0.52</v>
      </c>
      <c r="CS350"/>
    </row>
    <row r="351" spans="1:97">
      <c r="B351" s="88"/>
      <c r="C351" s="182"/>
      <c r="E351" t="s">
        <v>4</v>
      </c>
      <c r="G351" s="104">
        <f>TRUNC(SUM(G348:G350),2)</f>
        <v>84.5</v>
      </c>
      <c r="CS351"/>
    </row>
    <row r="352" spans="1:97" ht="15.75" thickBot="1">
      <c r="B352" s="88"/>
      <c r="C352" s="182"/>
      <c r="G352" s="104"/>
      <c r="CS352"/>
    </row>
    <row r="353" spans="1:97" ht="45.75" thickBot="1">
      <c r="A353" s="93" t="s">
        <v>96</v>
      </c>
      <c r="B353" s="94" t="s">
        <v>119</v>
      </c>
      <c r="C353" s="184" t="s">
        <v>520</v>
      </c>
      <c r="D353" s="93" t="s">
        <v>97</v>
      </c>
      <c r="E353" s="92">
        <f>E346*7.8</f>
        <v>58.5</v>
      </c>
      <c r="F353" s="81">
        <f>TRUNC(F354,2)</f>
        <v>0.88</v>
      </c>
      <c r="G353" s="103">
        <f>TRUNC(E353*F353,2)</f>
        <v>51.48</v>
      </c>
      <c r="CS353"/>
    </row>
    <row r="354" spans="1:97" ht="45">
      <c r="B354" s="46" t="s">
        <v>119</v>
      </c>
      <c r="C354" s="181" t="s">
        <v>521</v>
      </c>
      <c r="D354" s="46" t="s">
        <v>97</v>
      </c>
      <c r="E354">
        <v>1</v>
      </c>
      <c r="F354">
        <f>G356</f>
        <v>0.88</v>
      </c>
      <c r="G354" s="105">
        <f>TRUNC(E354*F354,2)</f>
        <v>0.88</v>
      </c>
    </row>
    <row r="355" spans="1:97">
      <c r="B355" s="46" t="s">
        <v>207</v>
      </c>
      <c r="C355" s="181" t="s">
        <v>519</v>
      </c>
      <c r="D355" s="46" t="s">
        <v>3</v>
      </c>
      <c r="E355">
        <v>6.7000000000000002E-3</v>
      </c>
      <c r="F355">
        <f>TRUNC(132.0902,2)</f>
        <v>132.09</v>
      </c>
      <c r="G355" s="105">
        <f>TRUNC(E355*F355,2)</f>
        <v>0.88</v>
      </c>
    </row>
    <row r="356" spans="1:97" ht="15.75" thickBot="1">
      <c r="C356" s="182"/>
      <c r="E356" t="s">
        <v>4</v>
      </c>
      <c r="G356" s="105">
        <f>TRUNC(SUM(G355:G355),2)</f>
        <v>0.88</v>
      </c>
    </row>
    <row r="357" spans="1:97" s="41" customFormat="1" ht="15.75" thickBot="1">
      <c r="A357" s="95" t="s">
        <v>33</v>
      </c>
      <c r="B357" s="96"/>
      <c r="C357" s="185"/>
      <c r="D357" s="95"/>
      <c r="E357" s="98"/>
      <c r="F357" s="98" t="s">
        <v>221</v>
      </c>
      <c r="G357" s="82">
        <f>G336+G340+G346+G353</f>
        <v>3559.63</v>
      </c>
      <c r="H357" s="70"/>
      <c r="I357" s="70"/>
      <c r="J357" s="70"/>
      <c r="K357" s="70"/>
      <c r="L357" s="70"/>
      <c r="M357" s="70"/>
      <c r="N357" s="70"/>
      <c r="O357" s="70"/>
      <c r="P357" s="70"/>
      <c r="Q357" s="70"/>
      <c r="R357" s="70"/>
      <c r="S357" s="70"/>
      <c r="T357" s="70"/>
      <c r="U357" s="70"/>
      <c r="V357" s="70"/>
      <c r="W357" s="70"/>
      <c r="X357" s="70"/>
      <c r="Y357" s="70"/>
      <c r="Z357" s="70"/>
      <c r="AA357" s="70"/>
      <c r="AB357" s="70"/>
      <c r="AC357" s="70"/>
      <c r="AD357" s="70"/>
      <c r="AE357" s="70"/>
      <c r="AF357" s="70"/>
      <c r="AG357" s="70"/>
      <c r="AH357" s="70"/>
      <c r="AI357" s="70"/>
      <c r="AJ357" s="70"/>
      <c r="AK357" s="70"/>
      <c r="AL357" s="70"/>
      <c r="AM357" s="70"/>
      <c r="AN357" s="70"/>
      <c r="AO357" s="70"/>
      <c r="AP357" s="70"/>
      <c r="AQ357" s="70"/>
      <c r="AR357" s="70"/>
      <c r="AS357" s="70"/>
      <c r="AT357" s="70"/>
      <c r="AU357" s="70"/>
      <c r="AV357" s="70"/>
      <c r="AW357" s="70"/>
      <c r="AX357" s="70"/>
      <c r="AY357" s="70"/>
      <c r="AZ357" s="70"/>
      <c r="BA357" s="70"/>
      <c r="BB357" s="70"/>
      <c r="BC357" s="70"/>
      <c r="BD357" s="70"/>
      <c r="BE357" s="70"/>
      <c r="BF357" s="70"/>
      <c r="BG357" s="70"/>
      <c r="BH357" s="70"/>
      <c r="BI357" s="70"/>
      <c r="BJ357" s="70"/>
      <c r="BK357" s="70"/>
      <c r="BL357" s="70"/>
      <c r="BM357" s="70"/>
      <c r="BN357" s="70"/>
      <c r="BO357" s="70"/>
      <c r="BP357" s="70"/>
      <c r="BQ357" s="70"/>
      <c r="BR357" s="70"/>
      <c r="BS357" s="70"/>
      <c r="BT357" s="70"/>
      <c r="BU357" s="70"/>
      <c r="BV357" s="70"/>
      <c r="BW357" s="70"/>
      <c r="BX357" s="70"/>
      <c r="BY357" s="70"/>
      <c r="BZ357" s="70"/>
      <c r="CA357" s="70"/>
      <c r="CB357" s="70"/>
      <c r="CC357" s="70"/>
      <c r="CD357" s="70"/>
      <c r="CE357" s="70"/>
      <c r="CF357" s="70"/>
      <c r="CG357" s="70"/>
      <c r="CH357" s="70"/>
      <c r="CI357" s="70"/>
      <c r="CJ357" s="70"/>
      <c r="CK357" s="70"/>
      <c r="CL357" s="70"/>
      <c r="CM357" s="70"/>
      <c r="CN357" s="70"/>
      <c r="CO357" s="70"/>
      <c r="CP357" s="70"/>
      <c r="CQ357" s="70"/>
      <c r="CR357" s="70"/>
    </row>
    <row r="358" spans="1:97" s="41" customFormat="1" ht="15.75" thickBot="1">
      <c r="A358" s="95" t="s">
        <v>247</v>
      </c>
      <c r="B358" s="96"/>
      <c r="C358" s="164" t="s">
        <v>371</v>
      </c>
      <c r="D358" s="95" t="s">
        <v>49</v>
      </c>
      <c r="E358" s="98"/>
      <c r="F358" s="98"/>
      <c r="G358" s="82"/>
      <c r="H358" s="70"/>
      <c r="I358" s="70"/>
      <c r="J358" s="70"/>
      <c r="K358" s="70"/>
      <c r="L358" s="70"/>
      <c r="M358" s="70"/>
      <c r="N358" s="70"/>
      <c r="O358" s="70"/>
      <c r="P358" s="70"/>
      <c r="Q358" s="70"/>
      <c r="R358" s="70"/>
      <c r="S358" s="70"/>
      <c r="T358" s="70"/>
      <c r="U358" s="70"/>
      <c r="V358" s="70"/>
      <c r="W358" s="70"/>
      <c r="X358" s="70"/>
      <c r="Y358" s="70"/>
      <c r="Z358" s="70"/>
      <c r="AA358" s="70"/>
      <c r="AB358" s="70"/>
      <c r="AC358" s="70"/>
      <c r="AD358" s="70"/>
      <c r="AE358" s="70"/>
      <c r="AF358" s="70"/>
      <c r="AG358" s="70"/>
      <c r="AH358" s="70"/>
      <c r="AI358" s="70"/>
      <c r="AJ358" s="70"/>
      <c r="AK358" s="70"/>
      <c r="AL358" s="70"/>
      <c r="AM358" s="70"/>
      <c r="AN358" s="70"/>
      <c r="AO358" s="70"/>
      <c r="AP358" s="70"/>
      <c r="AQ358" s="70"/>
      <c r="AR358" s="70"/>
      <c r="AS358" s="70"/>
      <c r="AT358" s="70"/>
      <c r="AU358" s="70"/>
      <c r="AV358" s="70"/>
      <c r="AW358" s="70"/>
      <c r="AX358" s="70"/>
      <c r="AY358" s="70"/>
      <c r="AZ358" s="70"/>
      <c r="BA358" s="70"/>
      <c r="BB358" s="70"/>
      <c r="BC358" s="70"/>
      <c r="BD358" s="70"/>
      <c r="BE358" s="70"/>
      <c r="BF358" s="70"/>
      <c r="BG358" s="70"/>
      <c r="BH358" s="70"/>
      <c r="BI358" s="70"/>
      <c r="BJ358" s="70"/>
      <c r="BK358" s="70"/>
      <c r="BL358" s="70"/>
      <c r="BM358" s="70"/>
      <c r="BN358" s="70"/>
      <c r="BO358" s="70"/>
      <c r="BP358" s="70"/>
      <c r="BQ358" s="70"/>
      <c r="BR358" s="70"/>
      <c r="BS358" s="70"/>
      <c r="BT358" s="70"/>
      <c r="BU358" s="70"/>
      <c r="BV358" s="70"/>
      <c r="BW358" s="70"/>
      <c r="BX358" s="70"/>
      <c r="BY358" s="70"/>
      <c r="BZ358" s="70"/>
      <c r="CA358" s="70"/>
      <c r="CB358" s="70"/>
      <c r="CC358" s="70"/>
      <c r="CD358" s="70"/>
      <c r="CE358" s="70"/>
      <c r="CF358" s="70"/>
      <c r="CG358" s="70"/>
      <c r="CH358" s="70"/>
      <c r="CI358" s="70"/>
      <c r="CJ358" s="70"/>
      <c r="CK358" s="70"/>
      <c r="CL358" s="70"/>
      <c r="CM358" s="70"/>
      <c r="CN358" s="70"/>
      <c r="CO358" s="70"/>
      <c r="CP358" s="70"/>
      <c r="CQ358" s="70"/>
      <c r="CR358" s="70"/>
    </row>
    <row r="359" spans="1:97" ht="45.75" thickBot="1">
      <c r="A359" s="93" t="s">
        <v>249</v>
      </c>
      <c r="B359" s="94" t="s">
        <v>254</v>
      </c>
      <c r="C359" s="163" t="s">
        <v>372</v>
      </c>
      <c r="D359" s="93" t="s">
        <v>255</v>
      </c>
      <c r="E359" s="92">
        <v>80.849999999999994</v>
      </c>
      <c r="F359" s="81">
        <f>TRUNC(F360,2)</f>
        <v>12</v>
      </c>
      <c r="G359" s="103">
        <f>TRUNC(E359*F359,2)</f>
        <v>970.2</v>
      </c>
      <c r="CS359"/>
    </row>
    <row r="360" spans="1:97" ht="45">
      <c r="B360" s="88" t="s">
        <v>254</v>
      </c>
      <c r="C360" s="181" t="s">
        <v>372</v>
      </c>
      <c r="D360" s="46" t="s">
        <v>255</v>
      </c>
      <c r="E360">
        <v>1</v>
      </c>
      <c r="F360">
        <f>TRUNC(12,2)</f>
        <v>12</v>
      </c>
      <c r="G360" s="104">
        <f>TRUNC(E360*F360,2)</f>
        <v>12</v>
      </c>
      <c r="CS360"/>
    </row>
    <row r="361" spans="1:97" ht="30">
      <c r="B361" s="88" t="s">
        <v>256</v>
      </c>
      <c r="C361" s="181" t="s">
        <v>522</v>
      </c>
      <c r="D361" s="46" t="s">
        <v>255</v>
      </c>
      <c r="E361">
        <v>1</v>
      </c>
      <c r="F361">
        <f>TRUNC(12,2)</f>
        <v>12</v>
      </c>
      <c r="G361" s="104">
        <f>TRUNC(E361*F361,2)</f>
        <v>12</v>
      </c>
      <c r="CS361"/>
    </row>
    <row r="362" spans="1:97" ht="15.75" thickBot="1">
      <c r="B362" s="88"/>
      <c r="C362" s="182"/>
      <c r="E362" t="s">
        <v>4</v>
      </c>
      <c r="G362" s="104">
        <f>TRUNC(SUM(G361:G361),2)</f>
        <v>12</v>
      </c>
      <c r="CS362"/>
    </row>
    <row r="363" spans="1:97" ht="30.75" thickBot="1">
      <c r="A363" s="93" t="s">
        <v>250</v>
      </c>
      <c r="B363" s="94" t="s">
        <v>257</v>
      </c>
      <c r="C363" s="184" t="s">
        <v>373</v>
      </c>
      <c r="D363" s="93" t="s">
        <v>51</v>
      </c>
      <c r="E363" s="92">
        <v>26.95</v>
      </c>
      <c r="F363" s="81">
        <f>TRUNC(F364,2)</f>
        <v>6.81</v>
      </c>
      <c r="G363" s="103">
        <f>TRUNC(E363*F363,2)</f>
        <v>183.52</v>
      </c>
      <c r="CS363"/>
    </row>
    <row r="364" spans="1:97" ht="30">
      <c r="B364" s="88" t="s">
        <v>257</v>
      </c>
      <c r="C364" s="181" t="s">
        <v>373</v>
      </c>
      <c r="D364" s="46" t="s">
        <v>51</v>
      </c>
      <c r="E364">
        <v>1</v>
      </c>
      <c r="F364">
        <f>TRUNC(6.8186,2)</f>
        <v>6.81</v>
      </c>
      <c r="G364" s="104">
        <f>TRUNC(E364*F364,2)</f>
        <v>6.81</v>
      </c>
      <c r="CS364"/>
    </row>
    <row r="365" spans="1:97">
      <c r="B365" s="88" t="s">
        <v>39</v>
      </c>
      <c r="C365" s="181" t="s">
        <v>383</v>
      </c>
      <c r="D365" s="46" t="s">
        <v>3</v>
      </c>
      <c r="E365">
        <v>0.41200000000000003</v>
      </c>
      <c r="F365">
        <f>TRUNC(16.55,2)</f>
        <v>16.55</v>
      </c>
      <c r="G365" s="104">
        <f>TRUNC(E365*F365,2)</f>
        <v>6.81</v>
      </c>
      <c r="CS365"/>
    </row>
    <row r="366" spans="1:97" ht="15.75" thickBot="1">
      <c r="B366" s="88"/>
      <c r="C366" s="182"/>
      <c r="E366" t="s">
        <v>4</v>
      </c>
      <c r="G366" s="104">
        <f>TRUNC(SUM(G365:G365),2)</f>
        <v>6.81</v>
      </c>
      <c r="CS366"/>
    </row>
    <row r="367" spans="1:97" ht="30.75" thickBot="1">
      <c r="A367" s="93" t="s">
        <v>251</v>
      </c>
      <c r="B367" s="94" t="s">
        <v>258</v>
      </c>
      <c r="C367" s="184" t="s">
        <v>374</v>
      </c>
      <c r="D367" s="93" t="s">
        <v>259</v>
      </c>
      <c r="E367" s="92">
        <f>E359*5</f>
        <v>404.25</v>
      </c>
      <c r="F367" s="81">
        <f>TRUNC(F368,2)</f>
        <v>0.13</v>
      </c>
      <c r="G367" s="103">
        <f>TRUNC(E367*F367,2)</f>
        <v>52.55</v>
      </c>
      <c r="CS367"/>
    </row>
    <row r="368" spans="1:97" ht="30">
      <c r="B368" s="88" t="s">
        <v>258</v>
      </c>
      <c r="C368" s="181" t="s">
        <v>374</v>
      </c>
      <c r="D368" s="46" t="s">
        <v>259</v>
      </c>
      <c r="E368">
        <v>1</v>
      </c>
      <c r="F368">
        <f>TRUNC(0.135585824,2)</f>
        <v>0.13</v>
      </c>
      <c r="G368" s="104">
        <f>TRUNC(E368*F368,2)</f>
        <v>0.13</v>
      </c>
      <c r="CS368"/>
    </row>
    <row r="369" spans="1:97">
      <c r="B369" s="88" t="s">
        <v>127</v>
      </c>
      <c r="C369" s="181" t="s">
        <v>386</v>
      </c>
      <c r="D369" s="46" t="s">
        <v>3</v>
      </c>
      <c r="E369">
        <v>1.2099999999999999E-3</v>
      </c>
      <c r="F369">
        <f>TRUNC(112.0544,2)</f>
        <v>112.05</v>
      </c>
      <c r="G369" s="104">
        <f>TRUNC(E369*F369,2)</f>
        <v>0.13</v>
      </c>
      <c r="CS369"/>
    </row>
    <row r="370" spans="1:97" ht="15.75" thickBot="1">
      <c r="B370" s="88"/>
      <c r="C370" s="182"/>
      <c r="E370" t="s">
        <v>4</v>
      </c>
      <c r="G370" s="104">
        <f>TRUNC(SUM(G369:G369),2)</f>
        <v>0.13</v>
      </c>
      <c r="CS370"/>
    </row>
    <row r="371" spans="1:97" ht="30.75" thickBot="1">
      <c r="A371" s="93" t="s">
        <v>252</v>
      </c>
      <c r="B371" s="94" t="s">
        <v>331</v>
      </c>
      <c r="C371" s="184" t="s">
        <v>375</v>
      </c>
      <c r="D371" s="93" t="s">
        <v>51</v>
      </c>
      <c r="E371" s="92">
        <f>1*7.7</f>
        <v>7.7</v>
      </c>
      <c r="F371" s="142">
        <f>TRUNC(F372+F375,2)</f>
        <v>3.53</v>
      </c>
      <c r="G371" s="103">
        <f>TRUNC(E371*F371,2)</f>
        <v>27.18</v>
      </c>
      <c r="CS371"/>
    </row>
    <row r="372" spans="1:97" ht="30">
      <c r="B372" s="46" t="s">
        <v>260</v>
      </c>
      <c r="C372" s="181" t="s">
        <v>523</v>
      </c>
      <c r="D372" s="46" t="s">
        <v>51</v>
      </c>
      <c r="E372">
        <v>1</v>
      </c>
      <c r="F372">
        <f>TRUNC(2.975,2)</f>
        <v>2.97</v>
      </c>
      <c r="G372" s="105">
        <f>TRUNC(E372*F372,2)</f>
        <v>2.97</v>
      </c>
    </row>
    <row r="373" spans="1:97">
      <c r="B373" s="46" t="s">
        <v>261</v>
      </c>
      <c r="C373" s="181" t="s">
        <v>524</v>
      </c>
      <c r="D373" s="46" t="s">
        <v>1</v>
      </c>
      <c r="E373">
        <v>0.05</v>
      </c>
      <c r="F373">
        <f>TRUNC(59.5,2)</f>
        <v>59.5</v>
      </c>
      <c r="G373" s="105">
        <f>TRUNC(E373*F373,2)</f>
        <v>2.97</v>
      </c>
    </row>
    <row r="374" spans="1:97">
      <c r="C374" s="182"/>
      <c r="E374" t="s">
        <v>4</v>
      </c>
      <c r="G374" s="105">
        <f>TRUNC(SUM(G373:G373),2)</f>
        <v>2.97</v>
      </c>
    </row>
    <row r="375" spans="1:97">
      <c r="B375" s="46" t="s">
        <v>330</v>
      </c>
      <c r="C375" s="181" t="s">
        <v>525</v>
      </c>
      <c r="D375" s="46" t="s">
        <v>51</v>
      </c>
      <c r="E375">
        <v>1</v>
      </c>
      <c r="F375" s="105">
        <f>G377</f>
        <v>0.56000000000000005</v>
      </c>
      <c r="G375" s="105">
        <f>TRUNC(E375*F375,2)</f>
        <v>0.56000000000000005</v>
      </c>
    </row>
    <row r="376" spans="1:97">
      <c r="B376" s="46" t="s">
        <v>39</v>
      </c>
      <c r="C376" s="181" t="s">
        <v>383</v>
      </c>
      <c r="D376" s="46" t="s">
        <v>3</v>
      </c>
      <c r="E376">
        <v>3.3989999999999999E-2</v>
      </c>
      <c r="F376">
        <f>TRUNC(16.55,2)</f>
        <v>16.55</v>
      </c>
      <c r="G376" s="105">
        <f>TRUNC(E376*F376,2)</f>
        <v>0.56000000000000005</v>
      </c>
    </row>
    <row r="377" spans="1:97" ht="15.75" thickBot="1">
      <c r="C377" s="182"/>
      <c r="E377" t="s">
        <v>4</v>
      </c>
      <c r="G377" s="105">
        <f>TRUNC(SUM(G376:G376),2)</f>
        <v>0.56000000000000005</v>
      </c>
    </row>
    <row r="378" spans="1:97" ht="30.75" thickBot="1">
      <c r="A378" s="93" t="s">
        <v>262</v>
      </c>
      <c r="B378" s="94" t="s">
        <v>263</v>
      </c>
      <c r="C378" s="184" t="s">
        <v>376</v>
      </c>
      <c r="D378" s="93" t="s">
        <v>1</v>
      </c>
      <c r="E378" s="149">
        <v>76.099999999999994</v>
      </c>
      <c r="F378" s="81">
        <f>TRUNC(F379,2)</f>
        <v>0.17</v>
      </c>
      <c r="G378" s="103">
        <f>TRUNC(E378*F378,2)</f>
        <v>12.93</v>
      </c>
      <c r="CS378"/>
    </row>
    <row r="379" spans="1:97" ht="30">
      <c r="B379" s="46" t="s">
        <v>263</v>
      </c>
      <c r="C379" s="181" t="s">
        <v>376</v>
      </c>
      <c r="D379" s="46" t="s">
        <v>1</v>
      </c>
      <c r="E379">
        <v>1</v>
      </c>
      <c r="F379">
        <f>TRUNC(0.170465,2)</f>
        <v>0.17</v>
      </c>
      <c r="G379" s="105">
        <f>TRUNC(E379*F379,2)</f>
        <v>0.17</v>
      </c>
    </row>
    <row r="380" spans="1:97">
      <c r="B380" s="46" t="s">
        <v>39</v>
      </c>
      <c r="C380" s="181" t="s">
        <v>383</v>
      </c>
      <c r="D380" s="46" t="s">
        <v>3</v>
      </c>
      <c r="E380">
        <v>1.03E-2</v>
      </c>
      <c r="F380">
        <f>TRUNC(16.55,2)</f>
        <v>16.55</v>
      </c>
      <c r="G380" s="105">
        <f>TRUNC(E380*F380,2)</f>
        <v>0.17</v>
      </c>
    </row>
    <row r="381" spans="1:97" ht="15.75" thickBot="1">
      <c r="C381" s="182"/>
      <c r="E381" t="s">
        <v>4</v>
      </c>
      <c r="G381" s="105">
        <f>TRUNC(SUM(G380:G380),2)</f>
        <v>0.17</v>
      </c>
    </row>
    <row r="382" spans="1:97" s="41" customFormat="1" ht="15.75" thickBot="1">
      <c r="A382" s="95" t="s">
        <v>33</v>
      </c>
      <c r="B382" s="96"/>
      <c r="C382" s="185"/>
      <c r="D382" s="95"/>
      <c r="E382" s="98"/>
      <c r="F382" s="98" t="s">
        <v>253</v>
      </c>
      <c r="G382" s="82">
        <f>G359+G363+G367+G371</f>
        <v>1233.45</v>
      </c>
      <c r="H382" s="70"/>
      <c r="I382" s="70"/>
      <c r="J382" s="70"/>
      <c r="K382" s="70"/>
      <c r="L382" s="70"/>
      <c r="M382" s="70"/>
      <c r="N382" s="70"/>
      <c r="O382" s="70"/>
      <c r="P382" s="70"/>
      <c r="Q382" s="70"/>
      <c r="R382" s="70"/>
      <c r="S382" s="70"/>
      <c r="T382" s="70"/>
      <c r="U382" s="70"/>
      <c r="V382" s="70"/>
      <c r="W382" s="70"/>
      <c r="X382" s="70"/>
      <c r="Y382" s="70"/>
      <c r="Z382" s="70"/>
      <c r="AA382" s="70"/>
      <c r="AB382" s="70"/>
      <c r="AC382" s="70"/>
      <c r="AD382" s="70"/>
      <c r="AE382" s="70"/>
      <c r="AF382" s="70"/>
      <c r="AG382" s="70"/>
      <c r="AH382" s="70"/>
      <c r="AI382" s="70"/>
      <c r="AJ382" s="70"/>
      <c r="AK382" s="70"/>
      <c r="AL382" s="70"/>
      <c r="AM382" s="70"/>
      <c r="AN382" s="70"/>
      <c r="AO382" s="70"/>
      <c r="AP382" s="70"/>
      <c r="AQ382" s="70"/>
      <c r="AR382" s="70"/>
      <c r="AS382" s="70"/>
      <c r="AT382" s="70"/>
      <c r="AU382" s="70"/>
      <c r="AV382" s="70"/>
      <c r="AW382" s="70"/>
      <c r="AX382" s="70"/>
      <c r="AY382" s="70"/>
      <c r="AZ382" s="70"/>
      <c r="BA382" s="70"/>
      <c r="BB382" s="70"/>
      <c r="BC382" s="70"/>
      <c r="BD382" s="70"/>
      <c r="BE382" s="70"/>
      <c r="BF382" s="70"/>
      <c r="BG382" s="70"/>
      <c r="BH382" s="70"/>
      <c r="BI382" s="70"/>
      <c r="BJ382" s="70"/>
      <c r="BK382" s="70"/>
      <c r="BL382" s="70"/>
      <c r="BM382" s="70"/>
      <c r="BN382" s="70"/>
      <c r="BO382" s="70"/>
      <c r="BP382" s="70"/>
      <c r="BQ382" s="70"/>
      <c r="BR382" s="70"/>
      <c r="BS382" s="70"/>
      <c r="BT382" s="70"/>
      <c r="BU382" s="70"/>
      <c r="BV382" s="70"/>
      <c r="BW382" s="70"/>
      <c r="BX382" s="70"/>
      <c r="BY382" s="70"/>
      <c r="BZ382" s="70"/>
      <c r="CA382" s="70"/>
      <c r="CB382" s="70"/>
      <c r="CC382" s="70"/>
      <c r="CD382" s="70"/>
      <c r="CE382" s="70"/>
      <c r="CF382" s="70"/>
      <c r="CG382" s="70"/>
      <c r="CH382" s="70"/>
      <c r="CI382" s="70"/>
      <c r="CJ382" s="70"/>
      <c r="CK382" s="70"/>
      <c r="CL382" s="70"/>
      <c r="CM382" s="70"/>
      <c r="CN382" s="70"/>
      <c r="CO382" s="70"/>
      <c r="CP382" s="70"/>
      <c r="CQ382" s="70"/>
      <c r="CR382" s="70"/>
    </row>
    <row r="383" spans="1:97" s="41" customFormat="1" ht="15.75" thickBot="1">
      <c r="A383" s="95" t="s">
        <v>33</v>
      </c>
      <c r="B383" s="96"/>
      <c r="C383" s="164"/>
      <c r="D383" s="95"/>
      <c r="E383" s="98"/>
      <c r="F383" s="98" t="s">
        <v>34</v>
      </c>
      <c r="G383" s="82">
        <f>G82+G122+G140+G203+G257+G299+G310+G334+G357+G382</f>
        <v>133684.85000000003</v>
      </c>
      <c r="H383" s="70"/>
      <c r="I383" s="70"/>
      <c r="J383" s="70"/>
      <c r="K383" s="70"/>
      <c r="L383" s="70"/>
      <c r="M383" s="70"/>
      <c r="N383" s="70"/>
      <c r="O383" s="70"/>
      <c r="P383" s="70"/>
      <c r="Q383" s="70"/>
      <c r="R383" s="70"/>
      <c r="S383" s="70"/>
      <c r="T383" s="70"/>
      <c r="U383" s="70"/>
      <c r="V383" s="70"/>
      <c r="W383" s="70"/>
      <c r="X383" s="70"/>
      <c r="Y383" s="70"/>
      <c r="Z383" s="70"/>
      <c r="AA383" s="70"/>
      <c r="AB383" s="70"/>
      <c r="AC383" s="70"/>
      <c r="AD383" s="70"/>
      <c r="AE383" s="70"/>
      <c r="AF383" s="70"/>
      <c r="AG383" s="70"/>
      <c r="AH383" s="70"/>
      <c r="AI383" s="70"/>
      <c r="AJ383" s="70"/>
      <c r="AK383" s="70"/>
      <c r="AL383" s="70"/>
      <c r="AM383" s="70"/>
      <c r="AN383" s="70"/>
      <c r="AO383" s="70"/>
      <c r="AP383" s="70"/>
      <c r="AQ383" s="70"/>
      <c r="AR383" s="70"/>
      <c r="AS383" s="70"/>
      <c r="AT383" s="70"/>
      <c r="AU383" s="70"/>
      <c r="AV383" s="70"/>
      <c r="AW383" s="70"/>
      <c r="AX383" s="70"/>
      <c r="AY383" s="70"/>
      <c r="AZ383" s="70"/>
      <c r="BA383" s="70"/>
      <c r="BB383" s="70"/>
      <c r="BC383" s="70"/>
      <c r="BD383" s="70"/>
      <c r="BE383" s="70"/>
      <c r="BF383" s="70"/>
      <c r="BG383" s="70"/>
      <c r="BH383" s="70"/>
      <c r="BI383" s="70"/>
      <c r="BJ383" s="70"/>
      <c r="BK383" s="70"/>
      <c r="BL383" s="70"/>
      <c r="BM383" s="70"/>
      <c r="BN383" s="70"/>
      <c r="BO383" s="70"/>
      <c r="BP383" s="70"/>
      <c r="BQ383" s="70"/>
      <c r="BR383" s="70"/>
      <c r="BS383" s="70"/>
      <c r="BT383" s="70"/>
      <c r="BU383" s="70"/>
      <c r="BV383" s="70"/>
      <c r="BW383" s="70"/>
      <c r="BX383" s="70"/>
      <c r="BY383" s="70"/>
      <c r="BZ383" s="70"/>
      <c r="CA383" s="70"/>
      <c r="CB383" s="70"/>
      <c r="CC383" s="70"/>
      <c r="CD383" s="70"/>
      <c r="CE383" s="70"/>
      <c r="CF383" s="70"/>
      <c r="CG383" s="70"/>
      <c r="CH383" s="70"/>
      <c r="CI383" s="70"/>
      <c r="CJ383" s="70"/>
      <c r="CK383" s="70"/>
      <c r="CL383" s="70"/>
      <c r="CM383" s="70"/>
      <c r="CN383" s="70"/>
      <c r="CO383" s="70"/>
      <c r="CP383" s="70"/>
      <c r="CQ383" s="70"/>
      <c r="CR383" s="70"/>
    </row>
    <row r="389" spans="2:7" ht="45">
      <c r="B389" s="46" t="s">
        <v>558</v>
      </c>
      <c r="C389" s="1" t="s">
        <v>559</v>
      </c>
      <c r="D389" s="46" t="s">
        <v>1</v>
      </c>
      <c r="E389">
        <v>1</v>
      </c>
      <c r="F389" s="105">
        <f>G393</f>
        <v>26.32</v>
      </c>
      <c r="G389" s="105">
        <f>TRUNC(E389*F389,2)</f>
        <v>26.32</v>
      </c>
    </row>
    <row r="390" spans="2:7">
      <c r="B390" s="46" t="s">
        <v>556</v>
      </c>
      <c r="C390" s="1" t="s">
        <v>557</v>
      </c>
      <c r="D390" s="46" t="s">
        <v>1</v>
      </c>
      <c r="E390">
        <v>1.1550000000000002</v>
      </c>
      <c r="F390">
        <v>14.59</v>
      </c>
      <c r="G390" s="105">
        <f>TRUNC(E390*F390,2)</f>
        <v>16.850000000000001</v>
      </c>
    </row>
    <row r="391" spans="2:7">
      <c r="B391" s="46" t="s">
        <v>39</v>
      </c>
      <c r="C391" s="1" t="s">
        <v>560</v>
      </c>
      <c r="D391" s="46" t="s">
        <v>3</v>
      </c>
      <c r="E391">
        <v>0.14420000000000002</v>
      </c>
      <c r="F391">
        <f>TRUNC(16.55,2)</f>
        <v>16.55</v>
      </c>
      <c r="G391" s="105">
        <f>TRUNC(E391*F391,2)</f>
        <v>2.38</v>
      </c>
    </row>
    <row r="392" spans="2:7">
      <c r="B392" s="46" t="s">
        <v>194</v>
      </c>
      <c r="C392" s="1" t="s">
        <v>562</v>
      </c>
      <c r="D392" s="46" t="s">
        <v>3</v>
      </c>
      <c r="E392">
        <f>E391*2</f>
        <v>0.28840000000000005</v>
      </c>
      <c r="F392">
        <f>TRUNC(24.61,2)</f>
        <v>24.61</v>
      </c>
      <c r="G392" s="105">
        <f>TRUNC(E392*F392,2)</f>
        <v>7.09</v>
      </c>
    </row>
    <row r="393" spans="2:7">
      <c r="E393" t="s">
        <v>4</v>
      </c>
      <c r="G393" s="105">
        <f>TRUNC(SUM(G390:G392),2)</f>
        <v>26.32</v>
      </c>
    </row>
    <row r="394" spans="2:7" ht="30">
      <c r="B394" s="46" t="s">
        <v>563</v>
      </c>
      <c r="C394" s="1" t="s">
        <v>564</v>
      </c>
      <c r="D394" s="46" t="s">
        <v>6</v>
      </c>
      <c r="E394">
        <v>1</v>
      </c>
      <c r="F394">
        <f>TRUNC(8.016917,2)</f>
        <v>8.01</v>
      </c>
      <c r="G394" s="105">
        <f>TRUNC(E394*F394,2)</f>
        <v>8.01</v>
      </c>
    </row>
    <row r="395" spans="2:7" ht="30">
      <c r="B395" s="46" t="s">
        <v>297</v>
      </c>
      <c r="C395" s="1" t="s">
        <v>565</v>
      </c>
      <c r="D395" s="46" t="s">
        <v>2</v>
      </c>
      <c r="E395">
        <v>0.04</v>
      </c>
      <c r="F395">
        <f>TRUNC(19.61,2)</f>
        <v>19.61</v>
      </c>
      <c r="G395" s="105">
        <f>TRUNC(E395*F395,2)</f>
        <v>0.78</v>
      </c>
    </row>
    <row r="396" spans="2:7">
      <c r="B396" s="46" t="s">
        <v>566</v>
      </c>
      <c r="C396" s="1" t="s">
        <v>567</v>
      </c>
      <c r="D396" s="46" t="s">
        <v>3</v>
      </c>
      <c r="E396">
        <v>0.18540000000000001</v>
      </c>
      <c r="F396">
        <f>TRUNC(21.33,2)</f>
        <v>21.33</v>
      </c>
      <c r="G396" s="105">
        <f>TRUNC(E396*F396,2)</f>
        <v>3.95</v>
      </c>
    </row>
    <row r="397" spans="2:7">
      <c r="B397" s="46" t="s">
        <v>568</v>
      </c>
      <c r="C397" s="1" t="s">
        <v>569</v>
      </c>
      <c r="D397" s="46" t="s">
        <v>3</v>
      </c>
      <c r="E397">
        <v>0.1545</v>
      </c>
      <c r="F397">
        <f>TRUNC(15.11,2)</f>
        <v>15.11</v>
      </c>
      <c r="G397" s="105">
        <f>TRUNC(E397*F397,2)</f>
        <v>2.33</v>
      </c>
    </row>
    <row r="398" spans="2:7">
      <c r="B398" s="46" t="s">
        <v>570</v>
      </c>
      <c r="C398" s="1" t="s">
        <v>571</v>
      </c>
      <c r="D398" s="46" t="s">
        <v>3</v>
      </c>
      <c r="E398">
        <v>0.05</v>
      </c>
      <c r="F398">
        <f>TRUNC(18.8688,2)</f>
        <v>18.86</v>
      </c>
      <c r="G398" s="105">
        <f>TRUNC(E398*F398,2)</f>
        <v>0.94</v>
      </c>
    </row>
    <row r="399" spans="2:7">
      <c r="E399" t="s">
        <v>4</v>
      </c>
      <c r="G399" s="105">
        <f>TRUNC(SUM(G395:G398),2)</f>
        <v>8</v>
      </c>
    </row>
    <row r="418" spans="2:6">
      <c r="B418" s="46" t="s">
        <v>556</v>
      </c>
      <c r="C418" s="1" t="s">
        <v>557</v>
      </c>
      <c r="D418" s="46" t="s">
        <v>1</v>
      </c>
      <c r="F418">
        <v>14.59</v>
      </c>
    </row>
  </sheetData>
  <mergeCells count="13">
    <mergeCell ref="D3:G3"/>
    <mergeCell ref="D4:G4"/>
    <mergeCell ref="D5:G5"/>
    <mergeCell ref="D6:G6"/>
    <mergeCell ref="D7:G7"/>
    <mergeCell ref="D8:G8"/>
    <mergeCell ref="A9:G9"/>
    <mergeCell ref="A10:A11"/>
    <mergeCell ref="B10:B11"/>
    <mergeCell ref="C10:C11"/>
    <mergeCell ref="D10:D11"/>
    <mergeCell ref="E10:E11"/>
    <mergeCell ref="F10:G10"/>
  </mergeCells>
  <pageMargins left="0.51181102362204722" right="0.51181102362204722" top="0.78740157480314965" bottom="0.78740157480314965" header="0.31496062992125984" footer="0.31496062992125984"/>
  <pageSetup paperSize="9" scale="46" orientation="portrait" horizontalDpi="4294967293" r:id="rId1"/>
  <headerFooter>
    <oddFooter>&amp;C&amp;A&amp;RPágina &amp;P de &amp;N</oddFooter>
  </headerFooter>
  <drawing r:id="rId2"/>
</worksheet>
</file>

<file path=xl/worksheets/sheet2.xml><?xml version="1.0" encoding="utf-8"?>
<worksheet xmlns="http://schemas.openxmlformats.org/spreadsheetml/2006/main" xmlns:r="http://schemas.openxmlformats.org/officeDocument/2006/relationships">
  <dimension ref="A1:CS79"/>
  <sheetViews>
    <sheetView view="pageBreakPreview" topLeftCell="A54" zoomScale="80" zoomScaleNormal="100" zoomScaleSheetLayoutView="80" workbookViewId="0">
      <selection activeCell="C58" sqref="C58"/>
    </sheetView>
  </sheetViews>
  <sheetFormatPr defaultRowHeight="15"/>
  <cols>
    <col min="1" max="1" width="9.140625" style="46" customWidth="1"/>
    <col min="2" max="2" width="23.7109375" style="46" customWidth="1"/>
    <col min="3" max="3" width="104" style="1" customWidth="1"/>
    <col min="4" max="4" width="11.140625" style="46" customWidth="1"/>
    <col min="5" max="5" width="11.7109375" customWidth="1"/>
    <col min="6" max="6" width="17.5703125" bestFit="1" customWidth="1"/>
    <col min="7" max="7" width="21.42578125" style="105" bestFit="1" customWidth="1"/>
    <col min="8" max="97" width="9.140625" style="69" customWidth="1"/>
  </cols>
  <sheetData>
    <row r="1" spans="1:97" ht="15.75">
      <c r="A1" s="2"/>
      <c r="B1" s="85"/>
      <c r="C1" s="4" t="s">
        <v>8</v>
      </c>
      <c r="D1" s="89"/>
      <c r="E1" s="6"/>
      <c r="F1" s="7"/>
      <c r="G1" s="99"/>
    </row>
    <row r="2" spans="1:97" ht="15.75">
      <c r="A2" s="8"/>
      <c r="B2" s="86"/>
      <c r="C2" s="10" t="s">
        <v>9</v>
      </c>
      <c r="D2" s="90"/>
      <c r="E2" s="12"/>
      <c r="F2" s="13"/>
      <c r="G2" s="100"/>
    </row>
    <row r="3" spans="1:97" ht="15.75">
      <c r="A3" s="8"/>
      <c r="B3" s="86"/>
      <c r="C3" s="10" t="s">
        <v>10</v>
      </c>
      <c r="D3" s="198" t="s">
        <v>45</v>
      </c>
      <c r="E3" s="199"/>
      <c r="F3" s="199"/>
      <c r="G3" s="200"/>
    </row>
    <row r="4" spans="1:97" ht="15.75">
      <c r="A4" s="8"/>
      <c r="B4" s="86"/>
      <c r="C4" s="14" t="s">
        <v>43</v>
      </c>
      <c r="D4" s="201" t="s">
        <v>38</v>
      </c>
      <c r="E4" s="202"/>
      <c r="F4" s="202"/>
      <c r="G4" s="203"/>
    </row>
    <row r="5" spans="1:97" ht="15.75">
      <c r="A5" s="8"/>
      <c r="B5" s="86"/>
      <c r="C5" s="43" t="s">
        <v>44</v>
      </c>
      <c r="D5" s="204" t="s">
        <v>47</v>
      </c>
      <c r="E5" s="205"/>
      <c r="F5" s="205"/>
      <c r="G5" s="206"/>
    </row>
    <row r="6" spans="1:97" ht="15.75">
      <c r="A6" s="8"/>
      <c r="B6" s="86"/>
      <c r="C6" s="15" t="s">
        <v>41</v>
      </c>
      <c r="D6" s="207" t="s">
        <v>46</v>
      </c>
      <c r="E6" s="208"/>
      <c r="F6" s="208"/>
      <c r="G6" s="209"/>
    </row>
    <row r="7" spans="1:97" ht="15.75">
      <c r="A7" s="8"/>
      <c r="B7" s="86"/>
      <c r="C7" s="44"/>
      <c r="D7" s="207" t="s">
        <v>18</v>
      </c>
      <c r="E7" s="208"/>
      <c r="F7" s="208"/>
      <c r="G7" s="209"/>
    </row>
    <row r="8" spans="1:97" ht="15.75">
      <c r="A8" s="16"/>
      <c r="B8" s="17"/>
      <c r="C8" s="18"/>
      <c r="D8" s="210" t="s">
        <v>35</v>
      </c>
      <c r="E8" s="211"/>
      <c r="F8" s="211"/>
      <c r="G8" s="212"/>
    </row>
    <row r="9" spans="1:97">
      <c r="A9" s="189" t="s">
        <v>11</v>
      </c>
      <c r="B9" s="190"/>
      <c r="C9" s="190"/>
      <c r="D9" s="190"/>
      <c r="E9" s="190"/>
      <c r="F9" s="190"/>
      <c r="G9" s="190"/>
    </row>
    <row r="10" spans="1:97" ht="15.75">
      <c r="A10" s="191" t="s">
        <v>12</v>
      </c>
      <c r="B10" s="193" t="s">
        <v>13</v>
      </c>
      <c r="C10" s="195" t="s">
        <v>14</v>
      </c>
      <c r="D10" s="191" t="s">
        <v>6</v>
      </c>
      <c r="E10" s="196" t="s">
        <v>15</v>
      </c>
      <c r="F10" s="196" t="s">
        <v>16</v>
      </c>
      <c r="G10" s="196"/>
    </row>
    <row r="11" spans="1:97" ht="15.75">
      <c r="A11" s="192"/>
      <c r="B11" s="194"/>
      <c r="C11" s="193"/>
      <c r="D11" s="192"/>
      <c r="E11" s="197"/>
      <c r="F11" s="19" t="s">
        <v>17</v>
      </c>
      <c r="G11" s="101" t="s">
        <v>4</v>
      </c>
    </row>
    <row r="12" spans="1:97" s="41" customFormat="1" ht="15.75">
      <c r="A12" s="57" t="s">
        <v>5</v>
      </c>
      <c r="B12" s="165"/>
      <c r="C12" s="176" t="s">
        <v>48</v>
      </c>
      <c r="D12" s="170"/>
      <c r="E12" s="58"/>
      <c r="F12" s="58"/>
      <c r="G12" s="102"/>
      <c r="H12" s="70"/>
      <c r="I12" s="70"/>
      <c r="J12" s="70"/>
      <c r="K12" s="70"/>
      <c r="L12" s="70"/>
      <c r="M12" s="70"/>
      <c r="N12" s="70"/>
      <c r="O12" s="70"/>
      <c r="P12" s="70"/>
      <c r="Q12" s="70"/>
      <c r="R12" s="70"/>
      <c r="S12" s="70"/>
      <c r="T12" s="70"/>
      <c r="U12" s="70"/>
      <c r="V12" s="70"/>
      <c r="W12" s="70"/>
      <c r="X12" s="70"/>
      <c r="Y12" s="70"/>
      <c r="Z12" s="70"/>
      <c r="AA12" s="70"/>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c r="BQ12" s="70"/>
      <c r="BR12" s="70"/>
      <c r="BS12" s="70"/>
      <c r="BT12" s="70"/>
      <c r="BU12" s="70"/>
      <c r="BV12" s="70"/>
      <c r="BW12" s="70"/>
      <c r="BX12" s="70"/>
      <c r="BY12" s="70"/>
      <c r="BZ12" s="70"/>
      <c r="CA12" s="70"/>
      <c r="CB12" s="70"/>
      <c r="CC12" s="70"/>
      <c r="CD12" s="70"/>
      <c r="CE12" s="70"/>
      <c r="CF12" s="70"/>
      <c r="CG12" s="70"/>
      <c r="CH12" s="70"/>
      <c r="CI12" s="70"/>
      <c r="CJ12" s="70"/>
      <c r="CK12" s="70"/>
      <c r="CL12" s="70"/>
      <c r="CM12" s="70"/>
      <c r="CN12" s="70"/>
      <c r="CO12" s="70"/>
      <c r="CP12" s="70"/>
      <c r="CQ12" s="70"/>
      <c r="CR12" s="70"/>
      <c r="CS12" s="70"/>
    </row>
    <row r="13" spans="1:97" ht="30">
      <c r="A13" s="80" t="s">
        <v>50</v>
      </c>
      <c r="B13" s="166" t="s">
        <v>98</v>
      </c>
      <c r="C13" s="177" t="s">
        <v>333</v>
      </c>
      <c r="D13" s="171" t="s">
        <v>51</v>
      </c>
      <c r="E13" s="81">
        <f>'MEMÓRIA ONERADA'!E13</f>
        <v>6</v>
      </c>
      <c r="F13" s="81">
        <f>TRUNC('MEMÓRIA ONERADA'!F13,2)</f>
        <v>383.21</v>
      </c>
      <c r="G13" s="103">
        <f t="shared" ref="G13:G23" si="0">TRUNC(E13*F13,2)</f>
        <v>2299.2600000000002</v>
      </c>
      <c r="CS13"/>
    </row>
    <row r="14" spans="1:97">
      <c r="A14" s="80" t="s">
        <v>52</v>
      </c>
      <c r="B14" s="166" t="s">
        <v>99</v>
      </c>
      <c r="C14" s="177" t="s">
        <v>334</v>
      </c>
      <c r="D14" s="171" t="s">
        <v>51</v>
      </c>
      <c r="E14" s="81">
        <f>'MEMÓRIA ONERADA'!E25</f>
        <v>421</v>
      </c>
      <c r="F14" s="81">
        <f>TRUNC('MEMÓRIA ONERADA'!F25,2)</f>
        <v>1.3</v>
      </c>
      <c r="G14" s="103">
        <f t="shared" si="0"/>
        <v>547.29999999999995</v>
      </c>
      <c r="CS14"/>
    </row>
    <row r="15" spans="1:97">
      <c r="A15" s="80" t="s">
        <v>53</v>
      </c>
      <c r="B15" s="166" t="s">
        <v>222</v>
      </c>
      <c r="C15" s="177" t="s">
        <v>335</v>
      </c>
      <c r="D15" s="171" t="s">
        <v>51</v>
      </c>
      <c r="E15" s="81">
        <f>'MEMÓRIA ONERADA'!E30</f>
        <v>343</v>
      </c>
      <c r="F15" s="81">
        <f>TRUNC('MEMÓRIA ONERADA'!F30,2)</f>
        <v>3.31</v>
      </c>
      <c r="G15" s="103">
        <f t="shared" si="0"/>
        <v>1135.33</v>
      </c>
      <c r="CS15"/>
    </row>
    <row r="16" spans="1:97" ht="30">
      <c r="A16" s="93" t="s">
        <v>54</v>
      </c>
      <c r="B16" s="167" t="s">
        <v>101</v>
      </c>
      <c r="C16" s="177" t="s">
        <v>336</v>
      </c>
      <c r="D16" s="172" t="s">
        <v>1</v>
      </c>
      <c r="E16" s="92">
        <f>'MEMÓRIA ONERADA'!E35</f>
        <v>25.7</v>
      </c>
      <c r="F16" s="81">
        <f>TRUNC('MEMÓRIA ONERADA'!F35,2)</f>
        <v>5.88</v>
      </c>
      <c r="G16" s="103">
        <f t="shared" si="0"/>
        <v>151.11000000000001</v>
      </c>
      <c r="CS16"/>
    </row>
    <row r="17" spans="1:97" ht="30">
      <c r="A17" s="93" t="s">
        <v>55</v>
      </c>
      <c r="B17" s="167" t="s">
        <v>101</v>
      </c>
      <c r="C17" s="177" t="s">
        <v>337</v>
      </c>
      <c r="D17" s="172" t="s">
        <v>1</v>
      </c>
      <c r="E17" s="92">
        <f>'MEMÓRIA ONERADA'!E40</f>
        <v>18</v>
      </c>
      <c r="F17" s="81">
        <f>TRUNC('MEMÓRIA ONERADA'!F40,2)</f>
        <v>2.2799999999999998</v>
      </c>
      <c r="G17" s="103">
        <f t="shared" si="0"/>
        <v>41.04</v>
      </c>
      <c r="CS17"/>
    </row>
    <row r="18" spans="1:97" ht="30">
      <c r="A18" s="93" t="s">
        <v>56</v>
      </c>
      <c r="B18" s="167" t="s">
        <v>302</v>
      </c>
      <c r="C18" s="177" t="s">
        <v>338</v>
      </c>
      <c r="D18" s="172" t="s">
        <v>299</v>
      </c>
      <c r="E18" s="92">
        <v>2</v>
      </c>
      <c r="F18" s="81">
        <f>TRUNC('MEMÓRIA ONERADA'!F45,2)</f>
        <v>63.66</v>
      </c>
      <c r="G18" s="103">
        <f t="shared" si="0"/>
        <v>127.32</v>
      </c>
      <c r="CS18"/>
    </row>
    <row r="19" spans="1:97">
      <c r="A19" s="93" t="s">
        <v>57</v>
      </c>
      <c r="B19" s="167" t="s">
        <v>103</v>
      </c>
      <c r="C19" s="177" t="s">
        <v>339</v>
      </c>
      <c r="D19" s="172" t="s">
        <v>6</v>
      </c>
      <c r="E19" s="92">
        <f>'MEMÓRIA ONERADA'!E58</f>
        <v>4</v>
      </c>
      <c r="F19" s="81">
        <f>TRUNC('MEMÓRIA ONERADA'!F58,2)</f>
        <v>6.6</v>
      </c>
      <c r="G19" s="103">
        <f t="shared" si="0"/>
        <v>26.4</v>
      </c>
      <c r="CS19"/>
    </row>
    <row r="20" spans="1:97" ht="30">
      <c r="A20" s="93" t="s">
        <v>58</v>
      </c>
      <c r="B20" s="167" t="s">
        <v>223</v>
      </c>
      <c r="C20" s="177" t="s">
        <v>340</v>
      </c>
      <c r="D20" s="172" t="s">
        <v>51</v>
      </c>
      <c r="E20" s="92">
        <f>'MEMÓRIA ONERADA'!E63</f>
        <v>466.4</v>
      </c>
      <c r="F20" s="81">
        <f>TRUNC('MEMÓRIA ONERADA'!F63,2)</f>
        <v>3.31</v>
      </c>
      <c r="G20" s="103">
        <f t="shared" si="0"/>
        <v>1543.78</v>
      </c>
      <c r="CS20"/>
    </row>
    <row r="21" spans="1:97" ht="30">
      <c r="A21" s="93" t="s">
        <v>59</v>
      </c>
      <c r="B21" s="167" t="s">
        <v>105</v>
      </c>
      <c r="C21" s="177" t="s">
        <v>341</v>
      </c>
      <c r="D21" s="172" t="s">
        <v>0</v>
      </c>
      <c r="E21" s="92">
        <f>'MEMÓRIA ONERADA'!E67</f>
        <v>5.25</v>
      </c>
      <c r="F21" s="81">
        <f>TRUNC('MEMÓRIA ONERADA'!F67,2)</f>
        <v>145.65</v>
      </c>
      <c r="G21" s="103">
        <f t="shared" si="0"/>
        <v>764.66</v>
      </c>
      <c r="CS21"/>
    </row>
    <row r="22" spans="1:97" ht="30">
      <c r="A22" s="93" t="s">
        <v>280</v>
      </c>
      <c r="B22" s="167" t="s">
        <v>106</v>
      </c>
      <c r="C22" s="177" t="s">
        <v>342</v>
      </c>
      <c r="D22" s="172" t="s">
        <v>1</v>
      </c>
      <c r="E22" s="92">
        <f>'MEMÓRIA ONERADA'!E73</f>
        <v>15</v>
      </c>
      <c r="F22" s="81">
        <f>TRUNC('MEMÓRIA ONERADA'!F73,2)</f>
        <v>18.75</v>
      </c>
      <c r="G22" s="103">
        <f t="shared" si="0"/>
        <v>281.25</v>
      </c>
      <c r="CS22"/>
    </row>
    <row r="23" spans="1:97">
      <c r="A23" s="93" t="s">
        <v>281</v>
      </c>
      <c r="B23" s="167" t="s">
        <v>107</v>
      </c>
      <c r="C23" s="177" t="s">
        <v>343</v>
      </c>
      <c r="D23" s="172" t="s">
        <v>51</v>
      </c>
      <c r="E23" s="92">
        <f>'MEMÓRIA ONERADA'!E78</f>
        <v>10</v>
      </c>
      <c r="F23" s="81">
        <f>TRUNC('MEMÓRIA ONERADA'!F78,2)</f>
        <v>8.52</v>
      </c>
      <c r="G23" s="103">
        <f t="shared" si="0"/>
        <v>85.2</v>
      </c>
      <c r="CS23"/>
    </row>
    <row r="24" spans="1:97" s="41" customFormat="1">
      <c r="A24" s="95" t="s">
        <v>33</v>
      </c>
      <c r="B24" s="168"/>
      <c r="C24" s="178"/>
      <c r="D24" s="173"/>
      <c r="E24" s="98"/>
      <c r="F24" s="98" t="s">
        <v>213</v>
      </c>
      <c r="G24" s="82">
        <f>G13+G14+G15+G16+G17+G18+G19+G20+G21+G22+G23</f>
        <v>7002.6499999999987</v>
      </c>
      <c r="H24" s="70"/>
      <c r="I24" s="70"/>
      <c r="J24" s="70"/>
      <c r="K24" s="70"/>
      <c r="L24" s="70"/>
      <c r="M24" s="70"/>
      <c r="N24" s="70"/>
      <c r="O24" s="70"/>
      <c r="P24" s="70"/>
      <c r="Q24" s="70"/>
      <c r="R24" s="70"/>
      <c r="S24" s="70"/>
      <c r="T24" s="70"/>
      <c r="U24" s="70"/>
      <c r="V24" s="70"/>
      <c r="W24" s="70"/>
      <c r="X24" s="70"/>
      <c r="Y24" s="70"/>
      <c r="Z24" s="70"/>
      <c r="AA24" s="70"/>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c r="BQ24" s="70"/>
      <c r="BR24" s="70"/>
      <c r="BS24" s="70"/>
      <c r="BT24" s="70"/>
      <c r="BU24" s="70"/>
      <c r="BV24" s="70"/>
      <c r="BW24" s="70"/>
      <c r="BX24" s="70"/>
      <c r="BY24" s="70"/>
      <c r="BZ24" s="70"/>
      <c r="CA24" s="70"/>
      <c r="CB24" s="70"/>
      <c r="CC24" s="70"/>
      <c r="CD24" s="70"/>
      <c r="CE24" s="70"/>
      <c r="CF24" s="70"/>
      <c r="CG24" s="70"/>
      <c r="CH24" s="70"/>
      <c r="CI24" s="70"/>
      <c r="CJ24" s="70"/>
      <c r="CK24" s="70"/>
      <c r="CL24" s="70"/>
      <c r="CM24" s="70"/>
      <c r="CN24" s="70"/>
      <c r="CO24" s="70"/>
      <c r="CP24" s="70"/>
      <c r="CQ24" s="70"/>
      <c r="CR24" s="70"/>
    </row>
    <row r="25" spans="1:97" s="41" customFormat="1">
      <c r="A25" s="95" t="s">
        <v>62</v>
      </c>
      <c r="B25" s="168"/>
      <c r="C25" s="178" t="s">
        <v>63</v>
      </c>
      <c r="D25" s="173" t="s">
        <v>49</v>
      </c>
      <c r="E25" s="98"/>
      <c r="F25" s="98"/>
      <c r="G25" s="82"/>
      <c r="H25" s="70"/>
      <c r="I25" s="70"/>
      <c r="J25" s="70"/>
      <c r="K25" s="70"/>
      <c r="L25" s="70"/>
      <c r="M25" s="70"/>
      <c r="N25" s="70"/>
      <c r="O25" s="70"/>
      <c r="P25" s="70"/>
      <c r="Q25" s="70"/>
      <c r="R25" s="70"/>
      <c r="S25" s="70"/>
      <c r="T25" s="70"/>
      <c r="U25" s="70"/>
      <c r="V25" s="70"/>
      <c r="W25" s="70"/>
      <c r="X25" s="70"/>
      <c r="Y25" s="70"/>
      <c r="Z25" s="70"/>
      <c r="AA25" s="70"/>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c r="BQ25" s="70"/>
      <c r="BR25" s="70"/>
      <c r="BS25" s="70"/>
      <c r="BT25" s="70"/>
      <c r="BU25" s="70"/>
      <c r="BV25" s="70"/>
      <c r="BW25" s="70"/>
      <c r="BX25" s="70"/>
      <c r="BY25" s="70"/>
      <c r="BZ25" s="70"/>
      <c r="CA25" s="70"/>
      <c r="CB25" s="70"/>
      <c r="CC25" s="70"/>
      <c r="CD25" s="70"/>
      <c r="CE25" s="70"/>
      <c r="CF25" s="70"/>
      <c r="CG25" s="70"/>
      <c r="CH25" s="70"/>
      <c r="CI25" s="70"/>
      <c r="CJ25" s="70"/>
      <c r="CK25" s="70"/>
      <c r="CL25" s="70"/>
      <c r="CM25" s="70"/>
      <c r="CN25" s="70"/>
      <c r="CO25" s="70"/>
      <c r="CP25" s="70"/>
      <c r="CQ25" s="70"/>
      <c r="CR25" s="70"/>
    </row>
    <row r="26" spans="1:97" ht="30">
      <c r="A26" s="93" t="s">
        <v>64</v>
      </c>
      <c r="B26" s="167" t="s">
        <v>108</v>
      </c>
      <c r="C26" s="177" t="s">
        <v>550</v>
      </c>
      <c r="D26" s="172" t="s">
        <v>0</v>
      </c>
      <c r="E26" s="92">
        <f>'MEMÓRIA ONERADA'!E84</f>
        <v>0.95</v>
      </c>
      <c r="F26" s="81">
        <f>TRUNC('MEMÓRIA ONERADA'!F84,2)</f>
        <v>2051.54</v>
      </c>
      <c r="G26" s="103">
        <f>TRUNC(E26*F26,2)</f>
        <v>1948.96</v>
      </c>
      <c r="CS26"/>
    </row>
    <row r="27" spans="1:97" s="141" customFormat="1" ht="30">
      <c r="A27" s="136" t="s">
        <v>65</v>
      </c>
      <c r="B27" s="169" t="s">
        <v>208</v>
      </c>
      <c r="C27" s="179" t="s">
        <v>553</v>
      </c>
      <c r="D27" s="174" t="s">
        <v>1</v>
      </c>
      <c r="E27" s="138">
        <f>'MEMÓRIA ONERADA'!E114</f>
        <v>4</v>
      </c>
      <c r="F27" s="138">
        <f>TRUNC('MEMÓRIA ONERADA'!F114,2)</f>
        <v>151.94999999999999</v>
      </c>
      <c r="G27" s="139">
        <f>TRUNC(E27*F27,2)</f>
        <v>607.79999999999995</v>
      </c>
      <c r="H27" s="140"/>
      <c r="I27" s="140"/>
      <c r="J27" s="140"/>
      <c r="K27" s="140"/>
      <c r="L27" s="140"/>
      <c r="M27" s="140"/>
      <c r="N27" s="140"/>
      <c r="O27" s="140"/>
      <c r="P27" s="140"/>
      <c r="Q27" s="140"/>
      <c r="R27" s="140"/>
      <c r="S27" s="140"/>
      <c r="T27" s="140"/>
      <c r="U27" s="140"/>
      <c r="V27" s="140"/>
      <c r="W27" s="140"/>
      <c r="X27" s="140"/>
      <c r="Y27" s="140"/>
      <c r="Z27" s="140"/>
      <c r="AA27" s="140"/>
      <c r="AB27" s="140"/>
      <c r="AC27" s="140"/>
      <c r="AD27" s="140"/>
      <c r="AE27" s="140"/>
      <c r="AF27" s="140"/>
      <c r="AG27" s="140"/>
      <c r="AH27" s="140"/>
      <c r="AI27" s="140"/>
      <c r="AJ27" s="140"/>
      <c r="AK27" s="140"/>
      <c r="AL27" s="140"/>
      <c r="AM27" s="140"/>
      <c r="AN27" s="140"/>
      <c r="AO27" s="140"/>
      <c r="AP27" s="140"/>
      <c r="AQ27" s="140"/>
      <c r="AR27" s="140"/>
      <c r="AS27" s="140"/>
      <c r="AT27" s="140"/>
      <c r="AU27" s="140"/>
      <c r="AV27" s="140"/>
      <c r="AW27" s="140"/>
      <c r="AX27" s="140"/>
      <c r="AY27" s="140"/>
      <c r="AZ27" s="140"/>
      <c r="BA27" s="140"/>
      <c r="BB27" s="140"/>
      <c r="BC27" s="140"/>
      <c r="BD27" s="140"/>
      <c r="BE27" s="140"/>
      <c r="BF27" s="140"/>
      <c r="BG27" s="140"/>
      <c r="BH27" s="140"/>
      <c r="BI27" s="140"/>
      <c r="BJ27" s="140"/>
      <c r="BK27" s="140"/>
      <c r="BL27" s="140"/>
      <c r="BM27" s="140"/>
      <c r="BN27" s="140"/>
      <c r="BO27" s="140"/>
      <c r="BP27" s="140"/>
      <c r="BQ27" s="140"/>
      <c r="BR27" s="140"/>
      <c r="BS27" s="140"/>
      <c r="BT27" s="140"/>
      <c r="BU27" s="140"/>
      <c r="BV27" s="140"/>
      <c r="BW27" s="140"/>
      <c r="BX27" s="140"/>
      <c r="BY27" s="140"/>
      <c r="BZ27" s="140"/>
      <c r="CA27" s="140"/>
      <c r="CB27" s="140"/>
      <c r="CC27" s="140"/>
      <c r="CD27" s="140"/>
      <c r="CE27" s="140"/>
      <c r="CF27" s="140"/>
      <c r="CG27" s="140"/>
      <c r="CH27" s="140"/>
      <c r="CI27" s="140"/>
      <c r="CJ27" s="140"/>
      <c r="CK27" s="140"/>
      <c r="CL27" s="140"/>
      <c r="CM27" s="140"/>
      <c r="CN27" s="140"/>
      <c r="CO27" s="140"/>
      <c r="CP27" s="140"/>
      <c r="CQ27" s="140"/>
      <c r="CR27" s="140"/>
    </row>
    <row r="28" spans="1:97" s="41" customFormat="1">
      <c r="A28" s="95" t="s">
        <v>33</v>
      </c>
      <c r="B28" s="168"/>
      <c r="C28" s="178"/>
      <c r="D28" s="173"/>
      <c r="E28" s="98"/>
      <c r="F28" s="98" t="s">
        <v>214</v>
      </c>
      <c r="G28" s="82">
        <f>G26+G27</f>
        <v>2556.7600000000002</v>
      </c>
      <c r="H28" s="70"/>
      <c r="I28" s="70"/>
      <c r="J28" s="70"/>
      <c r="K28" s="70"/>
      <c r="L28" s="70"/>
      <c r="M28" s="70"/>
      <c r="N28" s="70"/>
      <c r="O28" s="70"/>
      <c r="P28" s="70"/>
      <c r="Q28" s="70"/>
      <c r="R28" s="70"/>
      <c r="S28" s="70"/>
      <c r="T28" s="70"/>
      <c r="U28" s="70"/>
      <c r="V28" s="70"/>
      <c r="W28" s="70"/>
      <c r="X28" s="70"/>
      <c r="Y28" s="70"/>
      <c r="Z28" s="70"/>
      <c r="AA28" s="70"/>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c r="BQ28" s="70"/>
      <c r="BR28" s="70"/>
      <c r="BS28" s="70"/>
      <c r="BT28" s="70"/>
      <c r="BU28" s="70"/>
      <c r="BV28" s="70"/>
      <c r="BW28" s="70"/>
      <c r="BX28" s="70"/>
      <c r="BY28" s="70"/>
      <c r="BZ28" s="70"/>
      <c r="CA28" s="70"/>
      <c r="CB28" s="70"/>
      <c r="CC28" s="70"/>
      <c r="CD28" s="70"/>
      <c r="CE28" s="70"/>
      <c r="CF28" s="70"/>
      <c r="CG28" s="70"/>
      <c r="CH28" s="70"/>
      <c r="CI28" s="70"/>
      <c r="CJ28" s="70"/>
      <c r="CK28" s="70"/>
      <c r="CL28" s="70"/>
      <c r="CM28" s="70"/>
      <c r="CN28" s="70"/>
      <c r="CO28" s="70"/>
      <c r="CP28" s="70"/>
      <c r="CQ28" s="70"/>
      <c r="CR28" s="70"/>
    </row>
    <row r="29" spans="1:97" s="41" customFormat="1">
      <c r="A29" s="95" t="s">
        <v>66</v>
      </c>
      <c r="B29" s="168"/>
      <c r="C29" s="178" t="s">
        <v>67</v>
      </c>
      <c r="D29" s="173" t="s">
        <v>49</v>
      </c>
      <c r="E29" s="98"/>
      <c r="F29" s="98"/>
      <c r="G29" s="82"/>
      <c r="H29" s="70"/>
      <c r="I29" s="70"/>
      <c r="J29" s="70"/>
      <c r="K29" s="70"/>
      <c r="L29" s="70"/>
      <c r="M29" s="70"/>
      <c r="N29" s="70"/>
      <c r="O29" s="70"/>
      <c r="P29" s="70"/>
      <c r="Q29" s="70"/>
      <c r="R29" s="70"/>
      <c r="S29" s="70"/>
      <c r="T29" s="70"/>
      <c r="U29" s="70"/>
      <c r="V29" s="70"/>
      <c r="W29" s="70"/>
      <c r="X29" s="70"/>
      <c r="Y29" s="70"/>
      <c r="Z29" s="70"/>
      <c r="AA29" s="70"/>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c r="BQ29" s="70"/>
      <c r="BR29" s="70"/>
      <c r="BS29" s="70"/>
      <c r="BT29" s="70"/>
      <c r="BU29" s="70"/>
      <c r="BV29" s="70"/>
      <c r="BW29" s="70"/>
      <c r="BX29" s="70"/>
      <c r="BY29" s="70"/>
      <c r="BZ29" s="70"/>
      <c r="CA29" s="70"/>
      <c r="CB29" s="70"/>
      <c r="CC29" s="70"/>
      <c r="CD29" s="70"/>
      <c r="CE29" s="70"/>
      <c r="CF29" s="70"/>
      <c r="CG29" s="70"/>
      <c r="CH29" s="70"/>
      <c r="CI29" s="70"/>
      <c r="CJ29" s="70"/>
      <c r="CK29" s="70"/>
      <c r="CL29" s="70"/>
      <c r="CM29" s="70"/>
      <c r="CN29" s="70"/>
      <c r="CO29" s="70"/>
      <c r="CP29" s="70"/>
      <c r="CQ29" s="70"/>
      <c r="CR29" s="70"/>
    </row>
    <row r="30" spans="1:97" ht="45.75" customHeight="1">
      <c r="A30" s="93" t="s">
        <v>68</v>
      </c>
      <c r="B30" s="167" t="s">
        <v>541</v>
      </c>
      <c r="C30" s="177" t="s">
        <v>549</v>
      </c>
      <c r="D30" s="172" t="s">
        <v>51</v>
      </c>
      <c r="E30" s="92">
        <f>'MEMÓRIA ONERADA'!E124</f>
        <v>9.6999999999999993</v>
      </c>
      <c r="F30" s="81">
        <f>TRUNC('MEMÓRIA ONERADA'!F124,2)</f>
        <v>99.72</v>
      </c>
      <c r="G30" s="103">
        <f>TRUNC(E30*F30,2)</f>
        <v>967.28</v>
      </c>
      <c r="CS30"/>
    </row>
    <row r="31" spans="1:97" ht="30">
      <c r="A31" s="93" t="s">
        <v>69</v>
      </c>
      <c r="B31" s="167" t="s">
        <v>109</v>
      </c>
      <c r="C31" s="177" t="s">
        <v>347</v>
      </c>
      <c r="D31" s="172" t="s">
        <v>51</v>
      </c>
      <c r="E31" s="92">
        <f>'MEMÓRIA ONERADA'!E133</f>
        <v>23.35</v>
      </c>
      <c r="F31" s="81">
        <f>TRUNC('MEMÓRIA ONERADA'!F133,2)</f>
        <v>39.619999999999997</v>
      </c>
      <c r="G31" s="103">
        <f>TRUNC(E31*F31,2)</f>
        <v>925.12</v>
      </c>
      <c r="CS31"/>
    </row>
    <row r="32" spans="1:97" s="41" customFormat="1">
      <c r="A32" s="95" t="s">
        <v>33</v>
      </c>
      <c r="B32" s="168"/>
      <c r="C32" s="178"/>
      <c r="D32" s="173"/>
      <c r="E32" s="98"/>
      <c r="F32" s="98" t="s">
        <v>215</v>
      </c>
      <c r="G32" s="82">
        <f>G30+G31</f>
        <v>1892.4</v>
      </c>
      <c r="H32" s="70"/>
      <c r="I32" s="70"/>
      <c r="J32" s="70"/>
      <c r="K32" s="70"/>
      <c r="L32" s="70"/>
      <c r="M32" s="70"/>
      <c r="N32" s="70"/>
      <c r="O32" s="70"/>
      <c r="P32" s="70"/>
      <c r="Q32" s="70"/>
      <c r="R32" s="70"/>
      <c r="S32" s="70"/>
      <c r="T32" s="70"/>
      <c r="U32" s="70"/>
      <c r="V32" s="70"/>
      <c r="W32" s="70"/>
      <c r="X32" s="70"/>
      <c r="Y32" s="70"/>
      <c r="Z32" s="70"/>
      <c r="AA32" s="70"/>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c r="BQ32" s="70"/>
      <c r="BR32" s="70"/>
      <c r="BS32" s="70"/>
      <c r="BT32" s="70"/>
      <c r="BU32" s="70"/>
      <c r="BV32" s="70"/>
      <c r="BW32" s="70"/>
      <c r="BX32" s="70"/>
      <c r="BY32" s="70"/>
      <c r="BZ32" s="70"/>
      <c r="CA32" s="70"/>
      <c r="CB32" s="70"/>
      <c r="CC32" s="70"/>
      <c r="CD32" s="70"/>
      <c r="CE32" s="70"/>
      <c r="CF32" s="70"/>
      <c r="CG32" s="70"/>
      <c r="CH32" s="70"/>
      <c r="CI32" s="70"/>
      <c r="CJ32" s="70"/>
      <c r="CK32" s="70"/>
      <c r="CL32" s="70"/>
      <c r="CM32" s="70"/>
      <c r="CN32" s="70"/>
      <c r="CO32" s="70"/>
      <c r="CP32" s="70"/>
      <c r="CQ32" s="70"/>
      <c r="CR32" s="70"/>
    </row>
    <row r="33" spans="1:97" s="41" customFormat="1">
      <c r="A33" s="95" t="s">
        <v>70</v>
      </c>
      <c r="B33" s="168"/>
      <c r="C33" s="178" t="s">
        <v>377</v>
      </c>
      <c r="D33" s="173" t="s">
        <v>49</v>
      </c>
      <c r="E33" s="98"/>
      <c r="F33" s="98"/>
      <c r="G33" s="82"/>
      <c r="H33" s="70"/>
      <c r="I33" s="70"/>
      <c r="J33" s="70"/>
      <c r="K33" s="70"/>
      <c r="L33" s="70"/>
      <c r="M33" s="70"/>
      <c r="N33" s="70"/>
      <c r="O33" s="70"/>
      <c r="P33" s="70"/>
      <c r="Q33" s="70"/>
      <c r="R33" s="70"/>
      <c r="S33" s="70"/>
      <c r="T33" s="70"/>
      <c r="U33" s="70"/>
      <c r="V33" s="70"/>
      <c r="W33" s="70"/>
      <c r="X33" s="70"/>
      <c r="Y33" s="70"/>
      <c r="Z33" s="70"/>
      <c r="AA33" s="70"/>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c r="BQ33" s="70"/>
      <c r="BR33" s="70"/>
      <c r="BS33" s="70"/>
      <c r="BT33" s="70"/>
      <c r="BU33" s="70"/>
      <c r="BV33" s="70"/>
      <c r="BW33" s="70"/>
      <c r="BX33" s="70"/>
      <c r="BY33" s="70"/>
      <c r="BZ33" s="70"/>
      <c r="CA33" s="70"/>
      <c r="CB33" s="70"/>
      <c r="CC33" s="70"/>
      <c r="CD33" s="70"/>
      <c r="CE33" s="70"/>
      <c r="CF33" s="70"/>
      <c r="CG33" s="70"/>
      <c r="CH33" s="70"/>
      <c r="CI33" s="70"/>
      <c r="CJ33" s="70"/>
      <c r="CK33" s="70"/>
      <c r="CL33" s="70"/>
      <c r="CM33" s="70"/>
      <c r="CN33" s="70"/>
      <c r="CO33" s="70"/>
      <c r="CP33" s="70"/>
      <c r="CQ33" s="70"/>
      <c r="CR33" s="70"/>
    </row>
    <row r="34" spans="1:97" ht="45">
      <c r="A34" s="93" t="s">
        <v>71</v>
      </c>
      <c r="B34" s="167" t="s">
        <v>234</v>
      </c>
      <c r="C34" s="177" t="s">
        <v>349</v>
      </c>
      <c r="D34" s="172" t="s">
        <v>235</v>
      </c>
      <c r="E34" s="92">
        <f>'MEMÓRIA ONERADA'!E142</f>
        <v>126.3</v>
      </c>
      <c r="F34" s="81">
        <f>TRUNC('MEMÓRIA ONERADA'!F142,2)</f>
        <v>100.04</v>
      </c>
      <c r="G34" s="103">
        <f t="shared" ref="G34:G39" si="1">TRUNC(E34*F34,2)</f>
        <v>12635.05</v>
      </c>
      <c r="CS34"/>
    </row>
    <row r="35" spans="1:97" ht="75">
      <c r="A35" s="93" t="s">
        <v>224</v>
      </c>
      <c r="B35" s="167" t="s">
        <v>282</v>
      </c>
      <c r="C35" s="177" t="s">
        <v>350</v>
      </c>
      <c r="D35" s="172" t="s">
        <v>51</v>
      </c>
      <c r="E35" s="92">
        <f>'MEMÓRIA ONERADA'!E154</f>
        <v>421</v>
      </c>
      <c r="F35" s="81">
        <f>TRUNC('MEMÓRIA ONERADA'!F154,2)</f>
        <v>138.80000000000001</v>
      </c>
      <c r="G35" s="103">
        <f t="shared" si="1"/>
        <v>58434.8</v>
      </c>
      <c r="CS35"/>
    </row>
    <row r="36" spans="1:97" ht="30">
      <c r="A36" s="93" t="s">
        <v>225</v>
      </c>
      <c r="B36" s="167" t="s">
        <v>309</v>
      </c>
      <c r="C36" s="177" t="s">
        <v>351</v>
      </c>
      <c r="D36" s="172" t="s">
        <v>51</v>
      </c>
      <c r="E36" s="92">
        <f>'MEMÓRIA ONERADA'!E159</f>
        <v>65.400000000000006</v>
      </c>
      <c r="F36" s="81">
        <f>TRUNC('MEMÓRIA ONERADA'!F159,2)</f>
        <v>69.48</v>
      </c>
      <c r="G36" s="103">
        <f t="shared" si="1"/>
        <v>4543.99</v>
      </c>
      <c r="CS36"/>
    </row>
    <row r="37" spans="1:97" ht="30">
      <c r="A37" s="93" t="s">
        <v>72</v>
      </c>
      <c r="B37" s="167" t="s">
        <v>179</v>
      </c>
      <c r="C37" s="177" t="s">
        <v>352</v>
      </c>
      <c r="D37" s="172" t="s">
        <v>51</v>
      </c>
      <c r="E37" s="92">
        <f>'MEMÓRIA ONERADA'!E171</f>
        <v>6</v>
      </c>
      <c r="F37" s="81">
        <f>TRUNC('MEMÓRIA ONERADA'!F171,2)</f>
        <v>130.97</v>
      </c>
      <c r="G37" s="103">
        <f t="shared" si="1"/>
        <v>785.82</v>
      </c>
      <c r="CS37"/>
    </row>
    <row r="38" spans="1:97" ht="30">
      <c r="A38" s="93" t="s">
        <v>307</v>
      </c>
      <c r="B38" s="167" t="s">
        <v>110</v>
      </c>
      <c r="C38" s="177" t="s">
        <v>353</v>
      </c>
      <c r="D38" s="172" t="s">
        <v>51</v>
      </c>
      <c r="E38" s="92">
        <f>'MEMÓRIA ONERADA'!E182</f>
        <v>6.5</v>
      </c>
      <c r="F38" s="81">
        <f>TRUNC('MEMÓRIA ONERADA'!F182,2)</f>
        <v>130.97</v>
      </c>
      <c r="G38" s="103">
        <f t="shared" si="1"/>
        <v>851.3</v>
      </c>
      <c r="CS38"/>
    </row>
    <row r="39" spans="1:97" ht="45">
      <c r="A39" s="93" t="s">
        <v>308</v>
      </c>
      <c r="B39" s="167" t="s">
        <v>111</v>
      </c>
      <c r="C39" s="177" t="s">
        <v>354</v>
      </c>
      <c r="D39" s="172" t="s">
        <v>1</v>
      </c>
      <c r="E39" s="92">
        <f>'MEMÓRIA ONERADA'!E193</f>
        <v>15</v>
      </c>
      <c r="F39" s="81">
        <f>TRUNC('MEMÓRIA ONERADA'!F193,2)</f>
        <v>63.14</v>
      </c>
      <c r="G39" s="103">
        <f t="shared" si="1"/>
        <v>947.1</v>
      </c>
      <c r="CS39"/>
    </row>
    <row r="40" spans="1:97" s="41" customFormat="1">
      <c r="A40" s="95" t="s">
        <v>33</v>
      </c>
      <c r="B40" s="168"/>
      <c r="C40" s="178"/>
      <c r="D40" s="173"/>
      <c r="E40" s="98"/>
      <c r="F40" s="98" t="s">
        <v>216</v>
      </c>
      <c r="G40" s="82">
        <f>G34+G35+G36+G37+G38+G39</f>
        <v>78198.060000000027</v>
      </c>
      <c r="H40" s="70"/>
      <c r="I40" s="70"/>
      <c r="J40" s="70"/>
      <c r="K40" s="70"/>
      <c r="L40" s="70"/>
      <c r="M40" s="70"/>
      <c r="N40" s="70"/>
      <c r="O40" s="70"/>
      <c r="P40" s="70"/>
      <c r="Q40" s="70"/>
      <c r="R40" s="70"/>
      <c r="S40" s="70"/>
      <c r="T40" s="70"/>
      <c r="U40" s="70"/>
      <c r="V40" s="70"/>
      <c r="W40" s="70"/>
      <c r="X40" s="70"/>
      <c r="Y40" s="70"/>
      <c r="Z40" s="70"/>
      <c r="AA40" s="70"/>
      <c r="AB40" s="70"/>
      <c r="AC40" s="70"/>
      <c r="AD40" s="70"/>
      <c r="AE40" s="70"/>
      <c r="AF40" s="70"/>
      <c r="AG40" s="70"/>
      <c r="AH40" s="70"/>
      <c r="AI40" s="70"/>
      <c r="AJ40" s="70"/>
      <c r="AK40" s="70"/>
      <c r="AL40" s="70"/>
      <c r="AM40" s="70"/>
      <c r="AN40" s="70"/>
      <c r="AO40" s="70"/>
      <c r="AP40" s="70"/>
      <c r="AQ40" s="70"/>
      <c r="AR40" s="70"/>
      <c r="AS40" s="70"/>
      <c r="AT40" s="70"/>
      <c r="AU40" s="70"/>
      <c r="AV40" s="70"/>
      <c r="AW40" s="70"/>
      <c r="AX40" s="70"/>
      <c r="AY40" s="70"/>
      <c r="AZ40" s="70"/>
      <c r="BA40" s="70"/>
      <c r="BB40" s="70"/>
      <c r="BC40" s="70"/>
      <c r="BD40" s="70"/>
      <c r="BE40" s="70"/>
      <c r="BF40" s="70"/>
      <c r="BG40" s="70"/>
      <c r="BH40" s="70"/>
      <c r="BI40" s="70"/>
      <c r="BJ40" s="70"/>
      <c r="BK40" s="70"/>
      <c r="BL40" s="70"/>
      <c r="BM40" s="70"/>
      <c r="BN40" s="70"/>
      <c r="BO40" s="70"/>
      <c r="BP40" s="70"/>
      <c r="BQ40" s="70"/>
      <c r="BR40" s="70"/>
      <c r="BS40" s="70"/>
      <c r="BT40" s="70"/>
      <c r="BU40" s="70"/>
      <c r="BV40" s="70"/>
      <c r="BW40" s="70"/>
      <c r="BX40" s="70"/>
      <c r="BY40" s="70"/>
      <c r="BZ40" s="70"/>
      <c r="CA40" s="70"/>
      <c r="CB40" s="70"/>
      <c r="CC40" s="70"/>
      <c r="CD40" s="70"/>
      <c r="CE40" s="70"/>
      <c r="CF40" s="70"/>
      <c r="CG40" s="70"/>
      <c r="CH40" s="70"/>
      <c r="CI40" s="70"/>
      <c r="CJ40" s="70"/>
      <c r="CK40" s="70"/>
      <c r="CL40" s="70"/>
      <c r="CM40" s="70"/>
      <c r="CN40" s="70"/>
      <c r="CO40" s="70"/>
      <c r="CP40" s="70"/>
      <c r="CQ40" s="70"/>
      <c r="CR40" s="70"/>
    </row>
    <row r="41" spans="1:97" s="41" customFormat="1">
      <c r="A41" s="95" t="s">
        <v>74</v>
      </c>
      <c r="B41" s="168"/>
      <c r="C41" s="178" t="s">
        <v>75</v>
      </c>
      <c r="D41" s="173" t="s">
        <v>49</v>
      </c>
      <c r="E41" s="98"/>
      <c r="F41" s="98"/>
      <c r="G41" s="82"/>
      <c r="H41" s="70"/>
      <c r="I41" s="70"/>
      <c r="J41" s="70"/>
      <c r="K41" s="70"/>
      <c r="L41" s="70"/>
      <c r="M41" s="70"/>
      <c r="N41" s="70"/>
      <c r="O41" s="70"/>
      <c r="P41" s="70"/>
      <c r="Q41" s="70"/>
      <c r="R41" s="70"/>
      <c r="S41" s="70"/>
      <c r="T41" s="70"/>
      <c r="U41" s="70"/>
      <c r="V41" s="70"/>
      <c r="W41" s="70"/>
      <c r="X41" s="70"/>
      <c r="Y41" s="70"/>
      <c r="Z41" s="70"/>
      <c r="AA41" s="70"/>
      <c r="AB41" s="70"/>
      <c r="AC41" s="70"/>
      <c r="AD41" s="70"/>
      <c r="AE41" s="70"/>
      <c r="AF41" s="70"/>
      <c r="AG41" s="70"/>
      <c r="AH41" s="70"/>
      <c r="AI41" s="70"/>
      <c r="AJ41" s="70"/>
      <c r="AK41" s="70"/>
      <c r="AL41" s="70"/>
      <c r="AM41" s="70"/>
      <c r="AN41" s="70"/>
      <c r="AO41" s="70"/>
      <c r="AP41" s="70"/>
      <c r="AQ41" s="70"/>
      <c r="AR41" s="70"/>
      <c r="AS41" s="70"/>
      <c r="AT41" s="70"/>
      <c r="AU41" s="70"/>
      <c r="AV41" s="70"/>
      <c r="AW41" s="70"/>
      <c r="AX41" s="70"/>
      <c r="AY41" s="70"/>
      <c r="AZ41" s="70"/>
      <c r="BA41" s="70"/>
      <c r="BB41" s="70"/>
      <c r="BC41" s="70"/>
      <c r="BD41" s="70"/>
      <c r="BE41" s="70"/>
      <c r="BF41" s="70"/>
      <c r="BG41" s="70"/>
      <c r="BH41" s="70"/>
      <c r="BI41" s="70"/>
      <c r="BJ41" s="70"/>
      <c r="BK41" s="70"/>
      <c r="BL41" s="70"/>
      <c r="BM41" s="70"/>
      <c r="BN41" s="70"/>
      <c r="BO41" s="70"/>
      <c r="BP41" s="70"/>
      <c r="BQ41" s="70"/>
      <c r="BR41" s="70"/>
      <c r="BS41" s="70"/>
      <c r="BT41" s="70"/>
      <c r="BU41" s="70"/>
      <c r="BV41" s="70"/>
      <c r="BW41" s="70"/>
      <c r="BX41" s="70"/>
      <c r="BY41" s="70"/>
      <c r="BZ41" s="70"/>
      <c r="CA41" s="70"/>
      <c r="CB41" s="70"/>
      <c r="CC41" s="70"/>
      <c r="CD41" s="70"/>
      <c r="CE41" s="70"/>
      <c r="CF41" s="70"/>
      <c r="CG41" s="70"/>
      <c r="CH41" s="70"/>
      <c r="CI41" s="70"/>
      <c r="CJ41" s="70"/>
      <c r="CK41" s="70"/>
      <c r="CL41" s="70"/>
      <c r="CM41" s="70"/>
      <c r="CN41" s="70"/>
      <c r="CO41" s="70"/>
      <c r="CP41" s="70"/>
      <c r="CQ41" s="70"/>
      <c r="CR41" s="70"/>
    </row>
    <row r="42" spans="1:97" ht="45.75" thickBot="1">
      <c r="A42" s="93" t="s">
        <v>76</v>
      </c>
      <c r="B42" s="167" t="s">
        <v>240</v>
      </c>
      <c r="C42" s="163" t="s">
        <v>555</v>
      </c>
      <c r="D42" s="172" t="s">
        <v>51</v>
      </c>
      <c r="E42" s="92">
        <f>'MEMÓRIA ONERADA'!E205</f>
        <v>330.2</v>
      </c>
      <c r="F42" s="81">
        <f>TRUNC('MEMÓRIA ONERADA'!F205,2)</f>
        <v>47.03</v>
      </c>
      <c r="G42" s="103">
        <f t="shared" ref="G42:G47" si="2">TRUNC(E42*F42,2)</f>
        <v>15529.3</v>
      </c>
      <c r="CS42"/>
    </row>
    <row r="43" spans="1:97" ht="30">
      <c r="A43" s="93" t="s">
        <v>236</v>
      </c>
      <c r="B43" s="167" t="s">
        <v>113</v>
      </c>
      <c r="C43" s="177" t="s">
        <v>356</v>
      </c>
      <c r="D43" s="172" t="s">
        <v>1</v>
      </c>
      <c r="E43" s="92">
        <f>'MEMÓRIA ONERADA'!E210</f>
        <v>9</v>
      </c>
      <c r="F43" s="81">
        <f>TRUNC('MEMÓRIA ONERADA'!F210,2)</f>
        <v>96.77</v>
      </c>
      <c r="G43" s="103">
        <f t="shared" si="2"/>
        <v>870.93</v>
      </c>
      <c r="CS43"/>
    </row>
    <row r="44" spans="1:97" ht="30">
      <c r="A44" s="93" t="s">
        <v>237</v>
      </c>
      <c r="B44" s="167" t="s">
        <v>239</v>
      </c>
      <c r="C44" s="177" t="s">
        <v>357</v>
      </c>
      <c r="D44" s="172" t="s">
        <v>1</v>
      </c>
      <c r="E44" s="92">
        <f>'MEMÓRIA ONERADA'!E216</f>
        <v>24.2</v>
      </c>
      <c r="F44" s="81">
        <f>TRUNC('MEMÓRIA ONERADA'!F216,2)</f>
        <v>21.19</v>
      </c>
      <c r="G44" s="103">
        <f t="shared" si="2"/>
        <v>512.79</v>
      </c>
      <c r="CS44"/>
    </row>
    <row r="45" spans="1:97" ht="30">
      <c r="A45" s="93" t="s">
        <v>238</v>
      </c>
      <c r="B45" s="167" t="s">
        <v>286</v>
      </c>
      <c r="C45" s="177" t="s">
        <v>358</v>
      </c>
      <c r="D45" s="172" t="s">
        <v>51</v>
      </c>
      <c r="E45" s="92">
        <f>'MEMÓRIA ONERADA'!E223</f>
        <v>560</v>
      </c>
      <c r="F45" s="81">
        <f>TRUNC('MEMÓRIA ONERADA'!F223,2)</f>
        <v>16.07</v>
      </c>
      <c r="G45" s="103">
        <f t="shared" si="2"/>
        <v>8999.2000000000007</v>
      </c>
      <c r="CS45"/>
    </row>
    <row r="46" spans="1:97" ht="30">
      <c r="A46" s="93" t="s">
        <v>241</v>
      </c>
      <c r="B46" s="167" t="s">
        <v>243</v>
      </c>
      <c r="C46" s="177" t="s">
        <v>595</v>
      </c>
      <c r="D46" s="172" t="s">
        <v>6</v>
      </c>
      <c r="E46" s="92">
        <f>'MEMÓRIA ONERADA'!E230</f>
        <v>9</v>
      </c>
      <c r="F46" s="81">
        <f>TRUNC('MEMÓRIA ONERADA'!F230,2)</f>
        <v>49.13</v>
      </c>
      <c r="G46" s="103">
        <f t="shared" si="2"/>
        <v>442.17</v>
      </c>
      <c r="CS46"/>
    </row>
    <row r="47" spans="1:97" ht="45">
      <c r="A47" s="93" t="s">
        <v>242</v>
      </c>
      <c r="B47" s="167" t="s">
        <v>289</v>
      </c>
      <c r="C47" s="177" t="s">
        <v>359</v>
      </c>
      <c r="D47" s="172" t="s">
        <v>6</v>
      </c>
      <c r="E47" s="92">
        <f>'MEMÓRIA ONERADA'!E234</f>
        <v>2</v>
      </c>
      <c r="F47" s="81">
        <f>TRUNC('MEMÓRIA ONERADA'!F234,2)</f>
        <v>176.72</v>
      </c>
      <c r="G47" s="103">
        <f t="shared" si="2"/>
        <v>353.44</v>
      </c>
      <c r="CS47"/>
    </row>
    <row r="48" spans="1:97" ht="30">
      <c r="A48" s="93" t="s">
        <v>246</v>
      </c>
      <c r="B48" s="167" t="s">
        <v>279</v>
      </c>
      <c r="C48" s="177" t="s">
        <v>360</v>
      </c>
      <c r="D48" s="172" t="s">
        <v>1</v>
      </c>
      <c r="E48" s="92">
        <v>1.6</v>
      </c>
      <c r="F48" s="81">
        <f>TRUNC('MEMÓRIA ONERADA'!F239,2)</f>
        <v>115.07</v>
      </c>
      <c r="G48" s="103">
        <f>TRUNC(E48*F48,2)</f>
        <v>184.11</v>
      </c>
      <c r="CS48"/>
    </row>
    <row r="49" spans="1:97" ht="30">
      <c r="A49" s="93" t="s">
        <v>572</v>
      </c>
      <c r="B49" s="94" t="s">
        <v>578</v>
      </c>
      <c r="C49" s="188" t="s">
        <v>581</v>
      </c>
      <c r="D49" s="93" t="s">
        <v>577</v>
      </c>
      <c r="E49" s="92">
        <v>21</v>
      </c>
      <c r="F49" s="81">
        <f>TRUNC('MEMÓRIA ONERADA'!F245,2)</f>
        <v>25.82</v>
      </c>
      <c r="G49" s="103">
        <f>TRUNC(E49*F49,2)</f>
        <v>542.22</v>
      </c>
      <c r="CS49"/>
    </row>
    <row r="50" spans="1:97" s="41" customFormat="1">
      <c r="A50" s="95" t="s">
        <v>33</v>
      </c>
      <c r="B50" s="168"/>
      <c r="C50" s="178"/>
      <c r="D50" s="173"/>
      <c r="E50" s="98"/>
      <c r="F50" s="98" t="s">
        <v>217</v>
      </c>
      <c r="G50" s="82">
        <f>G42+G43+G44+G45+G46+G47+G48+G49</f>
        <v>27434.16</v>
      </c>
      <c r="H50" s="70"/>
      <c r="I50" s="70"/>
      <c r="J50" s="70"/>
      <c r="K50" s="70"/>
      <c r="L50" s="70"/>
      <c r="M50" s="70"/>
      <c r="N50" s="70"/>
      <c r="O50" s="70"/>
      <c r="P50" s="70"/>
      <c r="Q50" s="70"/>
      <c r="R50" s="70"/>
      <c r="S50" s="70"/>
      <c r="T50" s="70"/>
      <c r="U50" s="70"/>
      <c r="V50" s="70"/>
      <c r="W50" s="70"/>
      <c r="X50" s="70"/>
      <c r="Y50" s="70"/>
      <c r="Z50" s="70"/>
      <c r="AA50" s="70"/>
      <c r="AB50" s="70"/>
      <c r="AC50" s="70"/>
      <c r="AD50" s="70"/>
      <c r="AE50" s="70"/>
      <c r="AF50" s="70"/>
      <c r="AG50" s="70"/>
      <c r="AH50" s="70"/>
      <c r="AI50" s="70"/>
      <c r="AJ50" s="70"/>
      <c r="AK50" s="70"/>
      <c r="AL50" s="70"/>
      <c r="AM50" s="70"/>
      <c r="AN50" s="70"/>
      <c r="AO50" s="70"/>
      <c r="AP50" s="70"/>
      <c r="AQ50" s="70"/>
      <c r="AR50" s="70"/>
      <c r="AS50" s="70"/>
      <c r="AT50" s="70"/>
      <c r="AU50" s="70"/>
      <c r="AV50" s="70"/>
      <c r="AW50" s="70"/>
      <c r="AX50" s="70"/>
      <c r="AY50" s="70"/>
      <c r="AZ50" s="70"/>
      <c r="BA50" s="70"/>
      <c r="BB50" s="70"/>
      <c r="BC50" s="70"/>
      <c r="BD50" s="70"/>
      <c r="BE50" s="70"/>
      <c r="BF50" s="70"/>
      <c r="BG50" s="70"/>
      <c r="BH50" s="70"/>
      <c r="BI50" s="70"/>
      <c r="BJ50" s="70"/>
      <c r="BK50" s="70"/>
      <c r="BL50" s="70"/>
      <c r="BM50" s="70"/>
      <c r="BN50" s="70"/>
      <c r="BO50" s="70"/>
      <c r="BP50" s="70"/>
      <c r="BQ50" s="70"/>
      <c r="BR50" s="70"/>
      <c r="BS50" s="70"/>
      <c r="BT50" s="70"/>
      <c r="BU50" s="70"/>
      <c r="BV50" s="70"/>
      <c r="BW50" s="70"/>
      <c r="BX50" s="70"/>
      <c r="BY50" s="70"/>
      <c r="BZ50" s="70"/>
      <c r="CA50" s="70"/>
      <c r="CB50" s="70"/>
      <c r="CC50" s="70"/>
      <c r="CD50" s="70"/>
      <c r="CE50" s="70"/>
      <c r="CF50" s="70"/>
      <c r="CG50" s="70"/>
      <c r="CH50" s="70"/>
      <c r="CI50" s="70"/>
      <c r="CJ50" s="70"/>
      <c r="CK50" s="70"/>
      <c r="CL50" s="70"/>
      <c r="CM50" s="70"/>
      <c r="CN50" s="70"/>
      <c r="CO50" s="70"/>
      <c r="CP50" s="70"/>
      <c r="CQ50" s="70"/>
      <c r="CR50" s="70"/>
    </row>
    <row r="51" spans="1:97" s="41" customFormat="1">
      <c r="A51" s="95" t="s">
        <v>77</v>
      </c>
      <c r="B51" s="168"/>
      <c r="C51" s="178" t="s">
        <v>78</v>
      </c>
      <c r="D51" s="173" t="s">
        <v>49</v>
      </c>
      <c r="E51" s="98"/>
      <c r="F51" s="98"/>
      <c r="G51" s="82"/>
      <c r="H51" s="70"/>
      <c r="I51" s="70"/>
      <c r="J51" s="70"/>
      <c r="K51" s="70"/>
      <c r="L51" s="70"/>
      <c r="M51" s="70"/>
      <c r="N51" s="70"/>
      <c r="O51" s="70"/>
      <c r="P51" s="70"/>
      <c r="Q51" s="70"/>
      <c r="R51" s="70"/>
      <c r="S51" s="70"/>
      <c r="T51" s="70"/>
      <c r="U51" s="70"/>
      <c r="V51" s="70"/>
      <c r="W51" s="70"/>
      <c r="X51" s="70"/>
      <c r="Y51" s="70"/>
      <c r="Z51" s="70"/>
      <c r="AA51" s="70"/>
      <c r="AB51" s="70"/>
      <c r="AC51" s="70"/>
      <c r="AD51" s="70"/>
      <c r="AE51" s="70"/>
      <c r="AF51" s="70"/>
      <c r="AG51" s="70"/>
      <c r="AH51" s="70"/>
      <c r="AI51" s="70"/>
      <c r="AJ51" s="70"/>
      <c r="AK51" s="70"/>
      <c r="AL51" s="70"/>
      <c r="AM51" s="70"/>
      <c r="AN51" s="70"/>
      <c r="AO51" s="70"/>
      <c r="AP51" s="70"/>
      <c r="AQ51" s="70"/>
      <c r="AR51" s="70"/>
      <c r="AS51" s="70"/>
      <c r="AT51" s="70"/>
      <c r="AU51" s="70"/>
      <c r="AV51" s="70"/>
      <c r="AW51" s="70"/>
      <c r="AX51" s="70"/>
      <c r="AY51" s="70"/>
      <c r="AZ51" s="70"/>
      <c r="BA51" s="70"/>
      <c r="BB51" s="70"/>
      <c r="BC51" s="70"/>
      <c r="BD51" s="70"/>
      <c r="BE51" s="70"/>
      <c r="BF51" s="70"/>
      <c r="BG51" s="70"/>
      <c r="BH51" s="70"/>
      <c r="BI51" s="70"/>
      <c r="BJ51" s="70"/>
      <c r="BK51" s="70"/>
      <c r="BL51" s="70"/>
      <c r="BM51" s="70"/>
      <c r="BN51" s="70"/>
      <c r="BO51" s="70"/>
      <c r="BP51" s="70"/>
      <c r="BQ51" s="70"/>
      <c r="BR51" s="70"/>
      <c r="BS51" s="70"/>
      <c r="BT51" s="70"/>
      <c r="BU51" s="70"/>
      <c r="BV51" s="70"/>
      <c r="BW51" s="70"/>
      <c r="BX51" s="70"/>
      <c r="BY51" s="70"/>
      <c r="BZ51" s="70"/>
      <c r="CA51" s="70"/>
      <c r="CB51" s="70"/>
      <c r="CC51" s="70"/>
      <c r="CD51" s="70"/>
      <c r="CE51" s="70"/>
      <c r="CF51" s="70"/>
      <c r="CG51" s="70"/>
      <c r="CH51" s="70"/>
      <c r="CI51" s="70"/>
      <c r="CJ51" s="70"/>
      <c r="CK51" s="70"/>
      <c r="CL51" s="70"/>
      <c r="CM51" s="70"/>
      <c r="CN51" s="70"/>
      <c r="CO51" s="70"/>
      <c r="CP51" s="70"/>
      <c r="CQ51" s="70"/>
      <c r="CR51" s="70"/>
    </row>
    <row r="52" spans="1:97" ht="40.5" customHeight="1">
      <c r="A52" s="93" t="s">
        <v>79</v>
      </c>
      <c r="B52" s="167" t="s">
        <v>594</v>
      </c>
      <c r="C52" s="177" t="s">
        <v>596</v>
      </c>
      <c r="D52" s="172" t="s">
        <v>6</v>
      </c>
      <c r="E52" s="92">
        <f>'MEMÓRIA ONERADA'!E259</f>
        <v>8</v>
      </c>
      <c r="F52" s="81">
        <f>TRUNC('MEMÓRIA ONERADA'!F259,2)</f>
        <v>355.72</v>
      </c>
      <c r="G52" s="103">
        <f>TRUNC(E52*F52,2)</f>
        <v>2845.76</v>
      </c>
      <c r="CS52"/>
    </row>
    <row r="53" spans="1:97" ht="30">
      <c r="A53" s="93" t="s">
        <v>80</v>
      </c>
      <c r="B53" s="167" t="s">
        <v>290</v>
      </c>
      <c r="C53" s="177" t="s">
        <v>362</v>
      </c>
      <c r="D53" s="172" t="s">
        <v>6</v>
      </c>
      <c r="E53" s="92">
        <f>'MEMÓRIA ONERADA'!E267</f>
        <v>4</v>
      </c>
      <c r="F53" s="81">
        <f>TRUNC('MEMÓRIA ONERADA'!F267,2)</f>
        <v>96.38</v>
      </c>
      <c r="G53" s="103">
        <f>TRUNC(E53*F53,2)</f>
        <v>385.52</v>
      </c>
      <c r="CS53"/>
    </row>
    <row r="54" spans="1:97" ht="60">
      <c r="A54" s="93" t="s">
        <v>310</v>
      </c>
      <c r="B54" s="167" t="s">
        <v>534</v>
      </c>
      <c r="C54" s="177" t="s">
        <v>535</v>
      </c>
      <c r="D54" s="172" t="s">
        <v>320</v>
      </c>
      <c r="E54" s="92">
        <v>1</v>
      </c>
      <c r="F54" s="92">
        <f>'MEMÓRIA ONERADA'!F275</f>
        <v>40.53</v>
      </c>
      <c r="G54" s="103">
        <f>TRUNC(E54*F54,2)</f>
        <v>40.53</v>
      </c>
      <c r="CS54"/>
    </row>
    <row r="55" spans="1:97">
      <c r="A55" s="93" t="s">
        <v>311</v>
      </c>
      <c r="B55" s="167" t="s">
        <v>327</v>
      </c>
      <c r="C55" s="177" t="s">
        <v>328</v>
      </c>
      <c r="D55" s="172" t="s">
        <v>320</v>
      </c>
      <c r="E55" s="92">
        <v>4</v>
      </c>
      <c r="F55" s="92">
        <f>'MEMÓRIA ONERADA'!F293</f>
        <v>11.2</v>
      </c>
      <c r="G55" s="103">
        <f>TRUNC(E55*F55,2)</f>
        <v>44.8</v>
      </c>
      <c r="CS55"/>
    </row>
    <row r="56" spans="1:97" s="41" customFormat="1">
      <c r="A56" s="95" t="s">
        <v>33</v>
      </c>
      <c r="B56" s="168"/>
      <c r="C56" s="178"/>
      <c r="D56" s="173"/>
      <c r="E56" s="98"/>
      <c r="F56" s="98" t="s">
        <v>218</v>
      </c>
      <c r="G56" s="82">
        <f>G52+G53+G54+G55</f>
        <v>3316.6100000000006</v>
      </c>
      <c r="H56" s="70"/>
      <c r="I56" s="70"/>
      <c r="J56" s="70"/>
      <c r="K56" s="70"/>
      <c r="L56" s="70"/>
      <c r="M56" s="70"/>
      <c r="N56" s="70"/>
      <c r="O56" s="70"/>
      <c r="P56" s="70"/>
      <c r="Q56" s="70"/>
      <c r="R56" s="70"/>
      <c r="S56" s="70"/>
      <c r="T56" s="70"/>
      <c r="U56" s="70"/>
      <c r="V56" s="70"/>
      <c r="W56" s="70"/>
      <c r="X56" s="70"/>
      <c r="Y56" s="70"/>
      <c r="Z56" s="70"/>
      <c r="AA56" s="70"/>
      <c r="AB56" s="70"/>
      <c r="AC56" s="70"/>
      <c r="AD56" s="70"/>
      <c r="AE56" s="70"/>
      <c r="AF56" s="70"/>
      <c r="AG56" s="70"/>
      <c r="AH56" s="70"/>
      <c r="AI56" s="70"/>
      <c r="AJ56" s="70"/>
      <c r="AK56" s="70"/>
      <c r="AL56" s="70"/>
      <c r="AM56" s="70"/>
      <c r="AN56" s="70"/>
      <c r="AO56" s="70"/>
      <c r="AP56" s="70"/>
      <c r="AQ56" s="70"/>
      <c r="AR56" s="70"/>
      <c r="AS56" s="70"/>
      <c r="AT56" s="70"/>
      <c r="AU56" s="70"/>
      <c r="AV56" s="70"/>
      <c r="AW56" s="70"/>
      <c r="AX56" s="70"/>
      <c r="AY56" s="70"/>
      <c r="AZ56" s="70"/>
      <c r="BA56" s="70"/>
      <c r="BB56" s="70"/>
      <c r="BC56" s="70"/>
      <c r="BD56" s="70"/>
      <c r="BE56" s="70"/>
      <c r="BF56" s="70"/>
      <c r="BG56" s="70"/>
      <c r="BH56" s="70"/>
      <c r="BI56" s="70"/>
      <c r="BJ56" s="70"/>
      <c r="BK56" s="70"/>
      <c r="BL56" s="70"/>
      <c r="BM56" s="70"/>
      <c r="BN56" s="70"/>
      <c r="BO56" s="70"/>
      <c r="BP56" s="70"/>
      <c r="BQ56" s="70"/>
      <c r="BR56" s="70"/>
      <c r="BS56" s="70"/>
      <c r="BT56" s="70"/>
      <c r="BU56" s="70"/>
      <c r="BV56" s="70"/>
      <c r="BW56" s="70"/>
      <c r="BX56" s="70"/>
      <c r="BY56" s="70"/>
      <c r="BZ56" s="70"/>
      <c r="CA56" s="70"/>
      <c r="CB56" s="70"/>
      <c r="CC56" s="70"/>
      <c r="CD56" s="70"/>
      <c r="CE56" s="70"/>
      <c r="CF56" s="70"/>
      <c r="CG56" s="70"/>
      <c r="CH56" s="70"/>
      <c r="CI56" s="70"/>
      <c r="CJ56" s="70"/>
      <c r="CK56" s="70"/>
      <c r="CL56" s="70"/>
      <c r="CM56" s="70"/>
      <c r="CN56" s="70"/>
      <c r="CO56" s="70"/>
      <c r="CP56" s="70"/>
      <c r="CQ56" s="70"/>
      <c r="CR56" s="70"/>
    </row>
    <row r="57" spans="1:97" s="41" customFormat="1">
      <c r="A57" s="95" t="s">
        <v>81</v>
      </c>
      <c r="B57" s="168"/>
      <c r="C57" s="178" t="s">
        <v>82</v>
      </c>
      <c r="D57" s="173" t="s">
        <v>49</v>
      </c>
      <c r="E57" s="98"/>
      <c r="F57" s="98"/>
      <c r="G57" s="82"/>
      <c r="H57" s="70"/>
      <c r="I57" s="70"/>
      <c r="J57" s="70"/>
      <c r="K57" s="70"/>
      <c r="L57" s="70"/>
      <c r="M57" s="70"/>
      <c r="N57" s="70"/>
      <c r="O57" s="70"/>
      <c r="P57" s="70"/>
      <c r="Q57" s="70"/>
      <c r="R57" s="70"/>
      <c r="S57" s="70"/>
      <c r="T57" s="70"/>
      <c r="U57" s="70"/>
      <c r="V57" s="70"/>
      <c r="W57" s="70"/>
      <c r="X57" s="70"/>
      <c r="Y57" s="70"/>
      <c r="Z57" s="70"/>
      <c r="AA57" s="70"/>
      <c r="AB57" s="70"/>
      <c r="AC57" s="70"/>
      <c r="AD57" s="70"/>
      <c r="AE57" s="70"/>
      <c r="AF57" s="70"/>
      <c r="AG57" s="70"/>
      <c r="AH57" s="70"/>
      <c r="AI57" s="70"/>
      <c r="AJ57" s="70"/>
      <c r="AK57" s="70"/>
      <c r="AL57" s="70"/>
      <c r="AM57" s="70"/>
      <c r="AN57" s="70"/>
      <c r="AO57" s="70"/>
      <c r="AP57" s="70"/>
      <c r="AQ57" s="70"/>
      <c r="AR57" s="70"/>
      <c r="AS57" s="70"/>
      <c r="AT57" s="70"/>
      <c r="AU57" s="70"/>
      <c r="AV57" s="70"/>
      <c r="AW57" s="70"/>
      <c r="AX57" s="70"/>
      <c r="AY57" s="70"/>
      <c r="AZ57" s="70"/>
      <c r="BA57" s="70"/>
      <c r="BB57" s="70"/>
      <c r="BC57" s="70"/>
      <c r="BD57" s="70"/>
      <c r="BE57" s="70"/>
      <c r="BF57" s="70"/>
      <c r="BG57" s="70"/>
      <c r="BH57" s="70"/>
      <c r="BI57" s="70"/>
      <c r="BJ57" s="70"/>
      <c r="BK57" s="70"/>
      <c r="BL57" s="70"/>
      <c r="BM57" s="70"/>
      <c r="BN57" s="70"/>
      <c r="BO57" s="70"/>
      <c r="BP57" s="70"/>
      <c r="BQ57" s="70"/>
      <c r="BR57" s="70"/>
      <c r="BS57" s="70"/>
      <c r="BT57" s="70"/>
      <c r="BU57" s="70"/>
      <c r="BV57" s="70"/>
      <c r="BW57" s="70"/>
      <c r="BX57" s="70"/>
      <c r="BY57" s="70"/>
      <c r="BZ57" s="70"/>
      <c r="CA57" s="70"/>
      <c r="CB57" s="70"/>
      <c r="CC57" s="70"/>
      <c r="CD57" s="70"/>
      <c r="CE57" s="70"/>
      <c r="CF57" s="70"/>
      <c r="CG57" s="70"/>
      <c r="CH57" s="70"/>
      <c r="CI57" s="70"/>
      <c r="CJ57" s="70"/>
      <c r="CK57" s="70"/>
      <c r="CL57" s="70"/>
      <c r="CM57" s="70"/>
      <c r="CN57" s="70"/>
      <c r="CO57" s="70"/>
      <c r="CP57" s="70"/>
      <c r="CQ57" s="70"/>
      <c r="CR57" s="70"/>
    </row>
    <row r="58" spans="1:97" ht="30">
      <c r="A58" s="93" t="s">
        <v>83</v>
      </c>
      <c r="B58" s="167" t="s">
        <v>293</v>
      </c>
      <c r="C58" s="177" t="s">
        <v>597</v>
      </c>
      <c r="D58" s="172" t="s">
        <v>84</v>
      </c>
      <c r="E58" s="92">
        <f>'MEMÓRIA ONERADA'!E301</f>
        <v>1</v>
      </c>
      <c r="F58" s="81">
        <f>TRUNC('MEMÓRIA ONERADA'!F301,2)</f>
        <v>2422.56</v>
      </c>
      <c r="G58" s="103">
        <f>TRUNC(E58*F58,2)</f>
        <v>2422.56</v>
      </c>
      <c r="CS58"/>
    </row>
    <row r="59" spans="1:97">
      <c r="A59" s="93" t="s">
        <v>85</v>
      </c>
      <c r="B59" s="167" t="s">
        <v>115</v>
      </c>
      <c r="C59" s="177" t="s">
        <v>364</v>
      </c>
      <c r="D59" s="172" t="s">
        <v>84</v>
      </c>
      <c r="E59" s="92">
        <f>'MEMÓRIA ONERADA'!E306</f>
        <v>1</v>
      </c>
      <c r="F59" s="81">
        <f>TRUNC('MEMÓRIA ONERADA'!F306,2)</f>
        <v>108.15</v>
      </c>
      <c r="G59" s="103">
        <f>TRUNC(E59*F59,2)</f>
        <v>108.15</v>
      </c>
      <c r="CS59"/>
    </row>
    <row r="60" spans="1:97" s="41" customFormat="1">
      <c r="A60" s="95" t="s">
        <v>33</v>
      </c>
      <c r="B60" s="168"/>
      <c r="C60" s="178"/>
      <c r="D60" s="173"/>
      <c r="E60" s="98"/>
      <c r="F60" s="98" t="s">
        <v>219</v>
      </c>
      <c r="G60" s="82">
        <f>G58+G59</f>
        <v>2530.71</v>
      </c>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0"/>
      <c r="BK60" s="70"/>
      <c r="BL60" s="70"/>
      <c r="BM60" s="70"/>
      <c r="BN60" s="70"/>
      <c r="BO60" s="70"/>
      <c r="BP60" s="70"/>
      <c r="BQ60" s="70"/>
      <c r="BR60" s="70"/>
      <c r="BS60" s="70"/>
      <c r="BT60" s="70"/>
      <c r="BU60" s="70"/>
      <c r="BV60" s="70"/>
      <c r="BW60" s="70"/>
      <c r="BX60" s="70"/>
      <c r="BY60" s="70"/>
      <c r="BZ60" s="70"/>
      <c r="CA60" s="70"/>
      <c r="CB60" s="70"/>
      <c r="CC60" s="70"/>
      <c r="CD60" s="70"/>
      <c r="CE60" s="70"/>
      <c r="CF60" s="70"/>
      <c r="CG60" s="70"/>
      <c r="CH60" s="70"/>
      <c r="CI60" s="70"/>
      <c r="CJ60" s="70"/>
      <c r="CK60" s="70"/>
      <c r="CL60" s="70"/>
      <c r="CM60" s="70"/>
      <c r="CN60" s="70"/>
      <c r="CO60" s="70"/>
      <c r="CP60" s="70"/>
      <c r="CQ60" s="70"/>
      <c r="CR60" s="70"/>
    </row>
    <row r="61" spans="1:97" s="41" customFormat="1">
      <c r="A61" s="95" t="s">
        <v>86</v>
      </c>
      <c r="B61" s="168"/>
      <c r="C61" s="178" t="s">
        <v>87</v>
      </c>
      <c r="D61" s="173" t="s">
        <v>49</v>
      </c>
      <c r="E61" s="98"/>
      <c r="F61" s="98"/>
      <c r="G61" s="82"/>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c r="BF61" s="70"/>
      <c r="BG61" s="70"/>
      <c r="BH61" s="70"/>
      <c r="BI61" s="70"/>
      <c r="BJ61" s="70"/>
      <c r="BK61" s="70"/>
      <c r="BL61" s="70"/>
      <c r="BM61" s="70"/>
      <c r="BN61" s="70"/>
      <c r="BO61" s="70"/>
      <c r="BP61" s="70"/>
      <c r="BQ61" s="70"/>
      <c r="BR61" s="70"/>
      <c r="BS61" s="70"/>
      <c r="BT61" s="70"/>
      <c r="BU61" s="70"/>
      <c r="BV61" s="70"/>
      <c r="BW61" s="70"/>
      <c r="BX61" s="70"/>
      <c r="BY61" s="70"/>
      <c r="BZ61" s="70"/>
      <c r="CA61" s="70"/>
      <c r="CB61" s="70"/>
      <c r="CC61" s="70"/>
      <c r="CD61" s="70"/>
      <c r="CE61" s="70"/>
      <c r="CF61" s="70"/>
      <c r="CG61" s="70"/>
      <c r="CH61" s="70"/>
      <c r="CI61" s="70"/>
      <c r="CJ61" s="70"/>
      <c r="CK61" s="70"/>
      <c r="CL61" s="70"/>
      <c r="CM61" s="70"/>
      <c r="CN61" s="70"/>
      <c r="CO61" s="70"/>
      <c r="CP61" s="70"/>
      <c r="CQ61" s="70"/>
      <c r="CR61" s="70"/>
    </row>
    <row r="62" spans="1:97" ht="30">
      <c r="A62" s="93" t="s">
        <v>88</v>
      </c>
      <c r="B62" s="167" t="s">
        <v>313</v>
      </c>
      <c r="C62" s="177" t="s">
        <v>554</v>
      </c>
      <c r="D62" s="172" t="s">
        <v>51</v>
      </c>
      <c r="E62" s="92">
        <f>'MEMÓRIA ONERADA'!E312</f>
        <v>145.5</v>
      </c>
      <c r="F62" s="81">
        <f>TRUNC('MEMÓRIA ONERADA'!F312,2)</f>
        <v>5.79</v>
      </c>
      <c r="G62" s="103">
        <f>TRUNC(E62*F62,2)</f>
        <v>842.44</v>
      </c>
      <c r="CS62"/>
    </row>
    <row r="63" spans="1:97" ht="33.75" customHeight="1">
      <c r="A63" s="93" t="s">
        <v>89</v>
      </c>
      <c r="B63" s="167" t="s">
        <v>116</v>
      </c>
      <c r="C63" s="177" t="s">
        <v>552</v>
      </c>
      <c r="D63" s="172" t="s">
        <v>51</v>
      </c>
      <c r="E63" s="92">
        <f>'MEMÓRIA ONERADA'!E319</f>
        <v>145.5</v>
      </c>
      <c r="F63" s="81">
        <f>TRUNC('MEMÓRIA ONERADA'!F319,2)</f>
        <v>14.29</v>
      </c>
      <c r="G63" s="103">
        <f>TRUNC(E63*F63,2)</f>
        <v>2079.19</v>
      </c>
      <c r="CS63"/>
    </row>
    <row r="64" spans="1:97" ht="45">
      <c r="A64" s="93" t="s">
        <v>90</v>
      </c>
      <c r="B64" s="167" t="s">
        <v>315</v>
      </c>
      <c r="C64" s="177" t="s">
        <v>551</v>
      </c>
      <c r="D64" s="172" t="s">
        <v>51</v>
      </c>
      <c r="E64" s="92">
        <f>'MEMÓRIA ONERADA'!E325</f>
        <v>130</v>
      </c>
      <c r="F64" s="81">
        <f>TRUNC('MEMÓRIA ONERADA'!F325,2)</f>
        <v>22.44</v>
      </c>
      <c r="G64" s="103">
        <f>TRUNC(E64*F64,2)</f>
        <v>2917.2</v>
      </c>
      <c r="CS64"/>
    </row>
    <row r="65" spans="1:97" s="41" customFormat="1">
      <c r="A65" s="95" t="s">
        <v>33</v>
      </c>
      <c r="B65" s="168"/>
      <c r="C65" s="178"/>
      <c r="D65" s="173"/>
      <c r="E65" s="98"/>
      <c r="F65" s="98" t="s">
        <v>220</v>
      </c>
      <c r="G65" s="82">
        <f>G62+G63+G64</f>
        <v>5838.83</v>
      </c>
      <c r="H65" s="70"/>
      <c r="I65" s="70"/>
      <c r="J65" s="70"/>
      <c r="K65" s="70"/>
      <c r="L65" s="70"/>
      <c r="M65" s="70"/>
      <c r="N65" s="70"/>
      <c r="O65" s="70"/>
      <c r="P65" s="70"/>
      <c r="Q65" s="70"/>
      <c r="R65" s="70"/>
      <c r="S65" s="70"/>
      <c r="T65" s="70"/>
      <c r="U65" s="70"/>
      <c r="V65" s="70"/>
      <c r="W65" s="70"/>
      <c r="X65" s="70"/>
      <c r="Y65" s="70"/>
      <c r="Z65" s="70"/>
      <c r="AA65" s="70"/>
      <c r="AB65" s="70"/>
      <c r="AC65" s="70"/>
      <c r="AD65" s="70"/>
      <c r="AE65" s="70"/>
      <c r="AF65" s="70"/>
      <c r="AG65" s="70"/>
      <c r="AH65" s="70"/>
      <c r="AI65" s="70"/>
      <c r="AJ65" s="70"/>
      <c r="AK65" s="70"/>
      <c r="AL65" s="70"/>
      <c r="AM65" s="70"/>
      <c r="AN65" s="70"/>
      <c r="AO65" s="70"/>
      <c r="AP65" s="70"/>
      <c r="AQ65" s="70"/>
      <c r="AR65" s="70"/>
      <c r="AS65" s="70"/>
      <c r="AT65" s="70"/>
      <c r="AU65" s="70"/>
      <c r="AV65" s="70"/>
      <c r="AW65" s="70"/>
      <c r="AX65" s="70"/>
      <c r="AY65" s="70"/>
      <c r="AZ65" s="70"/>
      <c r="BA65" s="70"/>
      <c r="BB65" s="70"/>
      <c r="BC65" s="70"/>
      <c r="BD65" s="70"/>
      <c r="BE65" s="70"/>
      <c r="BF65" s="70"/>
      <c r="BG65" s="70"/>
      <c r="BH65" s="70"/>
      <c r="BI65" s="70"/>
      <c r="BJ65" s="70"/>
      <c r="BK65" s="70"/>
      <c r="BL65" s="70"/>
      <c r="BM65" s="70"/>
      <c r="BN65" s="70"/>
      <c r="BO65" s="70"/>
      <c r="BP65" s="70"/>
      <c r="BQ65" s="70"/>
      <c r="BR65" s="70"/>
      <c r="BS65" s="70"/>
      <c r="BT65" s="70"/>
      <c r="BU65" s="70"/>
      <c r="BV65" s="70"/>
      <c r="BW65" s="70"/>
      <c r="BX65" s="70"/>
      <c r="BY65" s="70"/>
      <c r="BZ65" s="70"/>
      <c r="CA65" s="70"/>
      <c r="CB65" s="70"/>
      <c r="CC65" s="70"/>
      <c r="CD65" s="70"/>
      <c r="CE65" s="70"/>
      <c r="CF65" s="70"/>
      <c r="CG65" s="70"/>
      <c r="CH65" s="70"/>
      <c r="CI65" s="70"/>
      <c r="CJ65" s="70"/>
      <c r="CK65" s="70"/>
      <c r="CL65" s="70"/>
      <c r="CM65" s="70"/>
      <c r="CN65" s="70"/>
      <c r="CO65" s="70"/>
      <c r="CP65" s="70"/>
      <c r="CQ65" s="70"/>
      <c r="CR65" s="70"/>
    </row>
    <row r="66" spans="1:97" s="41" customFormat="1">
      <c r="A66" s="95" t="s">
        <v>91</v>
      </c>
      <c r="B66" s="168"/>
      <c r="C66" s="178" t="s">
        <v>378</v>
      </c>
      <c r="D66" s="173" t="s">
        <v>49</v>
      </c>
      <c r="E66" s="98"/>
      <c r="F66" s="98"/>
      <c r="G66" s="82"/>
      <c r="H66" s="70"/>
      <c r="I66" s="70"/>
      <c r="J66" s="70"/>
      <c r="K66" s="70"/>
      <c r="L66" s="70"/>
      <c r="M66" s="70"/>
      <c r="N66" s="70"/>
      <c r="O66" s="70"/>
      <c r="P66" s="70"/>
      <c r="Q66" s="70"/>
      <c r="R66" s="70"/>
      <c r="S66" s="70"/>
      <c r="T66" s="70"/>
      <c r="U66" s="70"/>
      <c r="V66" s="70"/>
      <c r="W66" s="70"/>
      <c r="X66" s="70"/>
      <c r="Y66" s="70"/>
      <c r="Z66" s="70"/>
      <c r="AA66" s="70"/>
      <c r="AB66" s="70"/>
      <c r="AC66" s="70"/>
      <c r="AD66" s="70"/>
      <c r="AE66" s="70"/>
      <c r="AF66" s="70"/>
      <c r="AG66" s="70"/>
      <c r="AH66" s="70"/>
      <c r="AI66" s="70"/>
      <c r="AJ66" s="70"/>
      <c r="AK66" s="70"/>
      <c r="AL66" s="70"/>
      <c r="AM66" s="70"/>
      <c r="AN66" s="70"/>
      <c r="AO66" s="70"/>
      <c r="AP66" s="70"/>
      <c r="AQ66" s="70"/>
      <c r="AR66" s="70"/>
      <c r="AS66" s="70"/>
      <c r="AT66" s="70"/>
      <c r="AU66" s="70"/>
      <c r="AV66" s="70"/>
      <c r="AW66" s="70"/>
      <c r="AX66" s="70"/>
      <c r="AY66" s="70"/>
      <c r="AZ66" s="70"/>
      <c r="BA66" s="70"/>
      <c r="BB66" s="70"/>
      <c r="BC66" s="70"/>
      <c r="BD66" s="70"/>
      <c r="BE66" s="70"/>
      <c r="BF66" s="70"/>
      <c r="BG66" s="70"/>
      <c r="BH66" s="70"/>
      <c r="BI66" s="70"/>
      <c r="BJ66" s="70"/>
      <c r="BK66" s="70"/>
      <c r="BL66" s="70"/>
      <c r="BM66" s="70"/>
      <c r="BN66" s="70"/>
      <c r="BO66" s="70"/>
      <c r="BP66" s="70"/>
      <c r="BQ66" s="70"/>
      <c r="BR66" s="70"/>
      <c r="BS66" s="70"/>
      <c r="BT66" s="70"/>
      <c r="BU66" s="70"/>
      <c r="BV66" s="70"/>
      <c r="BW66" s="70"/>
      <c r="BX66" s="70"/>
      <c r="BY66" s="70"/>
      <c r="BZ66" s="70"/>
      <c r="CA66" s="70"/>
      <c r="CB66" s="70"/>
      <c r="CC66" s="70"/>
      <c r="CD66" s="70"/>
      <c r="CE66" s="70"/>
      <c r="CF66" s="70"/>
      <c r="CG66" s="70"/>
      <c r="CH66" s="70"/>
      <c r="CI66" s="70"/>
      <c r="CJ66" s="70"/>
      <c r="CK66" s="70"/>
      <c r="CL66" s="70"/>
      <c r="CM66" s="70"/>
      <c r="CN66" s="70"/>
      <c r="CO66" s="70"/>
      <c r="CP66" s="70"/>
      <c r="CQ66" s="70"/>
      <c r="CR66" s="70"/>
    </row>
    <row r="67" spans="1:97" ht="30">
      <c r="A67" s="93" t="s">
        <v>92</v>
      </c>
      <c r="B67" s="167" t="s">
        <v>204</v>
      </c>
      <c r="C67" s="177" t="s">
        <v>367</v>
      </c>
      <c r="D67" s="172" t="s">
        <v>0</v>
      </c>
      <c r="E67" s="92">
        <f>'MEMÓRIA ONERADA'!E336</f>
        <v>40</v>
      </c>
      <c r="F67" s="81">
        <f>TRUNC('MEMÓRIA ONERADA'!F336,2)</f>
        <v>23.86</v>
      </c>
      <c r="G67" s="103">
        <f>TRUNC(E67*F67,2)</f>
        <v>954.4</v>
      </c>
      <c r="CS67"/>
    </row>
    <row r="68" spans="1:97" ht="30">
      <c r="A68" s="93" t="s">
        <v>93</v>
      </c>
      <c r="B68" s="167" t="s">
        <v>295</v>
      </c>
      <c r="C68" s="177" t="s">
        <v>368</v>
      </c>
      <c r="D68" s="172" t="s">
        <v>6</v>
      </c>
      <c r="E68" s="92">
        <f>'MEMÓRIA ONERADA'!E340</f>
        <v>8</v>
      </c>
      <c r="F68" s="81">
        <f>TRUNC('MEMÓRIA ONERADA'!F340,2)</f>
        <v>240</v>
      </c>
      <c r="G68" s="103">
        <f>TRUNC(E68*F68,2)</f>
        <v>1920</v>
      </c>
      <c r="CS68"/>
    </row>
    <row r="69" spans="1:97" ht="45">
      <c r="A69" s="93" t="s">
        <v>94</v>
      </c>
      <c r="B69" s="167" t="s">
        <v>118</v>
      </c>
      <c r="C69" s="177" t="s">
        <v>369</v>
      </c>
      <c r="D69" s="172" t="s">
        <v>95</v>
      </c>
      <c r="E69" s="92">
        <f>'MEMÓRIA ONERADA'!E346</f>
        <v>7.5</v>
      </c>
      <c r="F69" s="81">
        <f>TRUNC('MEMÓRIA ONERADA'!F346,2)</f>
        <v>84.5</v>
      </c>
      <c r="G69" s="103">
        <f>TRUNC(E69*F69,2)</f>
        <v>633.75</v>
      </c>
      <c r="CS69"/>
    </row>
    <row r="70" spans="1:97" ht="45">
      <c r="A70" s="93" t="s">
        <v>96</v>
      </c>
      <c r="B70" s="167" t="s">
        <v>119</v>
      </c>
      <c r="C70" s="177" t="s">
        <v>370</v>
      </c>
      <c r="D70" s="172" t="s">
        <v>97</v>
      </c>
      <c r="E70" s="92">
        <f>'MEMÓRIA ONERADA'!E353</f>
        <v>58.5</v>
      </c>
      <c r="F70" s="81">
        <f>TRUNC('MEMÓRIA ONERADA'!F353,2)</f>
        <v>0.88</v>
      </c>
      <c r="G70" s="103">
        <f>TRUNC(E70*F70,2)</f>
        <v>51.48</v>
      </c>
      <c r="CS70"/>
    </row>
    <row r="71" spans="1:97" s="41" customFormat="1">
      <c r="A71" s="95" t="s">
        <v>33</v>
      </c>
      <c r="B71" s="168"/>
      <c r="C71" s="178"/>
      <c r="D71" s="173"/>
      <c r="E71" s="98"/>
      <c r="F71" s="98" t="s">
        <v>221</v>
      </c>
      <c r="G71" s="82">
        <f>G67+G68+G69+G70</f>
        <v>3559.63</v>
      </c>
      <c r="H71" s="70"/>
      <c r="I71" s="70"/>
      <c r="J71" s="70"/>
      <c r="K71" s="70"/>
      <c r="L71" s="70"/>
      <c r="M71" s="70"/>
      <c r="N71" s="70"/>
      <c r="O71" s="70"/>
      <c r="P71" s="70"/>
      <c r="Q71" s="70"/>
      <c r="R71" s="70"/>
      <c r="S71" s="70"/>
      <c r="T71" s="70"/>
      <c r="U71" s="70"/>
      <c r="V71" s="70"/>
      <c r="W71" s="70"/>
      <c r="X71" s="70"/>
      <c r="Y71" s="70"/>
      <c r="Z71" s="70"/>
      <c r="AA71" s="70"/>
      <c r="AB71" s="70"/>
      <c r="AC71" s="70"/>
      <c r="AD71" s="70"/>
      <c r="AE71" s="70"/>
      <c r="AF71" s="70"/>
      <c r="AG71" s="70"/>
      <c r="AH71" s="70"/>
      <c r="AI71" s="70"/>
      <c r="AJ71" s="70"/>
      <c r="AK71" s="70"/>
      <c r="AL71" s="70"/>
      <c r="AM71" s="70"/>
      <c r="AN71" s="70"/>
      <c r="AO71" s="70"/>
      <c r="AP71" s="70"/>
      <c r="AQ71" s="70"/>
      <c r="AR71" s="70"/>
      <c r="AS71" s="70"/>
      <c r="AT71" s="70"/>
      <c r="AU71" s="70"/>
      <c r="AV71" s="70"/>
      <c r="AW71" s="70"/>
      <c r="AX71" s="70"/>
      <c r="AY71" s="70"/>
      <c r="AZ71" s="70"/>
      <c r="BA71" s="70"/>
      <c r="BB71" s="70"/>
      <c r="BC71" s="70"/>
      <c r="BD71" s="70"/>
      <c r="BE71" s="70"/>
      <c r="BF71" s="70"/>
      <c r="BG71" s="70"/>
      <c r="BH71" s="70"/>
      <c r="BI71" s="70"/>
      <c r="BJ71" s="70"/>
      <c r="BK71" s="70"/>
      <c r="BL71" s="70"/>
      <c r="BM71" s="70"/>
      <c r="BN71" s="70"/>
      <c r="BO71" s="70"/>
      <c r="BP71" s="70"/>
      <c r="BQ71" s="70"/>
      <c r="BR71" s="70"/>
      <c r="BS71" s="70"/>
      <c r="BT71" s="70"/>
      <c r="BU71" s="70"/>
      <c r="BV71" s="70"/>
      <c r="BW71" s="70"/>
      <c r="BX71" s="70"/>
      <c r="BY71" s="70"/>
      <c r="BZ71" s="70"/>
      <c r="CA71" s="70"/>
      <c r="CB71" s="70"/>
      <c r="CC71" s="70"/>
      <c r="CD71" s="70"/>
      <c r="CE71" s="70"/>
      <c r="CF71" s="70"/>
      <c r="CG71" s="70"/>
      <c r="CH71" s="70"/>
      <c r="CI71" s="70"/>
      <c r="CJ71" s="70"/>
      <c r="CK71" s="70"/>
      <c r="CL71" s="70"/>
      <c r="CM71" s="70"/>
      <c r="CN71" s="70"/>
      <c r="CO71" s="70"/>
      <c r="CP71" s="70"/>
      <c r="CQ71" s="70"/>
      <c r="CR71" s="70"/>
    </row>
    <row r="72" spans="1:97" s="41" customFormat="1">
      <c r="A72" s="95" t="s">
        <v>247</v>
      </c>
      <c r="B72" s="168"/>
      <c r="C72" s="178" t="s">
        <v>248</v>
      </c>
      <c r="D72" s="173" t="s">
        <v>49</v>
      </c>
      <c r="E72" s="98"/>
      <c r="F72" s="98"/>
      <c r="G72" s="82"/>
      <c r="H72" s="70"/>
      <c r="I72" s="70"/>
      <c r="J72" s="70"/>
      <c r="K72" s="70"/>
      <c r="L72" s="70"/>
      <c r="M72" s="70"/>
      <c r="N72" s="70"/>
      <c r="O72" s="70"/>
      <c r="P72" s="70"/>
      <c r="Q72" s="70"/>
      <c r="R72" s="70"/>
      <c r="S72" s="70"/>
      <c r="T72" s="70"/>
      <c r="U72" s="70"/>
      <c r="V72" s="70"/>
      <c r="W72" s="70"/>
      <c r="X72" s="70"/>
      <c r="Y72" s="70"/>
      <c r="Z72" s="70"/>
      <c r="AA72" s="70"/>
      <c r="AB72" s="70"/>
      <c r="AC72" s="70"/>
      <c r="AD72" s="70"/>
      <c r="AE72" s="70"/>
      <c r="AF72" s="70"/>
      <c r="AG72" s="70"/>
      <c r="AH72" s="70"/>
      <c r="AI72" s="70"/>
      <c r="AJ72" s="70"/>
      <c r="AK72" s="70"/>
      <c r="AL72" s="70"/>
      <c r="AM72" s="70"/>
      <c r="AN72" s="70"/>
      <c r="AO72" s="70"/>
      <c r="AP72" s="70"/>
      <c r="AQ72" s="70"/>
      <c r="AR72" s="70"/>
      <c r="AS72" s="70"/>
      <c r="AT72" s="70"/>
      <c r="AU72" s="70"/>
      <c r="AV72" s="70"/>
      <c r="AW72" s="70"/>
      <c r="AX72" s="70"/>
      <c r="AY72" s="70"/>
      <c r="AZ72" s="70"/>
      <c r="BA72" s="70"/>
      <c r="BB72" s="70"/>
      <c r="BC72" s="70"/>
      <c r="BD72" s="70"/>
      <c r="BE72" s="70"/>
      <c r="BF72" s="70"/>
      <c r="BG72" s="70"/>
      <c r="BH72" s="70"/>
      <c r="BI72" s="70"/>
      <c r="BJ72" s="70"/>
      <c r="BK72" s="70"/>
      <c r="BL72" s="70"/>
      <c r="BM72" s="70"/>
      <c r="BN72" s="70"/>
      <c r="BO72" s="70"/>
      <c r="BP72" s="70"/>
      <c r="BQ72" s="70"/>
      <c r="BR72" s="70"/>
      <c r="BS72" s="70"/>
      <c r="BT72" s="70"/>
      <c r="BU72" s="70"/>
      <c r="BV72" s="70"/>
      <c r="BW72" s="70"/>
      <c r="BX72" s="70"/>
      <c r="BY72" s="70"/>
      <c r="BZ72" s="70"/>
      <c r="CA72" s="70"/>
      <c r="CB72" s="70"/>
      <c r="CC72" s="70"/>
      <c r="CD72" s="70"/>
      <c r="CE72" s="70"/>
      <c r="CF72" s="70"/>
      <c r="CG72" s="70"/>
      <c r="CH72" s="70"/>
      <c r="CI72" s="70"/>
      <c r="CJ72" s="70"/>
      <c r="CK72" s="70"/>
      <c r="CL72" s="70"/>
      <c r="CM72" s="70"/>
      <c r="CN72" s="70"/>
      <c r="CO72" s="70"/>
      <c r="CP72" s="70"/>
      <c r="CQ72" s="70"/>
      <c r="CR72" s="70"/>
    </row>
    <row r="73" spans="1:97" ht="45">
      <c r="A73" s="93" t="s">
        <v>249</v>
      </c>
      <c r="B73" s="167" t="s">
        <v>254</v>
      </c>
      <c r="C73" s="177" t="s">
        <v>372</v>
      </c>
      <c r="D73" s="172" t="s">
        <v>255</v>
      </c>
      <c r="E73" s="92">
        <f>'MEMÓRIA ONERADA'!E359</f>
        <v>80.849999999999994</v>
      </c>
      <c r="F73" s="81">
        <f>TRUNC('MEMÓRIA ONERADA'!F359,2)</f>
        <v>12</v>
      </c>
      <c r="G73" s="103">
        <f>TRUNC(E73*F73,2)</f>
        <v>970.2</v>
      </c>
      <c r="CS73"/>
    </row>
    <row r="74" spans="1:97" ht="30">
      <c r="A74" s="93" t="s">
        <v>250</v>
      </c>
      <c r="B74" s="167" t="s">
        <v>257</v>
      </c>
      <c r="C74" s="177" t="s">
        <v>373</v>
      </c>
      <c r="D74" s="172" t="s">
        <v>51</v>
      </c>
      <c r="E74" s="92">
        <f>'MEMÓRIA ONERADA'!E363</f>
        <v>26.95</v>
      </c>
      <c r="F74" s="81">
        <f>TRUNC('MEMÓRIA ONERADA'!F363,2)</f>
        <v>6.81</v>
      </c>
      <c r="G74" s="103">
        <f>TRUNC(E74*F74,2)</f>
        <v>183.52</v>
      </c>
      <c r="CS74"/>
    </row>
    <row r="75" spans="1:97" ht="30">
      <c r="A75" s="93" t="s">
        <v>251</v>
      </c>
      <c r="B75" s="167" t="s">
        <v>258</v>
      </c>
      <c r="C75" s="177" t="s">
        <v>374</v>
      </c>
      <c r="D75" s="172" t="s">
        <v>259</v>
      </c>
      <c r="E75" s="92">
        <f>'MEMÓRIA ONERADA'!E367</f>
        <v>404.25</v>
      </c>
      <c r="F75" s="81">
        <f>TRUNC('MEMÓRIA ONERADA'!F367,2)</f>
        <v>0.13</v>
      </c>
      <c r="G75" s="103">
        <f>TRUNC(E75*F75,2)</f>
        <v>52.55</v>
      </c>
      <c r="CS75"/>
    </row>
    <row r="76" spans="1:97" ht="30">
      <c r="A76" s="93" t="s">
        <v>252</v>
      </c>
      <c r="B76" s="167" t="s">
        <v>331</v>
      </c>
      <c r="C76" s="177" t="s">
        <v>375</v>
      </c>
      <c r="D76" s="172" t="s">
        <v>51</v>
      </c>
      <c r="E76" s="92">
        <f>'MEMÓRIA ONERADA'!E371</f>
        <v>7.7</v>
      </c>
      <c r="F76" s="81">
        <f>TRUNC('MEMÓRIA ONERADA'!F371,2)</f>
        <v>3.53</v>
      </c>
      <c r="G76" s="103">
        <f>TRUNC(E76*F76,2)</f>
        <v>27.18</v>
      </c>
      <c r="CS76"/>
    </row>
    <row r="77" spans="1:97" ht="30">
      <c r="A77" s="93" t="s">
        <v>262</v>
      </c>
      <c r="B77" s="167" t="s">
        <v>263</v>
      </c>
      <c r="C77" s="177" t="s">
        <v>376</v>
      </c>
      <c r="D77" s="172" t="s">
        <v>1</v>
      </c>
      <c r="E77" s="92">
        <f>'MEMÓRIA ONERADA'!E378</f>
        <v>76.099999999999994</v>
      </c>
      <c r="F77" s="81">
        <f>TRUNC('MEMÓRIA ONERADA'!F378,2)</f>
        <v>0.17</v>
      </c>
      <c r="G77" s="103">
        <f>TRUNC(E77*F77,2)</f>
        <v>12.93</v>
      </c>
      <c r="CS77"/>
    </row>
    <row r="78" spans="1:97" s="41" customFormat="1">
      <c r="A78" s="95" t="s">
        <v>33</v>
      </c>
      <c r="B78" s="96"/>
      <c r="C78" s="175"/>
      <c r="D78" s="95"/>
      <c r="E78" s="98"/>
      <c r="F78" s="98" t="s">
        <v>253</v>
      </c>
      <c r="G78" s="82">
        <f>G73+G74+G75+G76</f>
        <v>1233.45</v>
      </c>
      <c r="H78" s="70"/>
      <c r="I78" s="70"/>
      <c r="J78" s="70"/>
      <c r="K78" s="70"/>
      <c r="L78" s="70"/>
      <c r="M78" s="70"/>
      <c r="N78" s="70"/>
      <c r="O78" s="70"/>
      <c r="P78" s="70"/>
      <c r="Q78" s="70"/>
      <c r="R78" s="70"/>
      <c r="S78" s="70"/>
      <c r="T78" s="70"/>
      <c r="U78" s="70"/>
      <c r="V78" s="70"/>
      <c r="W78" s="70"/>
      <c r="X78" s="70"/>
      <c r="Y78" s="70"/>
      <c r="Z78" s="70"/>
      <c r="AA78" s="70"/>
      <c r="AB78" s="70"/>
      <c r="AC78" s="70"/>
      <c r="AD78" s="70"/>
      <c r="AE78" s="70"/>
      <c r="AF78" s="70"/>
      <c r="AG78" s="70"/>
      <c r="AH78" s="70"/>
      <c r="AI78" s="70"/>
      <c r="AJ78" s="70"/>
      <c r="AK78" s="70"/>
      <c r="AL78" s="70"/>
      <c r="AM78" s="70"/>
      <c r="AN78" s="70"/>
      <c r="AO78" s="70"/>
      <c r="AP78" s="70"/>
      <c r="AQ78" s="70"/>
      <c r="AR78" s="70"/>
      <c r="AS78" s="70"/>
      <c r="AT78" s="70"/>
      <c r="AU78" s="70"/>
      <c r="AV78" s="70"/>
      <c r="AW78" s="70"/>
      <c r="AX78" s="70"/>
      <c r="AY78" s="70"/>
      <c r="AZ78" s="70"/>
      <c r="BA78" s="70"/>
      <c r="BB78" s="70"/>
      <c r="BC78" s="70"/>
      <c r="BD78" s="70"/>
      <c r="BE78" s="70"/>
      <c r="BF78" s="70"/>
      <c r="BG78" s="70"/>
      <c r="BH78" s="70"/>
      <c r="BI78" s="70"/>
      <c r="BJ78" s="70"/>
      <c r="BK78" s="70"/>
      <c r="BL78" s="70"/>
      <c r="BM78" s="70"/>
      <c r="BN78" s="70"/>
      <c r="BO78" s="70"/>
      <c r="BP78" s="70"/>
      <c r="BQ78" s="70"/>
      <c r="BR78" s="70"/>
      <c r="BS78" s="70"/>
      <c r="BT78" s="70"/>
      <c r="BU78" s="70"/>
      <c r="BV78" s="70"/>
      <c r="BW78" s="70"/>
      <c r="BX78" s="70"/>
      <c r="BY78" s="70"/>
      <c r="BZ78" s="70"/>
      <c r="CA78" s="70"/>
      <c r="CB78" s="70"/>
      <c r="CC78" s="70"/>
      <c r="CD78" s="70"/>
      <c r="CE78" s="70"/>
      <c r="CF78" s="70"/>
      <c r="CG78" s="70"/>
      <c r="CH78" s="70"/>
      <c r="CI78" s="70"/>
      <c r="CJ78" s="70"/>
      <c r="CK78" s="70"/>
      <c r="CL78" s="70"/>
      <c r="CM78" s="70"/>
      <c r="CN78" s="70"/>
      <c r="CO78" s="70"/>
      <c r="CP78" s="70"/>
      <c r="CQ78" s="70"/>
      <c r="CR78" s="70"/>
    </row>
    <row r="79" spans="1:97" s="41" customFormat="1">
      <c r="A79" s="95" t="s">
        <v>33</v>
      </c>
      <c r="B79" s="96"/>
      <c r="C79" s="97"/>
      <c r="D79" s="95"/>
      <c r="E79" s="98"/>
      <c r="F79" s="98" t="s">
        <v>34</v>
      </c>
      <c r="G79" s="82">
        <f>G24+G28+G32+G40+G50+G56+G60+G65+G71+G78</f>
        <v>133563.26000000004</v>
      </c>
      <c r="H79" s="70"/>
      <c r="I79" s="70"/>
      <c r="J79" s="70"/>
      <c r="K79" s="70"/>
      <c r="L79" s="70"/>
      <c r="M79" s="70"/>
      <c r="N79" s="70"/>
      <c r="O79" s="70"/>
      <c r="P79" s="70"/>
      <c r="Q79" s="70"/>
      <c r="R79" s="70"/>
      <c r="S79" s="70"/>
      <c r="T79" s="70"/>
      <c r="U79" s="70"/>
      <c r="V79" s="70"/>
      <c r="W79" s="70"/>
      <c r="X79" s="70"/>
      <c r="Y79" s="70"/>
      <c r="Z79" s="70"/>
      <c r="AA79" s="70"/>
      <c r="AB79" s="70"/>
      <c r="AC79" s="70"/>
      <c r="AD79" s="70"/>
      <c r="AE79" s="70"/>
      <c r="AF79" s="70"/>
      <c r="AG79" s="70"/>
      <c r="AH79" s="70"/>
      <c r="AI79" s="70"/>
      <c r="AJ79" s="70"/>
      <c r="AK79" s="70"/>
      <c r="AL79" s="70"/>
      <c r="AM79" s="70"/>
      <c r="AN79" s="70"/>
      <c r="AO79" s="70"/>
      <c r="AP79" s="70"/>
      <c r="AQ79" s="70"/>
      <c r="AR79" s="70"/>
      <c r="AS79" s="70"/>
      <c r="AT79" s="70"/>
      <c r="AU79" s="70"/>
      <c r="AV79" s="70"/>
      <c r="AW79" s="70"/>
      <c r="AX79" s="70"/>
      <c r="AY79" s="70"/>
      <c r="AZ79" s="70"/>
      <c r="BA79" s="70"/>
      <c r="BB79" s="70"/>
      <c r="BC79" s="70"/>
      <c r="BD79" s="70"/>
      <c r="BE79" s="70"/>
      <c r="BF79" s="70"/>
      <c r="BG79" s="70"/>
      <c r="BH79" s="70"/>
      <c r="BI79" s="70"/>
      <c r="BJ79" s="70"/>
      <c r="BK79" s="70"/>
      <c r="BL79" s="70"/>
      <c r="BM79" s="70"/>
      <c r="BN79" s="70"/>
      <c r="BO79" s="70"/>
      <c r="BP79" s="70"/>
      <c r="BQ79" s="70"/>
      <c r="BR79" s="70"/>
      <c r="BS79" s="70"/>
      <c r="BT79" s="70"/>
      <c r="BU79" s="70"/>
      <c r="BV79" s="70"/>
      <c r="BW79" s="70"/>
      <c r="BX79" s="70"/>
      <c r="BY79" s="70"/>
      <c r="BZ79" s="70"/>
      <c r="CA79" s="70"/>
      <c r="CB79" s="70"/>
      <c r="CC79" s="70"/>
      <c r="CD79" s="70"/>
      <c r="CE79" s="70"/>
      <c r="CF79" s="70"/>
      <c r="CG79" s="70"/>
      <c r="CH79" s="70"/>
      <c r="CI79" s="70"/>
      <c r="CJ79" s="70"/>
      <c r="CK79" s="70"/>
      <c r="CL79" s="70"/>
      <c r="CM79" s="70"/>
      <c r="CN79" s="70"/>
      <c r="CO79" s="70"/>
      <c r="CP79" s="70"/>
      <c r="CQ79" s="70"/>
      <c r="CR79" s="70"/>
    </row>
  </sheetData>
  <mergeCells count="13">
    <mergeCell ref="D3:G3"/>
    <mergeCell ref="D4:G4"/>
    <mergeCell ref="D5:G5"/>
    <mergeCell ref="D6:G6"/>
    <mergeCell ref="D7:G7"/>
    <mergeCell ref="D8:G8"/>
    <mergeCell ref="A9:G9"/>
    <mergeCell ref="A10:A11"/>
    <mergeCell ref="B10:B11"/>
    <mergeCell ref="C10:C11"/>
    <mergeCell ref="D10:D11"/>
    <mergeCell ref="E10:E11"/>
    <mergeCell ref="F10:G10"/>
  </mergeCells>
  <pageMargins left="0.51181102362204722" right="0.51181102362204722" top="0.78740157480314965" bottom="0.78740157480314965" header="0.31496062992125984" footer="0.31496062992125984"/>
  <pageSetup paperSize="9" scale="46" orientation="portrait" horizontalDpi="4294967293" r:id="rId1"/>
  <headerFooter>
    <oddFooter>&amp;C&amp;A&amp;RPágina &amp;P de &amp;N</oddFooter>
  </headerFooter>
  <drawing r:id="rId2"/>
</worksheet>
</file>

<file path=xl/worksheets/sheet3.xml><?xml version="1.0" encoding="utf-8"?>
<worksheet xmlns="http://schemas.openxmlformats.org/spreadsheetml/2006/main" xmlns:r="http://schemas.openxmlformats.org/officeDocument/2006/relationships">
  <dimension ref="A1:CS81"/>
  <sheetViews>
    <sheetView tabSelected="1" view="pageBreakPreview" topLeftCell="A46" zoomScale="70" zoomScaleNormal="100" zoomScaleSheetLayoutView="70" workbookViewId="0">
      <selection activeCell="B52" sqref="B52"/>
    </sheetView>
  </sheetViews>
  <sheetFormatPr defaultRowHeight="15"/>
  <cols>
    <col min="1" max="1" width="9.140625" style="65"/>
    <col min="2" max="2" width="23.7109375" style="65" customWidth="1"/>
    <col min="3" max="3" width="104" style="66" customWidth="1"/>
    <col min="4" max="4" width="11.140625" style="65" customWidth="1"/>
    <col min="5" max="5" width="11.7109375" style="67" customWidth="1"/>
    <col min="6" max="6" width="19.85546875" style="42" bestFit="1" customWidth="1"/>
    <col min="7" max="7" width="20.5703125" style="120" customWidth="1"/>
    <col min="8" max="9" width="21.42578125" style="120" customWidth="1"/>
    <col min="10" max="10" width="13.140625" style="42" bestFit="1" customWidth="1"/>
    <col min="11" max="11" width="9.140625" style="42"/>
    <col min="12" max="12" width="9.7109375" style="42" bestFit="1" customWidth="1"/>
    <col min="13" max="16384" width="9.140625" style="42"/>
  </cols>
  <sheetData>
    <row r="1" spans="1:97" customFormat="1" ht="15.75">
      <c r="A1" s="2"/>
      <c r="B1" s="3"/>
      <c r="C1" s="4" t="s">
        <v>8</v>
      </c>
      <c r="D1" s="5"/>
      <c r="E1" s="6"/>
      <c r="F1" s="7"/>
      <c r="G1" s="99"/>
      <c r="H1" s="110"/>
      <c r="I1" s="111"/>
      <c r="J1" s="69"/>
      <c r="K1" s="69"/>
      <c r="L1" s="69"/>
      <c r="M1" s="69"/>
      <c r="N1" s="69"/>
      <c r="O1" s="69"/>
      <c r="P1" s="69"/>
      <c r="Q1" s="69"/>
      <c r="R1" s="69"/>
      <c r="S1" s="69"/>
      <c r="T1" s="69"/>
      <c r="U1" s="69"/>
      <c r="V1" s="69"/>
      <c r="W1" s="69"/>
      <c r="X1" s="69"/>
      <c r="Y1" s="69"/>
      <c r="Z1" s="69"/>
      <c r="AA1" s="69"/>
      <c r="AB1" s="69"/>
      <c r="AC1" s="69"/>
      <c r="AD1" s="69"/>
      <c r="AE1" s="69"/>
      <c r="AF1" s="69"/>
      <c r="AG1" s="69"/>
      <c r="AH1" s="69"/>
      <c r="AI1" s="69"/>
      <c r="AJ1" s="69"/>
      <c r="AK1" s="69"/>
      <c r="AL1" s="69"/>
      <c r="AM1" s="69"/>
      <c r="AN1" s="69"/>
      <c r="AO1" s="69"/>
      <c r="AP1" s="69"/>
      <c r="AQ1" s="69"/>
      <c r="AR1" s="69"/>
      <c r="AS1" s="69"/>
      <c r="AT1" s="69"/>
      <c r="AU1" s="69"/>
      <c r="AV1" s="69"/>
      <c r="AW1" s="69"/>
      <c r="AX1" s="69"/>
      <c r="AY1" s="69"/>
      <c r="AZ1" s="69"/>
      <c r="BA1" s="69"/>
      <c r="BB1" s="69"/>
      <c r="BC1" s="69"/>
      <c r="BD1" s="69"/>
      <c r="BE1" s="69"/>
      <c r="BF1" s="69"/>
      <c r="BG1" s="69"/>
      <c r="BH1" s="69"/>
      <c r="BI1" s="69"/>
      <c r="BJ1" s="69"/>
      <c r="BK1" s="69"/>
      <c r="BL1" s="69"/>
      <c r="BM1" s="69"/>
      <c r="BN1" s="69"/>
      <c r="BO1" s="69"/>
      <c r="BP1" s="69"/>
      <c r="BQ1" s="69"/>
      <c r="BR1" s="69"/>
      <c r="BS1" s="69"/>
      <c r="BT1" s="69"/>
      <c r="BU1" s="69"/>
      <c r="BV1" s="69"/>
      <c r="BW1" s="69"/>
      <c r="BX1" s="69"/>
      <c r="BY1" s="69"/>
      <c r="BZ1" s="69"/>
      <c r="CA1" s="69"/>
      <c r="CB1" s="69"/>
      <c r="CC1" s="69"/>
      <c r="CD1" s="69"/>
      <c r="CE1" s="69"/>
      <c r="CF1" s="69"/>
      <c r="CG1" s="69"/>
      <c r="CH1" s="69"/>
      <c r="CI1" s="69"/>
      <c r="CJ1" s="69"/>
      <c r="CK1" s="69"/>
      <c r="CL1" s="69"/>
      <c r="CM1" s="69"/>
      <c r="CN1" s="69"/>
      <c r="CO1" s="69"/>
      <c r="CP1" s="69"/>
      <c r="CQ1" s="69"/>
      <c r="CR1" s="69"/>
      <c r="CS1" s="69"/>
    </row>
    <row r="2" spans="1:97" customFormat="1" ht="15.75">
      <c r="A2" s="8"/>
      <c r="B2" s="9"/>
      <c r="C2" s="10" t="s">
        <v>9</v>
      </c>
      <c r="D2" s="11"/>
      <c r="E2" s="12"/>
      <c r="F2" s="13"/>
      <c r="G2" s="100"/>
      <c r="H2" s="104"/>
      <c r="I2" s="112"/>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c r="CA2" s="69"/>
      <c r="CB2" s="69"/>
      <c r="CC2" s="69"/>
      <c r="CD2" s="69"/>
      <c r="CE2" s="69"/>
      <c r="CF2" s="69"/>
      <c r="CG2" s="69"/>
      <c r="CH2" s="69"/>
      <c r="CI2" s="69"/>
      <c r="CJ2" s="69"/>
      <c r="CK2" s="69"/>
      <c r="CL2" s="69"/>
      <c r="CM2" s="69"/>
      <c r="CN2" s="69"/>
      <c r="CO2" s="69"/>
      <c r="CP2" s="69"/>
      <c r="CQ2" s="69"/>
      <c r="CR2" s="69"/>
      <c r="CS2" s="69"/>
    </row>
    <row r="3" spans="1:97" customFormat="1" ht="15.75">
      <c r="A3" s="8"/>
      <c r="B3" s="9"/>
      <c r="C3" s="10" t="s">
        <v>10</v>
      </c>
      <c r="D3" s="198" t="s">
        <v>45</v>
      </c>
      <c r="E3" s="199"/>
      <c r="F3" s="199"/>
      <c r="G3" s="200"/>
      <c r="H3" s="104"/>
      <c r="I3" s="112"/>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c r="CA3" s="69"/>
      <c r="CB3" s="69"/>
      <c r="CC3" s="69"/>
      <c r="CD3" s="69"/>
      <c r="CE3" s="69"/>
      <c r="CF3" s="69"/>
      <c r="CG3" s="69"/>
      <c r="CH3" s="69"/>
      <c r="CI3" s="69"/>
      <c r="CJ3" s="69"/>
      <c r="CK3" s="69"/>
      <c r="CL3" s="69"/>
      <c r="CM3" s="69"/>
      <c r="CN3" s="69"/>
      <c r="CO3" s="69"/>
      <c r="CP3" s="69"/>
      <c r="CQ3" s="69"/>
      <c r="CR3" s="69"/>
      <c r="CS3" s="69"/>
    </row>
    <row r="4" spans="1:97" customFormat="1" ht="15.75" customHeight="1">
      <c r="A4" s="8"/>
      <c r="B4" s="9"/>
      <c r="C4" s="14" t="s">
        <v>43</v>
      </c>
      <c r="D4" s="201" t="s">
        <v>38</v>
      </c>
      <c r="E4" s="202"/>
      <c r="F4" s="202"/>
      <c r="G4" s="203"/>
      <c r="H4" s="104"/>
      <c r="I4" s="112"/>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BD4" s="69"/>
      <c r="BE4" s="69"/>
      <c r="BF4" s="69"/>
      <c r="BG4" s="69"/>
      <c r="BH4" s="69"/>
      <c r="BI4" s="69"/>
      <c r="BJ4" s="69"/>
      <c r="BK4" s="69"/>
      <c r="BL4" s="69"/>
      <c r="BM4" s="69"/>
      <c r="BN4" s="69"/>
      <c r="BO4" s="69"/>
      <c r="BP4" s="69"/>
      <c r="BQ4" s="69"/>
      <c r="BR4" s="69"/>
      <c r="BS4" s="69"/>
      <c r="BT4" s="69"/>
      <c r="BU4" s="69"/>
      <c r="BV4" s="69"/>
      <c r="BW4" s="69"/>
      <c r="BX4" s="69"/>
      <c r="BY4" s="69"/>
      <c r="BZ4" s="69"/>
      <c r="CA4" s="69"/>
      <c r="CB4" s="69"/>
      <c r="CC4" s="69"/>
      <c r="CD4" s="69"/>
      <c r="CE4" s="69"/>
      <c r="CF4" s="69"/>
      <c r="CG4" s="69"/>
      <c r="CH4" s="69"/>
      <c r="CI4" s="69"/>
      <c r="CJ4" s="69"/>
      <c r="CK4" s="69"/>
      <c r="CL4" s="69"/>
      <c r="CM4" s="69"/>
      <c r="CN4" s="69"/>
      <c r="CO4" s="69"/>
      <c r="CP4" s="69"/>
      <c r="CQ4" s="69"/>
      <c r="CR4" s="69"/>
      <c r="CS4" s="69"/>
    </row>
    <row r="5" spans="1:97" customFormat="1" ht="15.75" customHeight="1">
      <c r="A5" s="8"/>
      <c r="B5" s="9"/>
      <c r="C5" s="43" t="s">
        <v>44</v>
      </c>
      <c r="D5" s="204" t="s">
        <v>47</v>
      </c>
      <c r="E5" s="205"/>
      <c r="F5" s="205"/>
      <c r="G5" s="206"/>
      <c r="H5" s="104"/>
      <c r="I5" s="112"/>
      <c r="J5" s="69"/>
      <c r="K5" s="69"/>
      <c r="L5" s="69"/>
      <c r="M5" s="69"/>
      <c r="N5" s="69"/>
      <c r="O5" s="69"/>
      <c r="P5" s="69"/>
      <c r="Q5" s="69"/>
      <c r="R5" s="69"/>
      <c r="S5" s="69"/>
      <c r="T5" s="69"/>
      <c r="U5" s="69"/>
      <c r="V5" s="69"/>
      <c r="W5" s="69"/>
      <c r="X5" s="69"/>
      <c r="Y5" s="69"/>
      <c r="Z5" s="69"/>
      <c r="AA5" s="69"/>
      <c r="AB5" s="69"/>
      <c r="AC5" s="69"/>
      <c r="AD5" s="69"/>
      <c r="AE5" s="69"/>
      <c r="AF5" s="69"/>
      <c r="AG5" s="69"/>
      <c r="AH5" s="69"/>
      <c r="AI5" s="69"/>
      <c r="AJ5" s="69"/>
      <c r="AK5" s="69"/>
      <c r="AL5" s="69"/>
      <c r="AM5" s="69"/>
      <c r="AN5" s="69"/>
      <c r="AO5" s="69"/>
      <c r="AP5" s="69"/>
      <c r="AQ5" s="69"/>
      <c r="AR5" s="69"/>
      <c r="AS5" s="69"/>
      <c r="AT5" s="69"/>
      <c r="AU5" s="69"/>
      <c r="AV5" s="69"/>
      <c r="AW5" s="69"/>
      <c r="AX5" s="69"/>
      <c r="AY5" s="69"/>
      <c r="AZ5" s="69"/>
      <c r="BA5" s="69"/>
      <c r="BB5" s="69"/>
      <c r="BC5" s="69"/>
      <c r="BD5" s="69"/>
      <c r="BE5" s="69"/>
      <c r="BF5" s="69"/>
      <c r="BG5" s="69"/>
      <c r="BH5" s="69"/>
      <c r="BI5" s="69"/>
      <c r="BJ5" s="69"/>
      <c r="BK5" s="69"/>
      <c r="BL5" s="69"/>
      <c r="BM5" s="69"/>
      <c r="BN5" s="69"/>
      <c r="BO5" s="69"/>
      <c r="BP5" s="69"/>
      <c r="BQ5" s="69"/>
      <c r="BR5" s="69"/>
      <c r="BS5" s="69"/>
      <c r="BT5" s="69"/>
      <c r="BU5" s="69"/>
      <c r="BV5" s="69"/>
      <c r="BW5" s="69"/>
      <c r="BX5" s="69"/>
      <c r="BY5" s="69"/>
      <c r="BZ5" s="69"/>
      <c r="CA5" s="69"/>
      <c r="CB5" s="69"/>
      <c r="CC5" s="69"/>
      <c r="CD5" s="69"/>
      <c r="CE5" s="69"/>
      <c r="CF5" s="69"/>
      <c r="CG5" s="69"/>
      <c r="CH5" s="69"/>
      <c r="CI5" s="69"/>
      <c r="CJ5" s="69"/>
      <c r="CK5" s="69"/>
      <c r="CL5" s="69"/>
      <c r="CM5" s="69"/>
      <c r="CN5" s="69"/>
      <c r="CO5" s="69"/>
      <c r="CP5" s="69"/>
      <c r="CQ5" s="69"/>
      <c r="CR5" s="69"/>
      <c r="CS5" s="69"/>
    </row>
    <row r="6" spans="1:97" customFormat="1" ht="15.75">
      <c r="A6" s="8"/>
      <c r="B6" s="9"/>
      <c r="C6" s="15" t="s">
        <v>42</v>
      </c>
      <c r="D6" s="207" t="s">
        <v>46</v>
      </c>
      <c r="E6" s="208"/>
      <c r="F6" s="208"/>
      <c r="G6" s="209"/>
      <c r="H6" s="104"/>
      <c r="I6" s="112"/>
      <c r="J6" s="69"/>
      <c r="K6" s="69"/>
      <c r="L6" s="69"/>
      <c r="M6" s="69"/>
      <c r="N6" s="69"/>
      <c r="O6" s="69"/>
      <c r="P6" s="69"/>
      <c r="Q6" s="69"/>
      <c r="R6" s="69"/>
      <c r="S6" s="69"/>
      <c r="T6" s="69"/>
      <c r="U6" s="69"/>
      <c r="V6" s="69"/>
      <c r="W6" s="69"/>
      <c r="X6" s="69"/>
      <c r="Y6" s="69"/>
      <c r="Z6" s="69"/>
      <c r="AA6" s="69"/>
      <c r="AB6" s="69"/>
      <c r="AC6" s="69"/>
      <c r="AD6" s="69"/>
      <c r="AE6" s="69"/>
      <c r="AF6" s="69"/>
      <c r="AG6" s="69"/>
      <c r="AH6" s="69"/>
      <c r="AI6" s="69"/>
      <c r="AJ6" s="69"/>
      <c r="AK6" s="69"/>
      <c r="AL6" s="69"/>
      <c r="AM6" s="69"/>
      <c r="AN6" s="69"/>
      <c r="AO6" s="69"/>
      <c r="AP6" s="69"/>
      <c r="AQ6" s="69"/>
      <c r="AR6" s="69"/>
      <c r="AS6" s="69"/>
      <c r="AT6" s="69"/>
      <c r="AU6" s="69"/>
      <c r="AV6" s="69"/>
      <c r="AW6" s="69"/>
      <c r="AX6" s="69"/>
      <c r="AY6" s="69"/>
      <c r="AZ6" s="69"/>
      <c r="BA6" s="69"/>
      <c r="BB6" s="69"/>
      <c r="BC6" s="69"/>
      <c r="BD6" s="69"/>
      <c r="BE6" s="69"/>
      <c r="BF6" s="69"/>
      <c r="BG6" s="69"/>
      <c r="BH6" s="69"/>
      <c r="BI6" s="69"/>
      <c r="BJ6" s="69"/>
      <c r="BK6" s="69"/>
      <c r="BL6" s="69"/>
      <c r="BM6" s="69"/>
      <c r="BN6" s="69"/>
      <c r="BO6" s="69"/>
      <c r="BP6" s="69"/>
      <c r="BQ6" s="69"/>
      <c r="BR6" s="69"/>
      <c r="BS6" s="69"/>
      <c r="BT6" s="69"/>
      <c r="BU6" s="69"/>
      <c r="BV6" s="69"/>
      <c r="BW6" s="69"/>
      <c r="BX6" s="69"/>
      <c r="BY6" s="69"/>
      <c r="BZ6" s="69"/>
      <c r="CA6" s="69"/>
      <c r="CB6" s="69"/>
      <c r="CC6" s="69"/>
      <c r="CD6" s="69"/>
      <c r="CE6" s="69"/>
      <c r="CF6" s="69"/>
      <c r="CG6" s="69"/>
      <c r="CH6" s="69"/>
      <c r="CI6" s="69"/>
      <c r="CJ6" s="69"/>
      <c r="CK6" s="69"/>
      <c r="CL6" s="69"/>
      <c r="CM6" s="69"/>
      <c r="CN6" s="69"/>
      <c r="CO6" s="69"/>
      <c r="CP6" s="69"/>
      <c r="CQ6" s="69"/>
      <c r="CR6" s="69"/>
      <c r="CS6" s="69"/>
    </row>
    <row r="7" spans="1:97" customFormat="1" ht="15.75">
      <c r="A7" s="8"/>
      <c r="B7" s="9"/>
      <c r="C7" s="44"/>
      <c r="D7" s="207" t="s">
        <v>18</v>
      </c>
      <c r="E7" s="208"/>
      <c r="F7" s="208"/>
      <c r="G7" s="209"/>
      <c r="H7" s="104"/>
      <c r="I7" s="112"/>
      <c r="J7" s="69"/>
      <c r="K7" s="69"/>
      <c r="L7" s="69"/>
      <c r="M7" s="69"/>
      <c r="N7" s="69"/>
      <c r="O7" s="69"/>
      <c r="P7" s="69"/>
      <c r="Q7" s="69"/>
      <c r="R7" s="69"/>
      <c r="S7" s="69"/>
      <c r="T7" s="69"/>
      <c r="U7" s="69"/>
      <c r="V7" s="69"/>
      <c r="W7" s="69"/>
      <c r="X7" s="69"/>
      <c r="Y7" s="69"/>
      <c r="Z7" s="69"/>
      <c r="AA7" s="69"/>
      <c r="AB7" s="69"/>
      <c r="AC7" s="69"/>
      <c r="AD7" s="69"/>
      <c r="AE7" s="69"/>
      <c r="AF7" s="69"/>
      <c r="AG7" s="69"/>
      <c r="AH7" s="69"/>
      <c r="AI7" s="69"/>
      <c r="AJ7" s="69"/>
      <c r="AK7" s="69"/>
      <c r="AL7" s="69"/>
      <c r="AM7" s="69"/>
      <c r="AN7" s="69"/>
      <c r="AO7" s="69"/>
      <c r="AP7" s="69"/>
      <c r="AQ7" s="69"/>
      <c r="AR7" s="69"/>
      <c r="AS7" s="69"/>
      <c r="AT7" s="69"/>
      <c r="AU7" s="69"/>
      <c r="AV7" s="69"/>
      <c r="AW7" s="69"/>
      <c r="AX7" s="69"/>
      <c r="AY7" s="69"/>
      <c r="AZ7" s="69"/>
      <c r="BA7" s="69"/>
      <c r="BB7" s="69"/>
      <c r="BC7" s="69"/>
      <c r="BD7" s="69"/>
      <c r="BE7" s="69"/>
      <c r="BF7" s="69"/>
      <c r="BG7" s="69"/>
      <c r="BH7" s="69"/>
      <c r="BI7" s="69"/>
      <c r="BJ7" s="69"/>
      <c r="BK7" s="69"/>
      <c r="BL7" s="69"/>
      <c r="BM7" s="69"/>
      <c r="BN7" s="69"/>
      <c r="BO7" s="69"/>
      <c r="BP7" s="69"/>
      <c r="BQ7" s="69"/>
      <c r="BR7" s="69"/>
      <c r="BS7" s="69"/>
      <c r="BT7" s="69"/>
      <c r="BU7" s="69"/>
      <c r="BV7" s="69"/>
      <c r="BW7" s="69"/>
      <c r="BX7" s="69"/>
      <c r="BY7" s="69"/>
      <c r="BZ7" s="69"/>
      <c r="CA7" s="69"/>
      <c r="CB7" s="69"/>
      <c r="CC7" s="69"/>
      <c r="CD7" s="69"/>
      <c r="CE7" s="69"/>
      <c r="CF7" s="69"/>
      <c r="CG7" s="69"/>
      <c r="CH7" s="69"/>
      <c r="CI7" s="69"/>
      <c r="CJ7" s="69"/>
      <c r="CK7" s="69"/>
      <c r="CL7" s="69"/>
      <c r="CM7" s="69"/>
      <c r="CN7" s="69"/>
      <c r="CO7" s="69"/>
      <c r="CP7" s="69"/>
      <c r="CQ7" s="69"/>
      <c r="CR7" s="69"/>
      <c r="CS7" s="69"/>
    </row>
    <row r="8" spans="1:97" customFormat="1" ht="15.75">
      <c r="A8" s="16"/>
      <c r="B8" s="17"/>
      <c r="C8" s="18"/>
      <c r="D8" s="210" t="s">
        <v>35</v>
      </c>
      <c r="E8" s="211"/>
      <c r="F8" s="211"/>
      <c r="G8" s="212"/>
      <c r="H8" s="113"/>
      <c r="I8" s="114"/>
      <c r="J8" s="69"/>
      <c r="K8" s="69"/>
      <c r="L8" s="69"/>
      <c r="M8" s="69"/>
      <c r="N8" s="69"/>
      <c r="O8" s="69"/>
      <c r="P8" s="69"/>
      <c r="Q8" s="69"/>
      <c r="R8" s="69"/>
      <c r="S8" s="69"/>
      <c r="T8" s="69"/>
      <c r="U8" s="69"/>
      <c r="V8" s="69"/>
      <c r="W8" s="69"/>
      <c r="X8" s="69"/>
      <c r="Y8" s="69"/>
      <c r="Z8" s="69"/>
      <c r="AA8" s="69"/>
      <c r="AB8" s="69"/>
      <c r="AC8" s="69"/>
      <c r="AD8" s="69"/>
      <c r="AE8" s="69"/>
      <c r="AF8" s="69"/>
      <c r="AG8" s="69"/>
      <c r="AH8" s="69"/>
      <c r="AI8" s="69"/>
      <c r="AJ8" s="69"/>
      <c r="AK8" s="69"/>
      <c r="AL8" s="69"/>
      <c r="AM8" s="69"/>
      <c r="AN8" s="69"/>
      <c r="AO8" s="69"/>
      <c r="AP8" s="69"/>
      <c r="AQ8" s="69"/>
      <c r="AR8" s="69"/>
      <c r="AS8" s="69"/>
      <c r="AT8" s="69"/>
      <c r="AU8" s="69"/>
      <c r="AV8" s="69"/>
      <c r="AW8" s="69"/>
      <c r="AX8" s="69"/>
      <c r="AY8" s="69"/>
      <c r="AZ8" s="69"/>
      <c r="BA8" s="69"/>
      <c r="BB8" s="69"/>
      <c r="BC8" s="69"/>
      <c r="BD8" s="69"/>
      <c r="BE8" s="69"/>
      <c r="BF8" s="69"/>
      <c r="BG8" s="69"/>
      <c r="BH8" s="69"/>
      <c r="BI8" s="69"/>
      <c r="BJ8" s="69"/>
      <c r="BK8" s="69"/>
      <c r="BL8" s="69"/>
      <c r="BM8" s="69"/>
      <c r="BN8" s="69"/>
      <c r="BO8" s="69"/>
      <c r="BP8" s="69"/>
      <c r="BQ8" s="69"/>
      <c r="BR8" s="69"/>
      <c r="BS8" s="69"/>
      <c r="BT8" s="69"/>
      <c r="BU8" s="69"/>
      <c r="BV8" s="69"/>
      <c r="BW8" s="69"/>
      <c r="BX8" s="69"/>
      <c r="BY8" s="69"/>
      <c r="BZ8" s="69"/>
      <c r="CA8" s="69"/>
      <c r="CB8" s="69"/>
      <c r="CC8" s="69"/>
      <c r="CD8" s="69"/>
      <c r="CE8" s="69"/>
      <c r="CF8" s="69"/>
      <c r="CG8" s="69"/>
      <c r="CH8" s="69"/>
      <c r="CI8" s="69"/>
      <c r="CJ8" s="69"/>
      <c r="CK8" s="69"/>
      <c r="CL8" s="69"/>
      <c r="CM8" s="69"/>
      <c r="CN8" s="69"/>
      <c r="CO8" s="69"/>
      <c r="CP8" s="69"/>
      <c r="CQ8" s="69"/>
      <c r="CR8" s="69"/>
      <c r="CS8" s="69"/>
    </row>
    <row r="9" spans="1:97" ht="18" customHeight="1">
      <c r="A9" s="213" t="s">
        <v>539</v>
      </c>
      <c r="B9" s="214"/>
      <c r="C9" s="214"/>
      <c r="D9" s="215"/>
      <c r="E9" s="215"/>
      <c r="F9" s="215"/>
      <c r="G9" s="215"/>
      <c r="H9" s="215"/>
      <c r="I9" s="215"/>
    </row>
    <row r="10" spans="1:97" ht="18">
      <c r="A10" s="220" t="s">
        <v>12</v>
      </c>
      <c r="B10" s="222" t="s">
        <v>13</v>
      </c>
      <c r="C10" s="224" t="s">
        <v>14</v>
      </c>
      <c r="D10" s="220" t="s">
        <v>6</v>
      </c>
      <c r="E10" s="225" t="s">
        <v>15</v>
      </c>
      <c r="F10" s="216" t="s">
        <v>16</v>
      </c>
      <c r="G10" s="217"/>
      <c r="H10" s="217"/>
      <c r="I10" s="218"/>
    </row>
    <row r="11" spans="1:97" ht="18">
      <c r="A11" s="221"/>
      <c r="B11" s="223"/>
      <c r="C11" s="222"/>
      <c r="D11" s="221"/>
      <c r="E11" s="226"/>
      <c r="F11" s="62" t="s">
        <v>17</v>
      </c>
      <c r="G11" s="115" t="s">
        <v>36</v>
      </c>
      <c r="H11" s="115" t="s">
        <v>4</v>
      </c>
      <c r="I11" s="116" t="s">
        <v>4</v>
      </c>
    </row>
    <row r="12" spans="1:97" s="63" customFormat="1" ht="18.75">
      <c r="A12" s="121" t="str">
        <f>'MEMÓRIA RESUMIDA'!A12</f>
        <v>1.1</v>
      </c>
      <c r="B12" s="121"/>
      <c r="C12" s="122" t="str">
        <f>'MEMÓRIA RESUMIDA'!C12</f>
        <v>SERVIÇOS PRELIMINARES</v>
      </c>
      <c r="D12" s="121"/>
      <c r="E12" s="121"/>
      <c r="F12" s="121"/>
      <c r="G12" s="123"/>
      <c r="H12" s="124"/>
      <c r="I12" s="124"/>
    </row>
    <row r="13" spans="1:97" ht="30">
      <c r="A13" s="49" t="str">
        <f>'MEMÓRIA RESUMIDA'!A13</f>
        <v>1.1.1.</v>
      </c>
      <c r="B13" s="49" t="str">
        <f>'MEMÓRIA RESUMIDA'!B13</f>
        <v>02.020.0001-0</v>
      </c>
      <c r="C13" s="45" t="str">
        <f>'MEMÓRIA RESUMIDA'!C13</f>
        <v>Placa de identificacao de obra publica,inclusive pintura e suportes de madeira.fornecimento e colocacao (obs.:3% - desgaste de ferramentas e epi).</v>
      </c>
      <c r="D13" s="49" t="str">
        <f>'MEMÓRIA RESUMIDA'!D13</f>
        <v>M2</v>
      </c>
      <c r="E13" s="60">
        <f>'MEMÓRIA RESUMIDA'!E13</f>
        <v>6</v>
      </c>
      <c r="F13" s="49">
        <f>'MEMÓRIA RESUMIDA'!F13</f>
        <v>383.21</v>
      </c>
      <c r="G13" s="118">
        <f>TRUNC((F13*1.2338),2)</f>
        <v>472.8</v>
      </c>
      <c r="H13" s="118">
        <f>TRUNC((E13*F13),2)</f>
        <v>2299.2600000000002</v>
      </c>
      <c r="I13" s="118">
        <f>TRUNC((E13*G13),2)</f>
        <v>2836.8</v>
      </c>
      <c r="J13" s="48"/>
      <c r="L13" s="84"/>
    </row>
    <row r="14" spans="1:97" ht="15.75">
      <c r="A14" s="49" t="str">
        <f>'MEMÓRIA RESUMIDA'!A14</f>
        <v>1.1.2.</v>
      </c>
      <c r="B14" s="49" t="str">
        <f>'MEMÓRIA RESUMIDA'!B14</f>
        <v>09.005.0009-0</v>
      </c>
      <c r="C14" s="45" t="str">
        <f>'MEMÓRIA RESUMIDA'!C14</f>
        <v>Retirada de grama em placas inclusive granulada e areia</v>
      </c>
      <c r="D14" s="49" t="str">
        <f>'MEMÓRIA RESUMIDA'!D14</f>
        <v>M2</v>
      </c>
      <c r="E14" s="60">
        <f>'MEMÓRIA RESUMIDA'!E14</f>
        <v>421</v>
      </c>
      <c r="F14" s="49">
        <f>'MEMÓRIA RESUMIDA'!F14</f>
        <v>1.3</v>
      </c>
      <c r="G14" s="118">
        <f t="shared" ref="G14:G23" si="0">TRUNC((F14*1.2338),2)</f>
        <v>1.6</v>
      </c>
      <c r="H14" s="118">
        <f t="shared" ref="H14:H23" si="1">TRUNC((E14*F14),2)</f>
        <v>547.29999999999995</v>
      </c>
      <c r="I14" s="118">
        <f t="shared" ref="I14:I23" si="2">TRUNC((E14*G14),2)</f>
        <v>673.6</v>
      </c>
      <c r="J14" s="48"/>
      <c r="L14" s="68"/>
    </row>
    <row r="15" spans="1:97" ht="15.75">
      <c r="A15" s="49" t="str">
        <f>'MEMÓRIA RESUMIDA'!A15</f>
        <v>1.1.3.</v>
      </c>
      <c r="B15" s="49" t="str">
        <f>'MEMÓRIA RESUMIDA'!B15</f>
        <v>05.001.0147-5</v>
      </c>
      <c r="C15" s="45" t="str">
        <f>'MEMÓRIA RESUMIDA'!C15</f>
        <v>Arrancamento cuidadosa de telas do alambrado para reaproveitamento.</v>
      </c>
      <c r="D15" s="49" t="str">
        <f>'MEMÓRIA RESUMIDA'!D15</f>
        <v>M2</v>
      </c>
      <c r="E15" s="60">
        <f>'MEMÓRIA RESUMIDA'!E15</f>
        <v>343</v>
      </c>
      <c r="F15" s="49">
        <f>'MEMÓRIA RESUMIDA'!F15</f>
        <v>3.31</v>
      </c>
      <c r="G15" s="118">
        <f t="shared" si="0"/>
        <v>4.08</v>
      </c>
      <c r="H15" s="118">
        <f t="shared" si="1"/>
        <v>1135.33</v>
      </c>
      <c r="I15" s="118">
        <f t="shared" si="2"/>
        <v>1399.44</v>
      </c>
      <c r="J15" s="48"/>
      <c r="L15" s="68"/>
    </row>
    <row r="16" spans="1:97" ht="30">
      <c r="A16" s="49" t="str">
        <f>'MEMÓRIA RESUMIDA'!A16</f>
        <v>1.1.4.</v>
      </c>
      <c r="B16" s="49" t="str">
        <f>'MEMÓRIA RESUMIDA'!B16</f>
        <v>05.001.0138-0</v>
      </c>
      <c r="C16" s="45" t="str">
        <f>'MEMÓRIA RESUMIDA'!C16</f>
        <v>Arrancamento de tubulacao de ferro galvanizado,sem escavacao ou rasgo em alvenaria (obs.:3%-desgaste de ferramentas e epi).</v>
      </c>
      <c r="D16" s="49" t="str">
        <f>'MEMÓRIA RESUMIDA'!D16</f>
        <v>M</v>
      </c>
      <c r="E16" s="60">
        <f>'MEMÓRIA RESUMIDA'!E16</f>
        <v>25.7</v>
      </c>
      <c r="F16" s="49">
        <f>'MEMÓRIA RESUMIDA'!F16</f>
        <v>5.88</v>
      </c>
      <c r="G16" s="118">
        <f t="shared" si="0"/>
        <v>7.25</v>
      </c>
      <c r="H16" s="118">
        <f t="shared" si="1"/>
        <v>151.11000000000001</v>
      </c>
      <c r="I16" s="118">
        <f t="shared" si="2"/>
        <v>186.32</v>
      </c>
      <c r="J16" s="48"/>
      <c r="L16" s="68"/>
    </row>
    <row r="17" spans="1:12" ht="30">
      <c r="A17" s="49" t="str">
        <f>'MEMÓRIA RESUMIDA'!A17</f>
        <v>1.1.5.</v>
      </c>
      <c r="B17" s="49" t="str">
        <f>'MEMÓRIA RESUMIDA'!B17</f>
        <v>05.001.0138-0</v>
      </c>
      <c r="C17" s="45" t="str">
        <f>'MEMÓRIA RESUMIDA'!C17</f>
        <v>Arrancamento de tubulacao de ferro galvanizado,sem escavacao ou rasgo em alvenaria (obs.:3%-desgaste de ferramentas e epi). (traves)</v>
      </c>
      <c r="D17" s="49" t="str">
        <f>'MEMÓRIA RESUMIDA'!D17</f>
        <v>M</v>
      </c>
      <c r="E17" s="60">
        <f>'MEMÓRIA RESUMIDA'!E17</f>
        <v>18</v>
      </c>
      <c r="F17" s="49">
        <f>'MEMÓRIA RESUMIDA'!F17</f>
        <v>2.2799999999999998</v>
      </c>
      <c r="G17" s="118">
        <f t="shared" si="0"/>
        <v>2.81</v>
      </c>
      <c r="H17" s="118">
        <f t="shared" si="1"/>
        <v>41.04</v>
      </c>
      <c r="I17" s="118">
        <f t="shared" si="2"/>
        <v>50.58</v>
      </c>
      <c r="J17" s="48"/>
      <c r="L17" s="68"/>
    </row>
    <row r="18" spans="1:12" ht="45">
      <c r="A18" s="49" t="str">
        <f>'MEMÓRIA RESUMIDA'!A18</f>
        <v>1.1.6.</v>
      </c>
      <c r="B18" s="148" t="str">
        <f>'MEMÓRIA RESUMIDA'!B18</f>
        <v>05.026.0004-0 + 05.027.0011-0</v>
      </c>
      <c r="C18" s="45" t="str">
        <f>'MEMÓRIA RESUMIDA'!C18</f>
        <v>Corte com macarico manual de oxiacetileno,em chapa de aco na espessura de 1/2" inclusive solda  para redução de altura (readequação da altura dos postes de iluminação da lateral voltada para pista)</v>
      </c>
      <c r="D18" s="49" t="str">
        <f>'MEMÓRIA RESUMIDA'!D18</f>
        <v>un</v>
      </c>
      <c r="E18" s="60">
        <f>'MEMÓRIA RESUMIDA'!E18</f>
        <v>2</v>
      </c>
      <c r="F18" s="49">
        <f>'MEMÓRIA RESUMIDA'!F18</f>
        <v>63.66</v>
      </c>
      <c r="G18" s="118">
        <f t="shared" si="0"/>
        <v>78.540000000000006</v>
      </c>
      <c r="H18" s="118">
        <f t="shared" si="1"/>
        <v>127.32</v>
      </c>
      <c r="I18" s="118">
        <f t="shared" si="2"/>
        <v>157.08000000000001</v>
      </c>
      <c r="J18" s="48"/>
      <c r="L18" s="68"/>
    </row>
    <row r="19" spans="1:12" ht="15.75">
      <c r="A19" s="49" t="str">
        <f>'MEMÓRIA RESUMIDA'!A19</f>
        <v>1.1.7.</v>
      </c>
      <c r="B19" s="49" t="str">
        <f>'MEMÓRIA RESUMIDA'!B19</f>
        <v>21.004.0140-0</v>
      </c>
      <c r="C19" s="45" t="str">
        <f>'MEMÓRIA RESUMIDA'!C19</f>
        <v>Retirada de luminaria em altura de 4,00 a 9,00m</v>
      </c>
      <c r="D19" s="49" t="str">
        <f>'MEMÓRIA RESUMIDA'!D19</f>
        <v>UN</v>
      </c>
      <c r="E19" s="60">
        <f>'MEMÓRIA RESUMIDA'!E19</f>
        <v>4</v>
      </c>
      <c r="F19" s="49">
        <f>'MEMÓRIA RESUMIDA'!F19</f>
        <v>6.6</v>
      </c>
      <c r="G19" s="118">
        <f t="shared" si="0"/>
        <v>8.14</v>
      </c>
      <c r="H19" s="118">
        <f t="shared" si="1"/>
        <v>26.4</v>
      </c>
      <c r="I19" s="118">
        <f t="shared" si="2"/>
        <v>32.56</v>
      </c>
      <c r="J19" s="48"/>
      <c r="L19" s="68"/>
    </row>
    <row r="20" spans="1:12" ht="30">
      <c r="A20" s="49" t="str">
        <f>'MEMÓRIA RESUMIDA'!A20</f>
        <v>1.1.8.</v>
      </c>
      <c r="B20" s="49" t="str">
        <f>'MEMÓRIA RESUMIDA'!B20</f>
        <v>COMPOISÇÃO</v>
      </c>
      <c r="C20" s="45" t="str">
        <f>'MEMÓRIA RESUMIDA'!C20</f>
        <v>Retirada de tela em polietileno de alta densidade,100% virgem,com malha de (5x5)cm,fio de 2,5mm,com resistencia de 350kg/m2.</v>
      </c>
      <c r="D20" s="49" t="str">
        <f>'MEMÓRIA RESUMIDA'!D20</f>
        <v>M2</v>
      </c>
      <c r="E20" s="60">
        <f>'MEMÓRIA RESUMIDA'!E20</f>
        <v>466.4</v>
      </c>
      <c r="F20" s="49">
        <f>'MEMÓRIA RESUMIDA'!F20</f>
        <v>3.31</v>
      </c>
      <c r="G20" s="118">
        <f t="shared" si="0"/>
        <v>4.08</v>
      </c>
      <c r="H20" s="118">
        <f t="shared" si="1"/>
        <v>1543.78</v>
      </c>
      <c r="I20" s="118">
        <f t="shared" si="2"/>
        <v>1902.91</v>
      </c>
      <c r="J20" s="48"/>
      <c r="L20" s="68"/>
    </row>
    <row r="21" spans="1:12" ht="30">
      <c r="A21" s="49" t="str">
        <f>'MEMÓRIA RESUMIDA'!A21</f>
        <v>1.1.9.</v>
      </c>
      <c r="B21" s="49" t="str">
        <f>'MEMÓRIA RESUMIDA'!B21</f>
        <v>05.002.0001-0</v>
      </c>
      <c r="C21" s="45" t="str">
        <f>'MEMÓRIA RESUMIDA'!C21</f>
        <v>Demolicao,com equipamento de ar comprimido,de pisos ou pavim entos de concreto simples,inclusive empilhamento lateral den tro do canteiro de servico</v>
      </c>
      <c r="D21" s="49" t="str">
        <f>'MEMÓRIA RESUMIDA'!D21</f>
        <v>M3</v>
      </c>
      <c r="E21" s="60">
        <f>'MEMÓRIA RESUMIDA'!E21</f>
        <v>5.25</v>
      </c>
      <c r="F21" s="49">
        <f>'MEMÓRIA RESUMIDA'!F21</f>
        <v>145.65</v>
      </c>
      <c r="G21" s="118">
        <f t="shared" si="0"/>
        <v>179.7</v>
      </c>
      <c r="H21" s="118">
        <f t="shared" si="1"/>
        <v>764.66</v>
      </c>
      <c r="I21" s="118">
        <f t="shared" si="2"/>
        <v>943.42</v>
      </c>
      <c r="J21" s="48"/>
      <c r="L21" s="68"/>
    </row>
    <row r="22" spans="1:12" ht="30">
      <c r="A22" s="49" t="str">
        <f>'MEMÓRIA RESUMIDA'!A22</f>
        <v>1.1.10</v>
      </c>
      <c r="B22" s="49" t="str">
        <f>'MEMÓRIA RESUMIDA'!B22</f>
        <v>05.001.0142-0</v>
      </c>
      <c r="C22" s="45" t="str">
        <f>'MEMÓRIA RESUMIDA'!C22</f>
        <v>Arrancamento de meios-fios,de granito ou concreto,retos ou c urvos,inclusive empilhamento lateral dentro do canteiro de s ervico</v>
      </c>
      <c r="D22" s="49" t="str">
        <f>'MEMÓRIA RESUMIDA'!D22</f>
        <v>M</v>
      </c>
      <c r="E22" s="60">
        <f>'MEMÓRIA RESUMIDA'!E22</f>
        <v>15</v>
      </c>
      <c r="F22" s="49">
        <f>'MEMÓRIA RESUMIDA'!F22</f>
        <v>18.75</v>
      </c>
      <c r="G22" s="118">
        <f t="shared" si="0"/>
        <v>23.13</v>
      </c>
      <c r="H22" s="118">
        <f t="shared" si="1"/>
        <v>281.25</v>
      </c>
      <c r="I22" s="118">
        <f t="shared" si="2"/>
        <v>346.95</v>
      </c>
      <c r="J22" s="48"/>
      <c r="L22" s="68"/>
    </row>
    <row r="23" spans="1:12" ht="15.75">
      <c r="A23" s="49" t="str">
        <f>'MEMÓRIA RESUMIDA'!A23</f>
        <v>1.1.11</v>
      </c>
      <c r="B23" s="49" t="str">
        <f>'MEMÓRIA RESUMIDA'!B23</f>
        <v>05.001.0007-0</v>
      </c>
      <c r="C23" s="45" t="str">
        <f>'MEMÓRIA RESUMIDA'!C23</f>
        <v>Demolicao de revestimento em argamassa de cal e areia ou cim ento e saibro</v>
      </c>
      <c r="D23" s="49" t="str">
        <f>'MEMÓRIA RESUMIDA'!D23</f>
        <v>M2</v>
      </c>
      <c r="E23" s="60">
        <f>'MEMÓRIA RESUMIDA'!E23</f>
        <v>10</v>
      </c>
      <c r="F23" s="49">
        <f>'MEMÓRIA RESUMIDA'!F23</f>
        <v>8.52</v>
      </c>
      <c r="G23" s="118">
        <f t="shared" si="0"/>
        <v>10.51</v>
      </c>
      <c r="H23" s="118">
        <f t="shared" si="1"/>
        <v>85.2</v>
      </c>
      <c r="I23" s="118">
        <f t="shared" si="2"/>
        <v>105.1</v>
      </c>
      <c r="J23" s="48"/>
      <c r="L23" s="68"/>
    </row>
    <row r="24" spans="1:12" s="61" customFormat="1" ht="15.75">
      <c r="A24" s="56" t="str">
        <f>'MEMÓRIA RESUMIDA'!A24</f>
        <v>X</v>
      </c>
      <c r="B24" s="56"/>
      <c r="C24" s="106"/>
      <c r="D24" s="56"/>
      <c r="E24" s="132"/>
      <c r="F24" s="56" t="str">
        <f>'MEMÓRIA RESUMIDA'!F24</f>
        <v>SUB-TOTAL 1.1</v>
      </c>
      <c r="G24" s="117"/>
      <c r="H24" s="117">
        <f>SUM(H13:H23)</f>
        <v>7002.6499999999987</v>
      </c>
      <c r="I24" s="117">
        <f>SUM(I13:I23)</f>
        <v>8634.76</v>
      </c>
      <c r="J24" s="107"/>
      <c r="L24" s="75"/>
    </row>
    <row r="25" spans="1:12" ht="15.75">
      <c r="A25" s="121" t="str">
        <f>'MEMÓRIA RESUMIDA'!A25</f>
        <v>1.2.</v>
      </c>
      <c r="B25" s="121"/>
      <c r="C25" s="122" t="str">
        <f>'MEMÓRIA RESUMIDA'!C25</f>
        <v>CONCRETO ARMADO</v>
      </c>
      <c r="D25" s="121"/>
      <c r="E25" s="133"/>
      <c r="F25" s="121"/>
      <c r="G25" s="123"/>
      <c r="H25" s="125"/>
      <c r="I25" s="125"/>
      <c r="J25" s="48"/>
      <c r="L25" s="68"/>
    </row>
    <row r="26" spans="1:12" ht="39.75" customHeight="1">
      <c r="A26" s="49" t="str">
        <f>'MEMÓRIA RESUMIDA'!A26</f>
        <v>1.2.1.</v>
      </c>
      <c r="B26" s="49" t="str">
        <f>'MEMÓRIA RESUMIDA'!B26</f>
        <v>SO00000095952</v>
      </c>
      <c r="C26" s="45" t="str">
        <f>'MEMÓRIA RESUMIDA'!C26</f>
        <v>Execução de estruturas de concreto armado convencional, preparo em betoneira,para edificação habitacional multifamiliar (prédio), fck = 25 mpa. Af_01/2017, inclusive formas (muro do gol divisa com particular)</v>
      </c>
      <c r="D26" s="49" t="str">
        <f>'MEMÓRIA RESUMIDA'!D26</f>
        <v>M3</v>
      </c>
      <c r="E26" s="60">
        <f>'MEMÓRIA RESUMIDA'!E26</f>
        <v>0.95</v>
      </c>
      <c r="F26" s="49">
        <f>'MEMÓRIA RESUMIDA'!F26</f>
        <v>2051.54</v>
      </c>
      <c r="G26" s="118">
        <f>TRUNC((F26*1.2338),2)</f>
        <v>2531.19</v>
      </c>
      <c r="H26" s="118">
        <f>TRUNC((E26*F26),2)</f>
        <v>1948.96</v>
      </c>
      <c r="I26" s="118">
        <f>TRUNC((E26*G26),2)</f>
        <v>2404.63</v>
      </c>
      <c r="J26" s="48"/>
      <c r="L26" s="68"/>
    </row>
    <row r="27" spans="1:12" s="61" customFormat="1" ht="38.25" customHeight="1">
      <c r="A27" s="49" t="str">
        <f>'MEMÓRIA RESUMIDA'!A27</f>
        <v>1.2.2.</v>
      </c>
      <c r="B27" s="49" t="str">
        <f>'MEMÓRIA RESUMIDA'!B27</f>
        <v>SO00000101176</v>
      </c>
      <c r="C27" s="45" t="str">
        <f>'MEMÓRIA RESUMIDA'!C27</f>
        <v>Estaca broca de concreto, preparo em betoneira, diâmetro de 30cm, inclusive escavação manual com trado concha, inteiramente armada. Af_05/2020 (trados)</v>
      </c>
      <c r="D27" s="49" t="str">
        <f>'MEMÓRIA RESUMIDA'!D27</f>
        <v>M</v>
      </c>
      <c r="E27" s="60">
        <f>'MEMÓRIA RESUMIDA'!E27</f>
        <v>4</v>
      </c>
      <c r="F27" s="49">
        <f>'MEMÓRIA RESUMIDA'!F27</f>
        <v>151.94999999999999</v>
      </c>
      <c r="G27" s="118">
        <f>TRUNC((F27*1.2338),2)</f>
        <v>187.47</v>
      </c>
      <c r="H27" s="118">
        <f>TRUNC((E27*F27),2)</f>
        <v>607.79999999999995</v>
      </c>
      <c r="I27" s="118">
        <f>TRUNC((E27*G27),2)</f>
        <v>749.88</v>
      </c>
      <c r="J27" s="48"/>
      <c r="K27" s="42"/>
      <c r="L27" s="75"/>
    </row>
    <row r="28" spans="1:12" s="61" customFormat="1" ht="15.75">
      <c r="A28" s="56" t="str">
        <f>'MEMÓRIA RESUMIDA'!A28</f>
        <v>X</v>
      </c>
      <c r="B28" s="56"/>
      <c r="C28" s="106"/>
      <c r="D28" s="56"/>
      <c r="E28" s="132"/>
      <c r="F28" s="56" t="str">
        <f>'MEMÓRIA RESUMIDA'!F28</f>
        <v>SUB-TOTAL 1.2</v>
      </c>
      <c r="G28" s="117"/>
      <c r="H28" s="102">
        <f>SUM(H26:H27)</f>
        <v>2556.7600000000002</v>
      </c>
      <c r="I28" s="102">
        <f>SUM(I26:I27)</f>
        <v>3154.51</v>
      </c>
      <c r="J28" s="107"/>
      <c r="L28" s="75"/>
    </row>
    <row r="29" spans="1:12" s="61" customFormat="1" ht="15.75">
      <c r="A29" s="121" t="str">
        <f>'MEMÓRIA RESUMIDA'!A29</f>
        <v>1.3.</v>
      </c>
      <c r="B29" s="121"/>
      <c r="C29" s="122" t="str">
        <f>'MEMÓRIA RESUMIDA'!C29</f>
        <v>ALVENARIA E REVESTIMENTOS</v>
      </c>
      <c r="D29" s="121" t="str">
        <f>'MEMÓRIA RESUMIDA'!D29</f>
        <v>-</v>
      </c>
      <c r="E29" s="133"/>
      <c r="F29" s="121"/>
      <c r="G29" s="123"/>
      <c r="H29" s="125"/>
      <c r="I29" s="125"/>
      <c r="J29" s="107"/>
      <c r="L29" s="75"/>
    </row>
    <row r="30" spans="1:12" s="47" customFormat="1" ht="45">
      <c r="A30" s="49" t="str">
        <f>'MEMÓRIA RESUMIDA'!A30</f>
        <v>1.3.1.</v>
      </c>
      <c r="B30" s="49" t="str">
        <f>'MEMÓRIA RESUMIDA'!B30</f>
        <v>So00000087475</v>
      </c>
      <c r="C30" s="45" t="str">
        <f>'MEMÓRIA RESUMIDA'!C30</f>
        <v>Alvenaria de vedação de blocos cerâmicos furados na vertical de 19x19x39cm (espessura 19cm) de paredes com área líquida menor que 6m² sem vãos e argamassa de assentamento com preparo em betoneira. Af_06/2014</v>
      </c>
      <c r="D30" s="49" t="str">
        <f>'MEMÓRIA RESUMIDA'!D30</f>
        <v>M2</v>
      </c>
      <c r="E30" s="60">
        <f>'MEMÓRIA RESUMIDA'!E30</f>
        <v>9.6999999999999993</v>
      </c>
      <c r="F30" s="49">
        <f>'MEMÓRIA RESUMIDA'!F30</f>
        <v>99.72</v>
      </c>
      <c r="G30" s="118">
        <f>TRUNC((F30*1.2338),2)</f>
        <v>123.03</v>
      </c>
      <c r="H30" s="118">
        <f>TRUNC((E30*F30),2)</f>
        <v>967.28</v>
      </c>
      <c r="I30" s="118">
        <f>TRUNC((E30*G30),2)</f>
        <v>1193.3900000000001</v>
      </c>
      <c r="J30" s="48"/>
      <c r="K30" s="42"/>
      <c r="L30" s="76"/>
    </row>
    <row r="31" spans="1:12" s="63" customFormat="1" ht="30">
      <c r="A31" s="49" t="str">
        <f>'MEMÓRIA RESUMIDA'!A31</f>
        <v>1.3.2.</v>
      </c>
      <c r="B31" s="49" t="str">
        <f>'MEMÓRIA RESUMIDA'!B31</f>
        <v>SO00000087794</v>
      </c>
      <c r="C31" s="45" t="str">
        <f>'MEMÓRIA RESUMIDA'!C31</f>
        <v>Emboço ou massa única em argamassa traço 1:2:8, preparo manual, aplicada manualmente em panos cegos de fachada (sem presença de vãos), espessura de 25 mm. Af_06/2014</v>
      </c>
      <c r="D31" s="49" t="str">
        <f>'MEMÓRIA RESUMIDA'!D31</f>
        <v>M2</v>
      </c>
      <c r="E31" s="60">
        <f>'MEMÓRIA RESUMIDA'!E31</f>
        <v>23.35</v>
      </c>
      <c r="F31" s="49">
        <f>'MEMÓRIA RESUMIDA'!F31</f>
        <v>39.619999999999997</v>
      </c>
      <c r="G31" s="118">
        <f>TRUNC((F31*1.2338),2)</f>
        <v>48.88</v>
      </c>
      <c r="H31" s="118">
        <f>TRUNC((E31*F31),2)</f>
        <v>925.12</v>
      </c>
      <c r="I31" s="118">
        <f>TRUNC((E31*G31),2)</f>
        <v>1141.3399999999999</v>
      </c>
      <c r="J31" s="48"/>
      <c r="K31" s="47"/>
      <c r="L31" s="77"/>
    </row>
    <row r="32" spans="1:12" s="63" customFormat="1" ht="18.75">
      <c r="A32" s="56" t="str">
        <f>'MEMÓRIA RESUMIDA'!A32</f>
        <v>X</v>
      </c>
      <c r="B32" s="56"/>
      <c r="C32" s="106"/>
      <c r="D32" s="56"/>
      <c r="E32" s="132"/>
      <c r="F32" s="56" t="str">
        <f>'MEMÓRIA RESUMIDA'!F32</f>
        <v>SUB-TOTAL 1.3</v>
      </c>
      <c r="G32" s="117"/>
      <c r="H32" s="102">
        <f>SUM(H30:H31)</f>
        <v>1892.4</v>
      </c>
      <c r="I32" s="102">
        <f>SUM(I30:I31)</f>
        <v>2334.73</v>
      </c>
      <c r="J32" s="83"/>
      <c r="L32" s="77"/>
    </row>
    <row r="33" spans="1:12" s="63" customFormat="1" ht="18.75">
      <c r="A33" s="121" t="str">
        <f>'MEMÓRIA RESUMIDA'!A33</f>
        <v>1.4.</v>
      </c>
      <c r="B33" s="121"/>
      <c r="C33" s="122" t="str">
        <f>'MEMÓRIA RESUMIDA'!C33</f>
        <v>PISOS E PAMIMENTAÇÕES</v>
      </c>
      <c r="D33" s="121" t="str">
        <f>'MEMÓRIA RESUMIDA'!D33</f>
        <v>-</v>
      </c>
      <c r="E33" s="133"/>
      <c r="F33" s="121"/>
      <c r="G33" s="123"/>
      <c r="H33" s="125"/>
      <c r="I33" s="125"/>
      <c r="J33" s="83"/>
      <c r="L33" s="77"/>
    </row>
    <row r="34" spans="1:12" ht="45">
      <c r="A34" s="49" t="str">
        <f>'MEMÓRIA RESUMIDA'!A34</f>
        <v>1.4.1.</v>
      </c>
      <c r="B34" s="49" t="str">
        <f>'MEMÓRIA RESUMIDA'!B34</f>
        <v>13.302.0010-0 + 98546</v>
      </c>
      <c r="C34" s="45" t="str">
        <f>'MEMÓRIA RESUMIDA'!C34</f>
        <v>Execução de camada de brita 1,com espessura estimada de 3cm,espalhamento manual , inclusive impermeabilização de superfície com manta asfáltica, uma camada, inclusive aplicação de primer asfáltico, e=3mm. Af_06/2018</v>
      </c>
      <c r="D34" s="49" t="str">
        <f>'MEMÓRIA RESUMIDA'!D34</f>
        <v>m²</v>
      </c>
      <c r="E34" s="60">
        <f>'MEMÓRIA RESUMIDA'!E34</f>
        <v>126.3</v>
      </c>
      <c r="F34" s="49">
        <f>'MEMÓRIA RESUMIDA'!F34</f>
        <v>100.04</v>
      </c>
      <c r="G34" s="118">
        <f t="shared" ref="G34:G39" si="3">TRUNC((F34*1.2338),2)</f>
        <v>123.42</v>
      </c>
      <c r="H34" s="118">
        <f t="shared" ref="H34:H39" si="4">TRUNC((E34*F34),2)</f>
        <v>12635.05</v>
      </c>
      <c r="I34" s="118">
        <f t="shared" ref="I34:I39" si="5">TRUNC((E34*G34),2)</f>
        <v>15587.94</v>
      </c>
      <c r="J34" s="59"/>
      <c r="K34" s="63"/>
      <c r="L34" s="68"/>
    </row>
    <row r="35" spans="1:12" ht="90">
      <c r="A35" s="49" t="str">
        <f>'MEMÓRIA RESUMIDA'!A35</f>
        <v>1.4.2</v>
      </c>
      <c r="B35" s="49" t="str">
        <f>'MEMÓRIA RESUMIDA'!B35</f>
        <v>PJ 05.20.0055 (/)</v>
      </c>
      <c r="C35" s="45" t="str">
        <f>'MEMÓRIA RESUMIDA'!C35</f>
        <v>Piso de grama sintetica, em rolo, com fios de 50mm de altura, na cor verde, demarcacao de linhas com grama na cor branca, sistema de amortecimento composto com as seguintes caracteristicas minimas: camada de areia especial com 1cm de espessura (20 kg/m2) e granulos de borracha de granulometria de 0,6 a 2mm (9 kg/m2) e mao de obra especializada para instalacao; exclusive base asfaltica, mureta perimetral para contencao da base, canaleta perimetral para coleta e escoamento da agua e preparo de terreno. Fornecimento e colocacao.</v>
      </c>
      <c r="D35" s="49" t="str">
        <f>'MEMÓRIA RESUMIDA'!D35</f>
        <v>M2</v>
      </c>
      <c r="E35" s="60">
        <f>'MEMÓRIA RESUMIDA'!E35</f>
        <v>421</v>
      </c>
      <c r="F35" s="49">
        <f>'MEMÓRIA RESUMIDA'!F35</f>
        <v>138.80000000000001</v>
      </c>
      <c r="G35" s="118">
        <f t="shared" si="3"/>
        <v>171.25</v>
      </c>
      <c r="H35" s="118">
        <f t="shared" si="4"/>
        <v>58434.8</v>
      </c>
      <c r="I35" s="118">
        <f t="shared" si="5"/>
        <v>72096.25</v>
      </c>
      <c r="J35" s="59"/>
      <c r="L35" s="68"/>
    </row>
    <row r="36" spans="1:12" ht="45">
      <c r="A36" s="49" t="str">
        <f>'MEMÓRIA RESUMIDA'!A36</f>
        <v>1.4.3</v>
      </c>
      <c r="B36" s="148" t="str">
        <f>'MEMÓRIA RESUMIDA'!B36</f>
        <v>SO00000094994 ALTERADO</v>
      </c>
      <c r="C36" s="45" t="str">
        <f>'MEMÓRIA RESUMIDA'!C36</f>
        <v>Execução de passeio (calçada) ou piso de concreto com concreto moldado in loco, feito em obra, acabamento convencional, espessura 8 cm, armado. Af_07/2016, inclusive tela fio 3,4mm 15x15cm, exclusive lona plástica.</v>
      </c>
      <c r="D36" s="49" t="str">
        <f>'MEMÓRIA RESUMIDA'!D36</f>
        <v>M2</v>
      </c>
      <c r="E36" s="60">
        <f>'MEMÓRIA RESUMIDA'!E36</f>
        <v>65.400000000000006</v>
      </c>
      <c r="F36" s="49">
        <f>'MEMÓRIA RESUMIDA'!F36</f>
        <v>69.48</v>
      </c>
      <c r="G36" s="118">
        <f t="shared" si="3"/>
        <v>85.72</v>
      </c>
      <c r="H36" s="118">
        <f t="shared" si="4"/>
        <v>4543.99</v>
      </c>
      <c r="I36" s="118">
        <f t="shared" si="5"/>
        <v>5606.08</v>
      </c>
      <c r="J36" s="48"/>
      <c r="L36" s="68"/>
    </row>
    <row r="37" spans="1:12" ht="30">
      <c r="A37" s="49" t="str">
        <f>'MEMÓRIA RESUMIDA'!A37</f>
        <v>1.4.4.</v>
      </c>
      <c r="B37" s="49" t="str">
        <f>'MEMÓRIA RESUMIDA'!B37</f>
        <v>13.333.0015-0</v>
      </c>
      <c r="C37" s="45" t="str">
        <f>'MEMÓRIA RESUMIDA'!C37</f>
        <v>Revestimento de piso com ceramica tatil alerta,(ladrilho hid raulico) para pessoas com necessidades especificas,assentes sobre superficie em osso,conforme item 13.330.0010</v>
      </c>
      <c r="D37" s="49" t="str">
        <f>'MEMÓRIA RESUMIDA'!D37</f>
        <v>M2</v>
      </c>
      <c r="E37" s="60">
        <f>'MEMÓRIA RESUMIDA'!E37</f>
        <v>6</v>
      </c>
      <c r="F37" s="49">
        <f>'MEMÓRIA RESUMIDA'!F37</f>
        <v>130.97</v>
      </c>
      <c r="G37" s="118">
        <f t="shared" si="3"/>
        <v>161.59</v>
      </c>
      <c r="H37" s="118">
        <f t="shared" si="4"/>
        <v>785.82</v>
      </c>
      <c r="I37" s="118">
        <f t="shared" si="5"/>
        <v>969.54</v>
      </c>
      <c r="J37" s="48"/>
      <c r="L37" s="68"/>
    </row>
    <row r="38" spans="1:12" s="63" customFormat="1" ht="30">
      <c r="A38" s="49" t="str">
        <f>'MEMÓRIA RESUMIDA'!A38</f>
        <v>1.4.5</v>
      </c>
      <c r="B38" s="49" t="str">
        <f>'MEMÓRIA RESUMIDA'!B38</f>
        <v>13.333.0010-0</v>
      </c>
      <c r="C38" s="45" t="str">
        <f>'MEMÓRIA RESUMIDA'!C38</f>
        <v>Revestimento de piso com ceramica tatil direcional,(ladrilho hidraulico),para pessoas com necessidades especificas,assen tes sobre superficie em osso,conforme item 13.330.0010</v>
      </c>
      <c r="D38" s="49" t="str">
        <f>'MEMÓRIA RESUMIDA'!D38</f>
        <v>M2</v>
      </c>
      <c r="E38" s="60">
        <f>'MEMÓRIA RESUMIDA'!E38</f>
        <v>6.5</v>
      </c>
      <c r="F38" s="49">
        <f>'MEMÓRIA RESUMIDA'!F38</f>
        <v>130.97</v>
      </c>
      <c r="G38" s="118">
        <f t="shared" si="3"/>
        <v>161.59</v>
      </c>
      <c r="H38" s="118">
        <f t="shared" si="4"/>
        <v>851.3</v>
      </c>
      <c r="I38" s="118">
        <f t="shared" si="5"/>
        <v>1050.33</v>
      </c>
      <c r="J38" s="83"/>
      <c r="L38" s="77"/>
    </row>
    <row r="39" spans="1:12" s="64" customFormat="1" ht="45">
      <c r="A39" s="49" t="str">
        <f>'MEMÓRIA RESUMIDA'!A39</f>
        <v>1.4.6</v>
      </c>
      <c r="B39" s="49" t="str">
        <f>'MEMÓRIA RESUMIDA'!B39</f>
        <v>08.027.0040-0</v>
      </c>
      <c r="C39" s="45" t="str">
        <f>'MEMÓRIA RESUMIDA'!C39</f>
        <v>Meio-fio reto de concreto simples fck=15mpa,moldado no local ,tipo der-rj,medindo 0,15m na base e com altura de 0,30m,rej untamento com argamassa de cimento e areia,no traco 1:3,5,co m fornecimento de todos os materiais,escavacao e reaterro</v>
      </c>
      <c r="D39" s="49" t="str">
        <f>'MEMÓRIA RESUMIDA'!D39</f>
        <v>M</v>
      </c>
      <c r="E39" s="60">
        <f>'MEMÓRIA RESUMIDA'!E39</f>
        <v>15</v>
      </c>
      <c r="F39" s="49">
        <f>'MEMÓRIA RESUMIDA'!F39</f>
        <v>63.14</v>
      </c>
      <c r="G39" s="118">
        <f t="shared" si="3"/>
        <v>77.900000000000006</v>
      </c>
      <c r="H39" s="118">
        <f t="shared" si="4"/>
        <v>947.1</v>
      </c>
      <c r="I39" s="118">
        <f t="shared" si="5"/>
        <v>1168.5</v>
      </c>
      <c r="J39" s="48"/>
      <c r="K39" s="61"/>
    </row>
    <row r="40" spans="1:12" s="108" customFormat="1" ht="18.75">
      <c r="A40" s="56" t="str">
        <f>'MEMÓRIA RESUMIDA'!A40</f>
        <v>X</v>
      </c>
      <c r="B40" s="56"/>
      <c r="C40" s="106"/>
      <c r="D40" s="56"/>
      <c r="E40" s="132"/>
      <c r="F40" s="56" t="str">
        <f>'MEMÓRIA RESUMIDA'!F40</f>
        <v>SUB-TOTAL 1.4</v>
      </c>
      <c r="G40" s="117"/>
      <c r="H40" s="102">
        <f>SUM(H34:H39)</f>
        <v>78198.060000000027</v>
      </c>
      <c r="I40" s="102">
        <f>SUM(I34:I39)</f>
        <v>96478.64</v>
      </c>
      <c r="J40" s="107"/>
      <c r="K40" s="47"/>
    </row>
    <row r="41" spans="1:12" s="61" customFormat="1" ht="18.75">
      <c r="A41" s="121" t="str">
        <f>'MEMÓRIA RESUMIDA'!A41</f>
        <v>1.5.</v>
      </c>
      <c r="B41" s="121"/>
      <c r="C41" s="122" t="str">
        <f>'MEMÓRIA RESUMIDA'!C41</f>
        <v>ALAMBRADO</v>
      </c>
      <c r="D41" s="121"/>
      <c r="E41" s="133"/>
      <c r="F41" s="121"/>
      <c r="G41" s="123"/>
      <c r="H41" s="219"/>
      <c r="I41" s="219"/>
      <c r="J41" s="83"/>
      <c r="K41" s="63"/>
    </row>
    <row r="42" spans="1:12" ht="45">
      <c r="A42" s="49" t="str">
        <f>'MEMÓRIA RESUMIDA'!A42</f>
        <v>1.5.1.</v>
      </c>
      <c r="B42" s="49" t="str">
        <f>'MEMÓRIA RESUMIDA'!B42</f>
        <v>54.001.0160-5</v>
      </c>
      <c r="C42" s="45" t="str">
        <f>'MEMÓRIA RESUMIDA'!C42</f>
        <v>Tela de arame galvanizado revestida em pvc, quadrangular / losangular, fio 12bwg),  malha *8 x 8* cm. Fornecimento e instalação, inclusive amarração fio 14bwg e fornecimento e colocação de vergalhão esticador de tela 1/8"</v>
      </c>
      <c r="D42" s="49" t="str">
        <f>'MEMÓRIA RESUMIDA'!D42</f>
        <v>M2</v>
      </c>
      <c r="E42" s="60">
        <f>'MEMÓRIA RESUMIDA'!E42</f>
        <v>330.2</v>
      </c>
      <c r="F42" s="49">
        <f>'MEMÓRIA RESUMIDA'!F42</f>
        <v>47.03</v>
      </c>
      <c r="G42" s="118">
        <f t="shared" ref="G42:G47" si="6">TRUNC((F42*1.2338),2)</f>
        <v>58.02</v>
      </c>
      <c r="H42" s="118">
        <f t="shared" ref="H42:H47" si="7">TRUNC((E42*F42),2)</f>
        <v>15529.3</v>
      </c>
      <c r="I42" s="118">
        <f t="shared" ref="I42:I47" si="8">TRUNC((E42*G42),2)</f>
        <v>19158.2</v>
      </c>
      <c r="J42" s="59"/>
    </row>
    <row r="43" spans="1:12" ht="30">
      <c r="A43" s="49" t="str">
        <f>'MEMÓRIA RESUMIDA'!A43</f>
        <v>1.5.2</v>
      </c>
      <c r="B43" s="49" t="str">
        <f>'MEMÓRIA RESUMIDA'!B43</f>
        <v>09.015.0074-0</v>
      </c>
      <c r="C43" s="45" t="str">
        <f>'MEMÓRIA RESUMIDA'!C43</f>
        <v>Contraventamento de alambrado com tubos de ferro galvanizado (extern.e internamente),c/diametro interno de 2" e espessura de parede de 1/8".fornecimento e colocacao</v>
      </c>
      <c r="D43" s="49" t="str">
        <f>'MEMÓRIA RESUMIDA'!D43</f>
        <v>M</v>
      </c>
      <c r="E43" s="60">
        <f>'MEMÓRIA RESUMIDA'!E43</f>
        <v>9</v>
      </c>
      <c r="F43" s="49">
        <f>'MEMÓRIA RESUMIDA'!F43</f>
        <v>96.77</v>
      </c>
      <c r="G43" s="118">
        <f t="shared" si="6"/>
        <v>119.39</v>
      </c>
      <c r="H43" s="118">
        <f t="shared" si="7"/>
        <v>870.93</v>
      </c>
      <c r="I43" s="118">
        <f t="shared" si="8"/>
        <v>1074.51</v>
      </c>
      <c r="J43" s="48"/>
    </row>
    <row r="44" spans="1:12" ht="45">
      <c r="A44" s="49" t="str">
        <f>'MEMÓRIA RESUMIDA'!A44</f>
        <v>1.5.3</v>
      </c>
      <c r="B44" s="49" t="str">
        <f>'MEMÓRIA RESUMIDA'!B44</f>
        <v>09.015.0074-5</v>
      </c>
      <c r="C44" s="45" t="str">
        <f>'MEMÓRIA RESUMIDA'!C44</f>
        <v>Contraventamento de alambrado com tubos de ferro galvanizado (extern.e internamente),c/diametro interno de 2" e espessura de parede de 1/8". Colocacao sem fornecimento de tubo.  Reaproveitamento do existente</v>
      </c>
      <c r="D44" s="49" t="str">
        <f>'MEMÓRIA RESUMIDA'!D44</f>
        <v>M</v>
      </c>
      <c r="E44" s="60">
        <f>'MEMÓRIA RESUMIDA'!E44</f>
        <v>24.2</v>
      </c>
      <c r="F44" s="49">
        <f>'MEMÓRIA RESUMIDA'!F44</f>
        <v>21.19</v>
      </c>
      <c r="G44" s="118">
        <f t="shared" si="6"/>
        <v>26.14</v>
      </c>
      <c r="H44" s="118">
        <f t="shared" si="7"/>
        <v>512.79</v>
      </c>
      <c r="I44" s="118">
        <f t="shared" si="8"/>
        <v>632.58000000000004</v>
      </c>
      <c r="J44" s="48"/>
    </row>
    <row r="45" spans="1:12" ht="44.25" customHeight="1">
      <c r="A45" s="49" t="str">
        <f>'MEMÓRIA RESUMIDA'!A45</f>
        <v>1.5.4</v>
      </c>
      <c r="B45" s="49" t="str">
        <f>'MEMÓRIA RESUMIDA'!B45</f>
        <v>05.005.0054-5</v>
      </c>
      <c r="C45" s="45" t="str">
        <f>'MEMÓRIA RESUMIDA'!C45</f>
        <v>Tela em polietileno de alta densidade,100% virgem,com malha de (5x5)cm,fio de 2,5mm,com resistencia de 350kg/m2.fornecim ento e colocacao, inclusive readequação e complemento de cabos de aço de sustentação.</v>
      </c>
      <c r="D45" s="49" t="str">
        <f>'MEMÓRIA RESUMIDA'!D45</f>
        <v>M2</v>
      </c>
      <c r="E45" s="60">
        <f>'MEMÓRIA RESUMIDA'!E45</f>
        <v>560</v>
      </c>
      <c r="F45" s="49">
        <f>'MEMÓRIA RESUMIDA'!F45</f>
        <v>16.07</v>
      </c>
      <c r="G45" s="118">
        <f t="shared" si="6"/>
        <v>19.82</v>
      </c>
      <c r="H45" s="118">
        <f t="shared" si="7"/>
        <v>8999.2000000000007</v>
      </c>
      <c r="I45" s="118">
        <f t="shared" si="8"/>
        <v>11099.2</v>
      </c>
      <c r="J45" s="48"/>
    </row>
    <row r="46" spans="1:12" ht="30">
      <c r="A46" s="49" t="str">
        <f>'MEMÓRIA RESUMIDA'!A46</f>
        <v>1.5.5</v>
      </c>
      <c r="B46" s="49" t="str">
        <f>'MEMÓRIA RESUMIDA'!B46</f>
        <v>14.007.0294-0</v>
      </c>
      <c r="C46" s="45" t="str">
        <f>'MEMÓRIA RESUMIDA'!C46</f>
        <v>Dobradica para porta tipo gonzo,de 3",em latao niquelado e polido para garantir abertura indicada em projeto..fornecimento e colocação</v>
      </c>
      <c r="D46" s="49" t="str">
        <f>'MEMÓRIA RESUMIDA'!D46</f>
        <v>UN</v>
      </c>
      <c r="E46" s="60">
        <f>'MEMÓRIA RESUMIDA'!E46</f>
        <v>9</v>
      </c>
      <c r="F46" s="49">
        <f>'MEMÓRIA RESUMIDA'!F46</f>
        <v>49.13</v>
      </c>
      <c r="G46" s="118">
        <f t="shared" si="6"/>
        <v>60.61</v>
      </c>
      <c r="H46" s="118">
        <f t="shared" si="7"/>
        <v>442.17</v>
      </c>
      <c r="I46" s="118">
        <f t="shared" si="8"/>
        <v>545.49</v>
      </c>
      <c r="J46" s="48"/>
      <c r="K46" s="59"/>
    </row>
    <row r="47" spans="1:12" ht="60">
      <c r="A47" s="49" t="str">
        <f>'MEMÓRIA RESUMIDA'!A47</f>
        <v>1.5.6</v>
      </c>
      <c r="B47" s="49" t="str">
        <f>'MEMÓRIA RESUMIDA'!B47</f>
        <v>14.007.0330-5</v>
      </c>
      <c r="C47" s="45" t="str">
        <f>'MEMÓRIA RESUMIDA'!C47</f>
        <v>Targetao de ferro galvanizado,de 36cm,com adaptacao de haste para duplo funcionamento,fechamento com cadeado, exclusive este,conforme projeto n§6017/emop.fornecimento e colocacao , inclusive cantoneira de aço 3/4"x3/4"x1/8" com 30cm de comprimento para batente (portão a construir e portão existente)</v>
      </c>
      <c r="D47" s="49" t="str">
        <f>'MEMÓRIA RESUMIDA'!D47</f>
        <v>UN</v>
      </c>
      <c r="E47" s="60">
        <f>'MEMÓRIA RESUMIDA'!E47</f>
        <v>2</v>
      </c>
      <c r="F47" s="49">
        <f>'MEMÓRIA RESUMIDA'!F47</f>
        <v>176.72</v>
      </c>
      <c r="G47" s="118">
        <f t="shared" si="6"/>
        <v>218.03</v>
      </c>
      <c r="H47" s="118">
        <f t="shared" si="7"/>
        <v>353.44</v>
      </c>
      <c r="I47" s="118">
        <f t="shared" si="8"/>
        <v>436.06</v>
      </c>
      <c r="J47" s="59"/>
      <c r="K47" s="64"/>
    </row>
    <row r="48" spans="1:12" ht="30">
      <c r="A48" s="49" t="str">
        <f>'MEMÓRIA RESUMIDA'!A48</f>
        <v>1.5.7</v>
      </c>
      <c r="B48" s="49" t="str">
        <f>'MEMÓRIA RESUMIDA'!B48</f>
        <v>09.015.0080-5</v>
      </c>
      <c r="C48" s="45" t="str">
        <f>'MEMÓRIA RESUMIDA'!C48</f>
        <v xml:space="preserve"> tubo de ferro galvanizado(extern.e internamente),com diametro interno de 31/2" e espessu ra de parede de 1/8".fornecimento e colocacao (espera de encaixe das traves)</v>
      </c>
      <c r="D48" s="49" t="str">
        <f>'MEMÓRIA RESUMIDA'!D48</f>
        <v>M</v>
      </c>
      <c r="E48" s="60">
        <f>'MEMÓRIA RESUMIDA'!E48</f>
        <v>1.6</v>
      </c>
      <c r="F48" s="49">
        <f>'MEMÓRIA RESUMIDA'!F48</f>
        <v>115.07</v>
      </c>
      <c r="G48" s="118">
        <f>TRUNC((F48*1.2338),2)</f>
        <v>141.97</v>
      </c>
      <c r="H48" s="118">
        <f>TRUNC((E48*F48),2)</f>
        <v>184.11</v>
      </c>
      <c r="I48" s="118">
        <f>TRUNC((E48*G48),2)</f>
        <v>227.15</v>
      </c>
      <c r="J48" s="59"/>
      <c r="K48" s="64"/>
    </row>
    <row r="49" spans="1:11" ht="30">
      <c r="A49" s="49" t="s">
        <v>572</v>
      </c>
      <c r="B49" s="49" t="str">
        <f>'MEMÓRIA RESUMIDA'!B49</f>
        <v>15.031.0020-6 + 05.027.0003-5</v>
      </c>
      <c r="C49" s="45" t="str">
        <f>'MEMÓRIA RESUMIDA'!C49</f>
        <v>Forneciment e instalação de BARRA DE ACO CA-25,REDONDA,SEM SALIENCIAOU MOSSA,DIAMETRO 12,5MM), devidamente soldados nos tubos dos portões conforme projeto.</v>
      </c>
      <c r="D49" s="49" t="str">
        <f>'MEMÓRIA RESUMIDA'!D49</f>
        <v>m</v>
      </c>
      <c r="E49" s="60">
        <f>'MEMÓRIA RESUMIDA'!E49</f>
        <v>21</v>
      </c>
      <c r="F49" s="49">
        <f>'MEMÓRIA RESUMIDA'!F49</f>
        <v>25.82</v>
      </c>
      <c r="G49" s="118">
        <f>TRUNC((F49*1.2338),2)</f>
        <v>31.85</v>
      </c>
      <c r="H49" s="118">
        <f>TRUNC((E49*F49),2)</f>
        <v>542.22</v>
      </c>
      <c r="I49" s="118">
        <f>TRUNC((E49*G49),2)</f>
        <v>668.85</v>
      </c>
      <c r="J49" s="59"/>
      <c r="K49" s="64"/>
    </row>
    <row r="50" spans="1:11" s="61" customFormat="1" ht="18">
      <c r="A50" s="56" t="str">
        <f>'MEMÓRIA RESUMIDA'!A50</f>
        <v>X</v>
      </c>
      <c r="B50" s="56"/>
      <c r="C50" s="106"/>
      <c r="D50" s="56"/>
      <c r="E50" s="132"/>
      <c r="F50" s="56" t="str">
        <f>'MEMÓRIA RESUMIDA'!F50</f>
        <v>SUB-TOTAL 1.5</v>
      </c>
      <c r="G50" s="117"/>
      <c r="H50" s="119">
        <f>SUM(H42:H49)</f>
        <v>27434.16</v>
      </c>
      <c r="I50" s="119">
        <f>SUM(I42:I49)</f>
        <v>33842.04</v>
      </c>
      <c r="J50" s="83"/>
      <c r="K50" s="108"/>
    </row>
    <row r="51" spans="1:11" s="61" customFormat="1" ht="15.75">
      <c r="A51" s="121" t="str">
        <f>'MEMÓRIA RESUMIDA'!A51</f>
        <v>1.6.</v>
      </c>
      <c r="B51" s="121"/>
      <c r="C51" s="122" t="str">
        <f>'MEMÓRIA RESUMIDA'!C51</f>
        <v>INSTALAÇÃO ELÉTRICA</v>
      </c>
      <c r="D51" s="121" t="str">
        <f>'MEMÓRIA RESUMIDA'!D51</f>
        <v>-</v>
      </c>
      <c r="E51" s="133"/>
      <c r="F51" s="121"/>
      <c r="G51" s="123"/>
      <c r="H51" s="126"/>
      <c r="I51" s="126"/>
      <c r="J51" s="107"/>
    </row>
    <row r="52" spans="1:11" ht="30">
      <c r="A52" s="49" t="str">
        <f>'MEMÓRIA RESUMIDA'!A52</f>
        <v>1.6.1.</v>
      </c>
      <c r="B52" s="148" t="str">
        <f>'MEMÓRIA RESUMIDA'!B52</f>
        <v>So00000101658 alterada</v>
      </c>
      <c r="C52" s="45" t="str">
        <f>'MEMÓRIA RESUMIDA'!C52</f>
        <v xml:space="preserve">LUMINÁRIA TIPO REFLETOR  DE LED PARA ILUMINAÇÃO PÚBLICA, DE 150w FORNECIMENTO E INSTALAÇÃO. </v>
      </c>
      <c r="D52" s="49" t="str">
        <f>'MEMÓRIA RESUMIDA'!D52</f>
        <v>UN</v>
      </c>
      <c r="E52" s="60">
        <f>'MEMÓRIA RESUMIDA'!E52</f>
        <v>8</v>
      </c>
      <c r="F52" s="49">
        <f>'MEMÓRIA RESUMIDA'!F52</f>
        <v>355.72</v>
      </c>
      <c r="G52" s="118">
        <f>TRUNC((F52*1.2338),2)</f>
        <v>438.88</v>
      </c>
      <c r="H52" s="118">
        <f>TRUNC((E52*F52),2)</f>
        <v>2845.76</v>
      </c>
      <c r="I52" s="118">
        <f>TRUNC((E52*G52),2)</f>
        <v>3511.04</v>
      </c>
      <c r="J52" s="48"/>
    </row>
    <row r="53" spans="1:11" ht="30">
      <c r="A53" s="49" t="str">
        <f>'MEMÓRIA RESUMIDA'!A53</f>
        <v>1.6.2.</v>
      </c>
      <c r="B53" s="49" t="str">
        <f>'MEMÓRIA RESUMIDA'!B53</f>
        <v>So00000097881</v>
      </c>
      <c r="C53" s="45" t="str">
        <f>'MEMÓRIA RESUMIDA'!C53</f>
        <v>Caixa enterrada elétrica retangular, em concreto pré-moldado, fundo com brita, dimensões internas: 0,3x0,3x0,3 m. Af_12/2020</v>
      </c>
      <c r="D53" s="49" t="str">
        <f>'MEMÓRIA RESUMIDA'!D53</f>
        <v>UN</v>
      </c>
      <c r="E53" s="60">
        <f>'MEMÓRIA RESUMIDA'!E53</f>
        <v>4</v>
      </c>
      <c r="F53" s="49">
        <f>'MEMÓRIA RESUMIDA'!F53</f>
        <v>96.38</v>
      </c>
      <c r="G53" s="118">
        <f>TRUNC((F53*1.2338),2)</f>
        <v>118.91</v>
      </c>
      <c r="H53" s="118">
        <f>TRUNC((E53*F53),2)</f>
        <v>385.52</v>
      </c>
      <c r="I53" s="118">
        <f>TRUNC((E53*G53),2)</f>
        <v>475.64</v>
      </c>
      <c r="J53" s="48"/>
    </row>
    <row r="54" spans="1:11" ht="75">
      <c r="A54" s="49" t="str">
        <f>'MEMÓRIA RESUMIDA'!A54</f>
        <v>1.6.3</v>
      </c>
      <c r="B54" s="49" t="str">
        <f>'MEMÓRIA RESUMIDA'!B54</f>
        <v>So00000098111 + 15.036.0070-0 + 15.008.0085-0</v>
      </c>
      <c r="C54" s="45" t="str">
        <f>'MEMÓRIA RESUMIDA'!C54</f>
        <v>Ajuste nas fiações aparentes ( mangueiras sobre as cintas) : fornec imento e assentamentoeletroduto de pvc rigido rosqueavel de 3/4",inclusive conexoes e emendas,exclusive abertura e fechamento de rasgo, recolocação da fiação existente, exclusive fornecimento dos fios, inclusive fornecimento e colocação de caixa de inspeção para aterramento, circular, em polietileno, diâmetro interno 0,3m para emenda dos fios.</v>
      </c>
      <c r="D54" s="49" t="str">
        <f>'MEMÓRIA RESUMIDA'!D54</f>
        <v>unid.</v>
      </c>
      <c r="E54" s="60">
        <f>'MEMÓRIA RESUMIDA'!E54</f>
        <v>1</v>
      </c>
      <c r="F54" s="49">
        <f>'MEMÓRIA RESUMIDA'!F54</f>
        <v>40.53</v>
      </c>
      <c r="G54" s="118">
        <f>TRUNC((F54*1.2338),2)</f>
        <v>50</v>
      </c>
      <c r="H54" s="118">
        <f>TRUNC((E54*F54),2)</f>
        <v>40.53</v>
      </c>
      <c r="I54" s="118">
        <f>TRUNC((E54*G54),2)</f>
        <v>50</v>
      </c>
      <c r="J54" s="48"/>
    </row>
    <row r="55" spans="1:11" ht="15.75">
      <c r="A55" s="49" t="str">
        <f>'MEMÓRIA RESUMIDA'!A55</f>
        <v>1.6.4</v>
      </c>
      <c r="B55" s="49" t="str">
        <f>'MEMÓRIA RESUMIDA'!B55</f>
        <v>composição</v>
      </c>
      <c r="C55" s="45" t="str">
        <f>'MEMÓRIA RESUMIDA'!C55</f>
        <v>Fornecimento e colocação de  tampa em abertura dos postes de iluminação instalados.</v>
      </c>
      <c r="D55" s="49" t="str">
        <f>'MEMÓRIA RESUMIDA'!D55</f>
        <v>unid.</v>
      </c>
      <c r="E55" s="60">
        <f>'MEMÓRIA RESUMIDA'!E55</f>
        <v>4</v>
      </c>
      <c r="F55" s="49">
        <f>'MEMÓRIA RESUMIDA'!F55</f>
        <v>11.2</v>
      </c>
      <c r="G55" s="118">
        <f>TRUNC((F55*1.2338),2)</f>
        <v>13.81</v>
      </c>
      <c r="H55" s="118">
        <f>TRUNC((E55*F55),2)</f>
        <v>44.8</v>
      </c>
      <c r="I55" s="118">
        <f>TRUNC((E55*G55),2)</f>
        <v>55.24</v>
      </c>
      <c r="J55" s="48"/>
    </row>
    <row r="56" spans="1:11" s="61" customFormat="1" ht="15.75">
      <c r="A56" s="56" t="str">
        <f>'MEMÓRIA RESUMIDA'!A56</f>
        <v>X</v>
      </c>
      <c r="B56" s="56"/>
      <c r="C56" s="106"/>
      <c r="D56" s="56"/>
      <c r="E56" s="132"/>
      <c r="F56" s="56" t="str">
        <f>'MEMÓRIA RESUMIDA'!F56</f>
        <v>SUB-TOTAL 1.6</v>
      </c>
      <c r="G56" s="117"/>
      <c r="H56" s="119">
        <f>SUM(H52:H55)</f>
        <v>3316.6100000000006</v>
      </c>
      <c r="I56" s="119">
        <f>SUM(I52:I55)</f>
        <v>4091.9199999999996</v>
      </c>
      <c r="J56" s="107"/>
    </row>
    <row r="57" spans="1:11" s="61" customFormat="1" ht="15.75">
      <c r="A57" s="121" t="str">
        <f>'MEMÓRIA RESUMIDA'!A57</f>
        <v>1.7.</v>
      </c>
      <c r="B57" s="121"/>
      <c r="C57" s="122" t="str">
        <f>'MEMÓRIA RESUMIDA'!C57</f>
        <v>MOBILIÁRIO ESPORTIVO</v>
      </c>
      <c r="D57" s="121"/>
      <c r="E57" s="133"/>
      <c r="F57" s="121"/>
      <c r="G57" s="127"/>
      <c r="H57" s="128"/>
      <c r="I57" s="128"/>
      <c r="J57" s="107"/>
    </row>
    <row r="58" spans="1:11" ht="30">
      <c r="A58" s="49" t="str">
        <f>'MEMÓRIA RESUMIDA'!A58</f>
        <v>1.7.1.</v>
      </c>
      <c r="B58" s="49" t="str">
        <f>'MEMÓRIA RESUMIDA'!B58</f>
        <v>18.200.0004-5</v>
      </c>
      <c r="C58" s="45" t="str">
        <f>'MEMÓRIA RESUMIDA'!C58</f>
        <v>Trave  para futebol de salao,em tubo de ferro gal vanizado 3".fornecimento e colocação, inclusive soldas necessárias, nos encaixes das esperas , inclusive pintura e estrutura para fixação da rede.</v>
      </c>
      <c r="D58" s="49" t="str">
        <f>'MEMÓRIA RESUMIDA'!D58</f>
        <v>PAR</v>
      </c>
      <c r="E58" s="60">
        <f>'MEMÓRIA RESUMIDA'!E58</f>
        <v>1</v>
      </c>
      <c r="F58" s="49">
        <f>'MEMÓRIA RESUMIDA'!F58</f>
        <v>2422.56</v>
      </c>
      <c r="G58" s="118">
        <f>TRUNC((F58*1.2338),2)</f>
        <v>2988.95</v>
      </c>
      <c r="H58" s="118">
        <f>TRUNC((E58*F58),2)</f>
        <v>2422.56</v>
      </c>
      <c r="I58" s="118">
        <f>TRUNC((E58*G58),2)</f>
        <v>2988.95</v>
      </c>
      <c r="J58" s="59"/>
    </row>
    <row r="59" spans="1:11" ht="18.75">
      <c r="A59" s="49" t="str">
        <f>'MEMÓRIA RESUMIDA'!A59</f>
        <v>1.7.2.</v>
      </c>
      <c r="B59" s="49" t="str">
        <f>'MEMÓRIA RESUMIDA'!B59</f>
        <v>18.200.0005-0</v>
      </c>
      <c r="C59" s="45" t="str">
        <f>'MEMÓRIA RESUMIDA'!C59</f>
        <v>Rede de nylon para futebol de salao.fornecimento</v>
      </c>
      <c r="D59" s="49" t="str">
        <f>'MEMÓRIA RESUMIDA'!D59</f>
        <v>PAR</v>
      </c>
      <c r="E59" s="60">
        <f>'MEMÓRIA RESUMIDA'!E59</f>
        <v>1</v>
      </c>
      <c r="F59" s="49">
        <f>'MEMÓRIA RESUMIDA'!F59</f>
        <v>108.15</v>
      </c>
      <c r="G59" s="118">
        <f>TRUNC((F59*1.2338),2)</f>
        <v>133.43</v>
      </c>
      <c r="H59" s="118">
        <f>TRUNC((E59*F59),2)</f>
        <v>108.15</v>
      </c>
      <c r="I59" s="118">
        <f>TRUNC((E59*G59),2)</f>
        <v>133.43</v>
      </c>
      <c r="J59" s="64"/>
    </row>
    <row r="60" spans="1:11" s="61" customFormat="1" ht="15.75">
      <c r="A60" s="56" t="str">
        <f>'MEMÓRIA RESUMIDA'!A60</f>
        <v>X</v>
      </c>
      <c r="B60" s="56"/>
      <c r="C60" s="106"/>
      <c r="D60" s="56"/>
      <c r="E60" s="132"/>
      <c r="F60" s="56" t="str">
        <f>'MEMÓRIA RESUMIDA'!F60</f>
        <v>SUB-TOTAL 1.7</v>
      </c>
      <c r="G60" s="117"/>
      <c r="H60" s="119">
        <f>SUM(H58:H59)</f>
        <v>2530.71</v>
      </c>
      <c r="I60" s="119">
        <f>SUM(I58:I59)</f>
        <v>3122.3799999999997</v>
      </c>
      <c r="J60" s="108"/>
    </row>
    <row r="61" spans="1:11" s="61" customFormat="1" ht="15.75">
      <c r="A61" s="121" t="str">
        <f>'MEMÓRIA RESUMIDA'!A61</f>
        <v>1.8.</v>
      </c>
      <c r="B61" s="121"/>
      <c r="C61" s="122" t="str">
        <f>'MEMÓRIA RESUMIDA'!C61</f>
        <v>PINTURA</v>
      </c>
      <c r="D61" s="121"/>
      <c r="E61" s="133"/>
      <c r="F61" s="121"/>
      <c r="G61" s="123"/>
      <c r="H61" s="128"/>
      <c r="I61" s="128"/>
    </row>
    <row r="62" spans="1:11" ht="30">
      <c r="A62" s="49" t="str">
        <f>'MEMÓRIA RESUMIDA'!A62</f>
        <v>1.8.1.</v>
      </c>
      <c r="B62" s="49" t="str">
        <f>'MEMÓRIA RESUMIDA'!B62</f>
        <v>SO00000088415 alterado</v>
      </c>
      <c r="C62" s="45" t="str">
        <f>'MEMÓRIA RESUMIDA'!C62</f>
        <v>Aplicação manual de fundo selador acrílico em paredes externas de casas. Af_06/2014, inclusive lixamentos necessários. (MUROS)</v>
      </c>
      <c r="D62" s="49" t="str">
        <f>'MEMÓRIA RESUMIDA'!D62</f>
        <v>M2</v>
      </c>
      <c r="E62" s="60">
        <f>'MEMÓRIA RESUMIDA'!E62</f>
        <v>145.5</v>
      </c>
      <c r="F62" s="49">
        <f>'MEMÓRIA RESUMIDA'!F62</f>
        <v>5.79</v>
      </c>
      <c r="G62" s="118">
        <f>TRUNC((F62*1.2338),2)</f>
        <v>7.14</v>
      </c>
      <c r="H62" s="118">
        <f>TRUNC((E62*F62),2)</f>
        <v>842.44</v>
      </c>
      <c r="I62" s="118">
        <f>TRUNC((E62*G62),2)</f>
        <v>1038.8699999999999</v>
      </c>
    </row>
    <row r="63" spans="1:11" ht="30">
      <c r="A63" s="49" t="str">
        <f>'MEMÓRIA RESUMIDA'!A63</f>
        <v>1.8.2.</v>
      </c>
      <c r="B63" s="49" t="str">
        <f>'MEMÓRIA RESUMIDA'!B63</f>
        <v>SO00000088489</v>
      </c>
      <c r="C63" s="45" t="str">
        <f>'MEMÓRIA RESUMIDA'!C63</f>
        <v>Aplicação manual de pintura com tinta látex acrílica premium em paredes, duas demãos. Af_06/2014 (muro)</v>
      </c>
      <c r="D63" s="49" t="str">
        <f>'MEMÓRIA RESUMIDA'!D63</f>
        <v>M2</v>
      </c>
      <c r="E63" s="60">
        <f>'MEMÓRIA RESUMIDA'!E63</f>
        <v>145.5</v>
      </c>
      <c r="F63" s="49">
        <f>'MEMÓRIA RESUMIDA'!F63</f>
        <v>14.29</v>
      </c>
      <c r="G63" s="118">
        <f>TRUNC((F63*1.2338),2)</f>
        <v>17.63</v>
      </c>
      <c r="H63" s="118">
        <f>TRUNC((E63*F63),2)</f>
        <v>2079.19</v>
      </c>
      <c r="I63" s="118">
        <f>TRUNC((E63*G63),2)</f>
        <v>2565.16</v>
      </c>
    </row>
    <row r="64" spans="1:11" ht="45">
      <c r="A64" s="49" t="str">
        <f>'MEMÓRIA RESUMIDA'!A64</f>
        <v>1.8.3.</v>
      </c>
      <c r="B64" s="49" t="str">
        <f>'MEMÓRIA RESUMIDA'!B64</f>
        <v>17.017.0350-0</v>
      </c>
      <c r="C64" s="45" t="str">
        <f>'MEMÓRIA RESUMIDA'!C64</f>
        <v>Pintura interna ou externa sobre ferro galvanizado ou aluminio,usando fundo para galvanizado,inclusive lixamento adequado, l mpeza,desengorduramento e duas demaos de acabamento com esmalte sintetico a base de água, brilhante ou acetinado.</v>
      </c>
      <c r="D64" s="49" t="str">
        <f>'MEMÓRIA RESUMIDA'!D64</f>
        <v>M2</v>
      </c>
      <c r="E64" s="60">
        <f>'MEMÓRIA RESUMIDA'!E64</f>
        <v>130</v>
      </c>
      <c r="F64" s="49">
        <f>'MEMÓRIA RESUMIDA'!F64</f>
        <v>22.44</v>
      </c>
      <c r="G64" s="118">
        <f>TRUNC((F64*1.2338),2)</f>
        <v>27.68</v>
      </c>
      <c r="H64" s="118">
        <f>TRUNC((E64*F64),2)</f>
        <v>2917.2</v>
      </c>
      <c r="I64" s="118">
        <f>TRUNC((E64*G64),2)</f>
        <v>3598.4</v>
      </c>
    </row>
    <row r="65" spans="1:9" s="61" customFormat="1" ht="15.75">
      <c r="A65" s="129" t="str">
        <f>'MEMÓRIA RESUMIDA'!A65</f>
        <v>X</v>
      </c>
      <c r="B65" s="129"/>
      <c r="C65" s="130"/>
      <c r="D65" s="129"/>
      <c r="E65" s="134"/>
      <c r="F65" s="129" t="str">
        <f>'MEMÓRIA RESUMIDA'!F65</f>
        <v>SUB-TOTAL 1.8</v>
      </c>
      <c r="G65" s="131"/>
      <c r="H65" s="109">
        <f>SUM(H62:H64)</f>
        <v>5838.83</v>
      </c>
      <c r="I65" s="109">
        <f>SUM(I62:I64)</f>
        <v>7202.43</v>
      </c>
    </row>
    <row r="66" spans="1:9" s="61" customFormat="1" ht="15.75">
      <c r="A66" s="121" t="str">
        <f>'MEMÓRIA RESUMIDA'!A66</f>
        <v>1.9.</v>
      </c>
      <c r="B66" s="121"/>
      <c r="C66" s="122" t="str">
        <f>'MEMÓRIA RESUMIDA'!C66</f>
        <v>TRANSPORTE E BOTA FORA</v>
      </c>
      <c r="D66" s="121"/>
      <c r="E66" s="133"/>
      <c r="F66" s="121"/>
      <c r="G66" s="123"/>
      <c r="H66" s="126"/>
      <c r="I66" s="126"/>
    </row>
    <row r="67" spans="1:9" ht="30">
      <c r="A67" s="49" t="str">
        <f>'MEMÓRIA RESUMIDA'!A67</f>
        <v>1.9.1.</v>
      </c>
      <c r="B67" s="49" t="str">
        <f>'MEMÓRIA RESUMIDA'!B67</f>
        <v>05.001.0171-0</v>
      </c>
      <c r="C67" s="45" t="str">
        <f>'MEMÓRIA RESUMIDA'!C67</f>
        <v>Transporte horizontal de material de 1¦categoria ou entulho,em carrinhos,a 20,00m de distancia,inclusive carga a pa (obs.:3%- desgaste de ferramentas e epi).</v>
      </c>
      <c r="D67" s="49" t="str">
        <f>'MEMÓRIA RESUMIDA'!D67</f>
        <v>M3</v>
      </c>
      <c r="E67" s="60">
        <f>'MEMÓRIA RESUMIDA'!E67</f>
        <v>40</v>
      </c>
      <c r="F67" s="49">
        <f>'MEMÓRIA RESUMIDA'!F67</f>
        <v>23.86</v>
      </c>
      <c r="G67" s="118">
        <f>TRUNC((F67*1.2338),2)</f>
        <v>29.43</v>
      </c>
      <c r="H67" s="118">
        <f>TRUNC((E67*F67),2)</f>
        <v>954.4</v>
      </c>
      <c r="I67" s="118">
        <f>TRUNC((E67*G67),2)</f>
        <v>1177.2</v>
      </c>
    </row>
    <row r="68" spans="1:9" ht="30">
      <c r="A68" s="49" t="str">
        <f>'MEMÓRIA RESUMIDA'!A68</f>
        <v>1.9.2.</v>
      </c>
      <c r="B68" s="49" t="str">
        <f>'MEMÓRIA RESUMIDA'!B68</f>
        <v>04.014.0095-5</v>
      </c>
      <c r="C68" s="45" t="str">
        <f>'MEMÓRIA RESUMIDA'!C68</f>
        <v>Retirada de entulho de obra com cacamba de aco tipo containe r com 5m3 de capacidade,.custo por unidade de cacamba e inclui a tax a para descarga em locais autorizados</v>
      </c>
      <c r="D68" s="49" t="str">
        <f>'MEMÓRIA RESUMIDA'!D68</f>
        <v>UN</v>
      </c>
      <c r="E68" s="60">
        <f>'MEMÓRIA RESUMIDA'!E68</f>
        <v>8</v>
      </c>
      <c r="F68" s="49">
        <f>'MEMÓRIA RESUMIDA'!F68</f>
        <v>240</v>
      </c>
      <c r="G68" s="118">
        <f>TRUNC((F68*1.2338),2)</f>
        <v>296.11</v>
      </c>
      <c r="H68" s="118">
        <f>TRUNC((E68*F68),2)</f>
        <v>1920</v>
      </c>
      <c r="I68" s="118">
        <f>TRUNC((E68*G68),2)</f>
        <v>2368.88</v>
      </c>
    </row>
    <row r="69" spans="1:9" ht="45">
      <c r="A69" s="49" t="str">
        <f>'MEMÓRIA RESUMIDA'!A69</f>
        <v>1.9.3.</v>
      </c>
      <c r="B69" s="49" t="str">
        <f>'MEMÓRIA RESUMIDA'!B69</f>
        <v>04.006.0014-1</v>
      </c>
      <c r="C69" s="45" t="str">
        <f>'MEMÓRIA RESUMIDA'!C69</f>
        <v>Carga e descarga manual de material que exija o concurso de mais de um servente para cada peca:vergalhoes,vigas de madei ra,caixas e meios-fios,em caminhao de carroceria fixa a oleo diesel,com capacidade util de 7,5t,inclusive o tempo de car ga,descarga e manobra</v>
      </c>
      <c r="D69" s="49" t="str">
        <f>'MEMÓRIA RESUMIDA'!D69</f>
        <v>T</v>
      </c>
      <c r="E69" s="60">
        <f>'MEMÓRIA RESUMIDA'!E69</f>
        <v>7.5</v>
      </c>
      <c r="F69" s="49">
        <f>'MEMÓRIA RESUMIDA'!F69</f>
        <v>84.5</v>
      </c>
      <c r="G69" s="118">
        <f>TRUNC((F69*1.2338),2)</f>
        <v>104.25</v>
      </c>
      <c r="H69" s="118">
        <f>TRUNC((E69*F69),2)</f>
        <v>633.75</v>
      </c>
      <c r="I69" s="118">
        <f>TRUNC((E69*G69),2)</f>
        <v>781.87</v>
      </c>
    </row>
    <row r="70" spans="1:9" ht="45">
      <c r="A70" s="49" t="str">
        <f>'MEMÓRIA RESUMIDA'!A70</f>
        <v>1.9.4.</v>
      </c>
      <c r="B70" s="49" t="str">
        <f>'MEMÓRIA RESUMIDA'!B70</f>
        <v>04.005.0004-0</v>
      </c>
      <c r="C70" s="45" t="str">
        <f>'MEMÓRIA RESUMIDA'!C70</f>
        <v>Transporte de carga de qualquer natureza,exclusive as despes as de carga e descarga,tanto de espera do caminhao como do s ervente ou equipamento auxiliar,a velocidade media de 40km/h ,em caminhao de carroceria fixa a oleo diesel,com capacidade util de 7,5t</v>
      </c>
      <c r="D70" s="49" t="str">
        <f>'MEMÓRIA RESUMIDA'!D70</f>
        <v>T X KM</v>
      </c>
      <c r="E70" s="60">
        <f>'MEMÓRIA RESUMIDA'!E70</f>
        <v>58.5</v>
      </c>
      <c r="F70" s="49">
        <f>'MEMÓRIA RESUMIDA'!F70</f>
        <v>0.88</v>
      </c>
      <c r="G70" s="118">
        <f>TRUNC((F70*1.2338),2)</f>
        <v>1.08</v>
      </c>
      <c r="H70" s="118">
        <f>TRUNC((E70*F70),2)</f>
        <v>51.48</v>
      </c>
      <c r="I70" s="118">
        <f>TRUNC((E70*G70),2)</f>
        <v>63.18</v>
      </c>
    </row>
    <row r="71" spans="1:9" s="61" customFormat="1" ht="15.75">
      <c r="A71" s="56" t="str">
        <f>'MEMÓRIA RESUMIDA'!A71</f>
        <v>X</v>
      </c>
      <c r="B71" s="56"/>
      <c r="C71" s="106"/>
      <c r="D71" s="56"/>
      <c r="E71" s="132"/>
      <c r="F71" s="56" t="str">
        <f>'MEMÓRIA RESUMIDA'!F71</f>
        <v>SUB-TOTAL 1.9</v>
      </c>
      <c r="G71" s="117"/>
      <c r="H71" s="119">
        <f>SUM(H67:H70)</f>
        <v>3559.63</v>
      </c>
      <c r="I71" s="119">
        <f>SUM(I67:I70)</f>
        <v>4391.13</v>
      </c>
    </row>
    <row r="72" spans="1:9" s="61" customFormat="1" ht="15.75">
      <c r="A72" s="121" t="str">
        <f>'MEMÓRIA RESUMIDA'!A72</f>
        <v>1.10.</v>
      </c>
      <c r="B72" s="121"/>
      <c r="C72" s="122" t="str">
        <f>'MEMÓRIA RESUMIDA'!C72</f>
        <v>ANDAIMES</v>
      </c>
      <c r="D72" s="121"/>
      <c r="E72" s="133"/>
      <c r="F72" s="121"/>
      <c r="G72" s="127"/>
      <c r="H72" s="128"/>
      <c r="I72" s="128"/>
    </row>
    <row r="73" spans="1:9" ht="60">
      <c r="A73" s="49" t="str">
        <f>'MEMÓRIA RESUMIDA'!A73</f>
        <v>1.10.1</v>
      </c>
      <c r="B73" s="49" t="str">
        <f>'MEMÓRIA RESUMIDA'!B73</f>
        <v>05.006.0001-1</v>
      </c>
      <c r="C73" s="45" t="str">
        <f>'MEMÓRIA RESUMIDA'!C73</f>
        <v>Locacao de andaime com elementos tubulares sobre sapatas fixas,considerando-se a area da projecao vertical do andaime e pago pelo tempo necessario a sua utilizacao,exclusive transporte dos elementos do andaime ate a obra,plataforma ou passa rela de pinho,montagem e desmontagem dos andaimes</v>
      </c>
      <c r="D73" s="49" t="str">
        <f>'MEMÓRIA RESUMIDA'!D73</f>
        <v>M2XMES</v>
      </c>
      <c r="E73" s="60">
        <f>'MEMÓRIA RESUMIDA'!E73</f>
        <v>80.849999999999994</v>
      </c>
      <c r="F73" s="49">
        <f>'MEMÓRIA RESUMIDA'!F73</f>
        <v>12</v>
      </c>
      <c r="G73" s="118">
        <f>TRUNC((F73*1.2338),2)</f>
        <v>14.8</v>
      </c>
      <c r="H73" s="118">
        <f>TRUNC((E73*F73),2)</f>
        <v>970.2</v>
      </c>
      <c r="I73" s="118">
        <f>TRUNC((E73*G73),2)</f>
        <v>1196.58</v>
      </c>
    </row>
    <row r="74" spans="1:9" ht="30">
      <c r="A74" s="49" t="str">
        <f>'MEMÓRIA RESUMIDA'!A74</f>
        <v>1.10.2</v>
      </c>
      <c r="B74" s="49" t="str">
        <f>'MEMÓRIA RESUMIDA'!B74</f>
        <v>05.008.0001-0</v>
      </c>
      <c r="C74" s="45" t="str">
        <f>'MEMÓRIA RESUMIDA'!C74</f>
        <v>Montagem e desmontagem de andaime com elementos tubulares,considerando-se a area vertical recoberta (obs.:3%-desgaste de ferramentas e epi).</v>
      </c>
      <c r="D74" s="49" t="str">
        <f>'MEMÓRIA RESUMIDA'!D74</f>
        <v>M2</v>
      </c>
      <c r="E74" s="60">
        <f>'MEMÓRIA RESUMIDA'!E74</f>
        <v>26.95</v>
      </c>
      <c r="F74" s="49">
        <f>'MEMÓRIA RESUMIDA'!F74</f>
        <v>6.81</v>
      </c>
      <c r="G74" s="118">
        <f>TRUNC((F74*1.2338),2)</f>
        <v>8.4</v>
      </c>
      <c r="H74" s="118">
        <f>TRUNC((E74*F74),2)</f>
        <v>183.52</v>
      </c>
      <c r="I74" s="118">
        <f>TRUNC((E74*G74),2)</f>
        <v>226.38</v>
      </c>
    </row>
    <row r="75" spans="1:9" ht="30">
      <c r="A75" s="49" t="str">
        <f>'MEMÓRIA RESUMIDA'!A75</f>
        <v>1.10.3</v>
      </c>
      <c r="B75" s="49" t="str">
        <f>'MEMÓRIA RESUMIDA'!B75</f>
        <v>04.020.0122-0</v>
      </c>
      <c r="C75" s="45" t="str">
        <f>'MEMÓRIA RESUMIDA'!C75</f>
        <v>Transporte de andaime tubular,considerando-se a area de projecao vertical do andaime,exclusive carga,descarga e tempo de espera do caminhao(vide item 04.021.0010)</v>
      </c>
      <c r="D75" s="49" t="str">
        <f>'MEMÓRIA RESUMIDA'!D75</f>
        <v>M2XKM</v>
      </c>
      <c r="E75" s="60">
        <f>'MEMÓRIA RESUMIDA'!E75</f>
        <v>404.25</v>
      </c>
      <c r="F75" s="49">
        <f>'MEMÓRIA RESUMIDA'!F75</f>
        <v>0.13</v>
      </c>
      <c r="G75" s="118">
        <f>TRUNC((F75*1.2338),2)</f>
        <v>0.16</v>
      </c>
      <c r="H75" s="118">
        <f>TRUNC((E75*F75),2)</f>
        <v>52.55</v>
      </c>
      <c r="I75" s="118">
        <f>TRUNC((E75*G75),2)</f>
        <v>64.680000000000007</v>
      </c>
    </row>
    <row r="76" spans="1:9" ht="30">
      <c r="A76" s="49" t="str">
        <f>'MEMÓRIA RESUMIDA'!A76</f>
        <v>1.10.4</v>
      </c>
      <c r="B76" s="159" t="str">
        <f>'MEMÓRIA RESUMIDA'!B76</f>
        <v>05.005.0012-1 05.008.0008-1</v>
      </c>
      <c r="C76" s="45" t="str">
        <f>'MEMÓRIA RESUMIDA'!C76</f>
        <v>Plataforma ou passarela de madeira de 1¦,considerando-se aproveitamento da madeira 20 vezes,inclusive movimentacao vertical ou horizontal.</v>
      </c>
      <c r="D76" s="49" t="str">
        <f>'MEMÓRIA RESUMIDA'!D76</f>
        <v>M2</v>
      </c>
      <c r="E76" s="60">
        <f>'MEMÓRIA RESUMIDA'!E76</f>
        <v>7.7</v>
      </c>
      <c r="F76" s="49">
        <f>'MEMÓRIA RESUMIDA'!F76</f>
        <v>3.53</v>
      </c>
      <c r="G76" s="118">
        <f>TRUNC((F76*1.2338),2)</f>
        <v>4.3499999999999996</v>
      </c>
      <c r="H76" s="118">
        <f>TRUNC((E76*F76),2)</f>
        <v>27.18</v>
      </c>
      <c r="I76" s="118">
        <f>TRUNC((E76*G76),2)</f>
        <v>33.49</v>
      </c>
    </row>
    <row r="77" spans="1:9" ht="30">
      <c r="A77" s="49" t="str">
        <f>'MEMÓRIA RESUMIDA'!A77</f>
        <v>1.10.5</v>
      </c>
      <c r="B77" s="49" t="str">
        <f>'MEMÓRIA RESUMIDA'!B77</f>
        <v>05.008.0009-0</v>
      </c>
      <c r="C77" s="45" t="str">
        <f>'MEMÓRIA RESUMIDA'!C77</f>
        <v>Movimentacao horizontal de andaime com elementos tubulares tipo torre (obs.:3%-desgaste de ferramentas e epi).</v>
      </c>
      <c r="D77" s="49" t="str">
        <f>'MEMÓRIA RESUMIDA'!D77</f>
        <v>M</v>
      </c>
      <c r="E77" s="60">
        <f>'MEMÓRIA RESUMIDA'!E77</f>
        <v>76.099999999999994</v>
      </c>
      <c r="F77" s="49">
        <f>'MEMÓRIA RESUMIDA'!F77</f>
        <v>0.17</v>
      </c>
      <c r="G77" s="118">
        <f>TRUNC((F77*1.2338),2)</f>
        <v>0.2</v>
      </c>
      <c r="H77" s="118">
        <f>TRUNC((E77*F77),2)</f>
        <v>12.93</v>
      </c>
      <c r="I77" s="118">
        <f>TRUNC((E77*G77),2)</f>
        <v>15.22</v>
      </c>
    </row>
    <row r="78" spans="1:9" s="61" customFormat="1" ht="15.75">
      <c r="A78" s="121" t="str">
        <f>'MEMÓRIA RESUMIDA'!A78</f>
        <v>X</v>
      </c>
      <c r="B78" s="121"/>
      <c r="C78" s="122"/>
      <c r="D78" s="121"/>
      <c r="E78" s="121"/>
      <c r="F78" s="121" t="str">
        <f>'MEMÓRIA RESUMIDA'!F78</f>
        <v>SUB-TOTAL 1.10</v>
      </c>
      <c r="G78" s="123"/>
      <c r="H78" s="126">
        <f>SUM(H73:H77)</f>
        <v>1246.3800000000001</v>
      </c>
      <c r="I78" s="126">
        <f>SUM(I73:I77)</f>
        <v>1536.3500000000001</v>
      </c>
    </row>
    <row r="79" spans="1:9" s="61" customFormat="1" ht="15.75">
      <c r="A79" s="121" t="str">
        <f>'MEMÓRIA RESUMIDA'!A79</f>
        <v>X</v>
      </c>
      <c r="B79" s="121"/>
      <c r="C79" s="122"/>
      <c r="D79" s="121"/>
      <c r="E79" s="121"/>
      <c r="F79" s="121" t="str">
        <f>'MEMÓRIA RESUMIDA'!F79</f>
        <v>TOTAL GERAL=</v>
      </c>
      <c r="G79" s="127"/>
      <c r="H79" s="126">
        <f>H24+H28+H32+H40+H50+H56+H60+H65+H71+H78</f>
        <v>133576.19000000003</v>
      </c>
      <c r="I79" s="126">
        <f>I24+I28+I32+I40+I50+I56+I60+I65+I71+I78</f>
        <v>164788.89000000001</v>
      </c>
    </row>
    <row r="80" spans="1:9" ht="15.75">
      <c r="A80" s="56"/>
    </row>
    <row r="81" spans="1:1" ht="15.75">
      <c r="A81" s="56"/>
    </row>
  </sheetData>
  <mergeCells count="14">
    <mergeCell ref="H41:I41"/>
    <mergeCell ref="A10:A11"/>
    <mergeCell ref="B10:B11"/>
    <mergeCell ref="C10:C11"/>
    <mergeCell ref="D10:D11"/>
    <mergeCell ref="E10:E11"/>
    <mergeCell ref="D8:G8"/>
    <mergeCell ref="A9:I9"/>
    <mergeCell ref="F10:I10"/>
    <mergeCell ref="D3:G3"/>
    <mergeCell ref="D4:G4"/>
    <mergeCell ref="D5:G5"/>
    <mergeCell ref="D6:G6"/>
    <mergeCell ref="D7:G7"/>
  </mergeCells>
  <pageMargins left="0.51181102362204722" right="0.51181102362204722" top="0.78740157480314965" bottom="0.78740157480314965" header="0.31496062992125984" footer="0.31496062992125984"/>
  <pageSetup paperSize="9" scale="53" fitToHeight="1000" orientation="landscape" horizontalDpi="4294967293" r:id="rId1"/>
  <headerFooter>
    <oddFooter>&amp;C&amp;A&amp;RPágina &amp;P de &amp;N</oddFooter>
  </headerFooter>
  <drawing r:id="rId2"/>
</worksheet>
</file>

<file path=xl/worksheets/sheet4.xml><?xml version="1.0" encoding="utf-8"?>
<worksheet xmlns="http://schemas.openxmlformats.org/spreadsheetml/2006/main" xmlns:r="http://schemas.openxmlformats.org/officeDocument/2006/relationships">
  <dimension ref="A1:L31"/>
  <sheetViews>
    <sheetView showZeros="0" view="pageBreakPreview" topLeftCell="A10" zoomScale="40" zoomScaleNormal="70" zoomScaleSheetLayoutView="40" workbookViewId="0">
      <selection activeCell="E24" sqref="E24"/>
    </sheetView>
  </sheetViews>
  <sheetFormatPr defaultColWidth="8.85546875" defaultRowHeight="25.5"/>
  <cols>
    <col min="1" max="1" width="12.7109375" style="38" bestFit="1" customWidth="1"/>
    <col min="2" max="2" width="78.28515625" style="38" bestFit="1" customWidth="1"/>
    <col min="3" max="3" width="18" style="38" bestFit="1" customWidth="1"/>
    <col min="4" max="6" width="29.42578125" style="38" customWidth="1"/>
    <col min="7" max="7" width="18.5703125" style="38" customWidth="1"/>
    <col min="8" max="8" width="34.5703125" style="38" customWidth="1"/>
    <col min="9" max="9" width="33.140625" style="38" customWidth="1"/>
    <col min="10" max="10" width="21.28515625" style="22" bestFit="1" customWidth="1"/>
    <col min="11" max="11" width="19.140625" style="29" bestFit="1" customWidth="1"/>
    <col min="12" max="12" width="22.28515625" style="22" bestFit="1" customWidth="1"/>
    <col min="13" max="16384" width="8.85546875" style="22"/>
  </cols>
  <sheetData>
    <row r="1" spans="1:12" ht="39.75" customHeight="1">
      <c r="A1" s="227" t="s">
        <v>8</v>
      </c>
      <c r="B1" s="228"/>
      <c r="C1" s="228"/>
      <c r="D1" s="228"/>
      <c r="E1" s="228"/>
      <c r="F1" s="228"/>
      <c r="G1" s="228"/>
      <c r="H1" s="228"/>
      <c r="I1" s="20"/>
      <c r="J1" s="21"/>
    </row>
    <row r="2" spans="1:12" ht="39.75" customHeight="1">
      <c r="A2" s="229" t="s">
        <v>9</v>
      </c>
      <c r="B2" s="230"/>
      <c r="C2" s="230"/>
      <c r="D2" s="230"/>
      <c r="E2" s="230"/>
      <c r="F2" s="230"/>
      <c r="G2" s="230"/>
      <c r="H2" s="230"/>
      <c r="I2" s="23"/>
      <c r="J2" s="21"/>
    </row>
    <row r="3" spans="1:12" ht="39.75" customHeight="1">
      <c r="A3" s="229" t="s">
        <v>37</v>
      </c>
      <c r="B3" s="230"/>
      <c r="C3" s="230"/>
      <c r="D3" s="230"/>
      <c r="E3" s="230"/>
      <c r="F3" s="230"/>
      <c r="G3" s="230"/>
      <c r="H3" s="230"/>
      <c r="I3" s="23"/>
      <c r="J3" s="21"/>
    </row>
    <row r="4" spans="1:12" ht="39.75" customHeight="1">
      <c r="A4" s="231" t="s">
        <v>43</v>
      </c>
      <c r="B4" s="232"/>
      <c r="C4" s="232"/>
      <c r="D4" s="232"/>
      <c r="E4" s="232"/>
      <c r="F4" s="232"/>
      <c r="G4" s="232"/>
      <c r="H4" s="232"/>
      <c r="I4" s="23"/>
      <c r="J4" s="21"/>
    </row>
    <row r="5" spans="1:12" ht="39.75" customHeight="1">
      <c r="A5" s="233" t="s">
        <v>274</v>
      </c>
      <c r="B5" s="234"/>
      <c r="C5" s="234"/>
      <c r="D5" s="234"/>
      <c r="E5" s="234"/>
      <c r="F5" s="234"/>
      <c r="G5" s="234"/>
      <c r="H5" s="234"/>
      <c r="I5" s="23"/>
      <c r="J5" s="21"/>
    </row>
    <row r="6" spans="1:12" ht="39.75" customHeight="1">
      <c r="A6" s="237" t="s">
        <v>19</v>
      </c>
      <c r="B6" s="238"/>
      <c r="C6" s="238"/>
      <c r="D6" s="238"/>
      <c r="E6" s="238"/>
      <c r="F6" s="238"/>
      <c r="G6" s="238"/>
      <c r="H6" s="238"/>
      <c r="I6" s="23"/>
      <c r="J6" s="21"/>
    </row>
    <row r="7" spans="1:12" ht="39.75" customHeight="1">
      <c r="A7" s="257" t="s">
        <v>42</v>
      </c>
      <c r="B7" s="258"/>
      <c r="C7" s="258"/>
      <c r="D7" s="258"/>
      <c r="E7" s="258"/>
      <c r="F7" s="258"/>
      <c r="G7" s="258"/>
      <c r="H7" s="258"/>
      <c r="I7" s="23"/>
      <c r="J7" s="21"/>
    </row>
    <row r="8" spans="1:12" ht="39.75" customHeight="1">
      <c r="A8" s="241"/>
      <c r="B8" s="242"/>
      <c r="C8" s="242"/>
      <c r="D8" s="242"/>
      <c r="E8" s="242"/>
      <c r="F8" s="242"/>
      <c r="G8" s="242"/>
      <c r="H8" s="242"/>
      <c r="I8" s="24"/>
      <c r="J8" s="21"/>
    </row>
    <row r="9" spans="1:12" ht="39.75" customHeight="1">
      <c r="A9" s="259" t="s">
        <v>20</v>
      </c>
      <c r="B9" s="260"/>
      <c r="C9" s="260"/>
      <c r="D9" s="260"/>
      <c r="E9" s="260"/>
      <c r="F9" s="260"/>
      <c r="G9" s="260"/>
      <c r="H9" s="260"/>
      <c r="I9" s="261"/>
      <c r="J9" s="21"/>
    </row>
    <row r="10" spans="1:12" ht="39.75" customHeight="1">
      <c r="A10" s="243" t="s">
        <v>12</v>
      </c>
      <c r="B10" s="243" t="s">
        <v>21</v>
      </c>
      <c r="C10" s="71" t="s">
        <v>22</v>
      </c>
      <c r="D10" s="72"/>
      <c r="E10" s="72"/>
      <c r="F10" s="72"/>
      <c r="G10" s="72"/>
      <c r="H10" s="72"/>
      <c r="I10" s="25"/>
      <c r="J10" s="21"/>
      <c r="K10" s="39"/>
      <c r="L10" s="26"/>
    </row>
    <row r="11" spans="1:12" ht="39.75" customHeight="1">
      <c r="A11" s="244"/>
      <c r="B11" s="244"/>
      <c r="C11" s="246" t="s">
        <v>23</v>
      </c>
      <c r="D11" s="247"/>
      <c r="E11" s="246" t="s">
        <v>24</v>
      </c>
      <c r="F11" s="247"/>
      <c r="G11" s="246" t="s">
        <v>273</v>
      </c>
      <c r="H11" s="247"/>
      <c r="I11" s="25" t="s">
        <v>25</v>
      </c>
      <c r="J11" s="21"/>
      <c r="K11" s="39"/>
      <c r="L11" s="26"/>
    </row>
    <row r="12" spans="1:12" ht="39.75" customHeight="1">
      <c r="A12" s="245"/>
      <c r="B12" s="245"/>
      <c r="C12" s="27" t="s">
        <v>26</v>
      </c>
      <c r="D12" s="28" t="s">
        <v>27</v>
      </c>
      <c r="E12" s="27" t="s">
        <v>26</v>
      </c>
      <c r="F12" s="28" t="s">
        <v>27</v>
      </c>
      <c r="G12" s="27" t="s">
        <v>26</v>
      </c>
      <c r="H12" s="28" t="s">
        <v>27</v>
      </c>
      <c r="I12" s="25" t="s">
        <v>28</v>
      </c>
      <c r="J12" s="21"/>
    </row>
    <row r="13" spans="1:12" ht="39.75" customHeight="1">
      <c r="A13" s="248"/>
      <c r="B13" s="248"/>
      <c r="C13" s="50"/>
      <c r="D13" s="50"/>
      <c r="E13" s="50"/>
      <c r="F13" s="50"/>
      <c r="G13" s="50"/>
      <c r="H13" s="50"/>
      <c r="I13" s="135"/>
      <c r="J13" s="29"/>
    </row>
    <row r="14" spans="1:12" ht="39.75" customHeight="1">
      <c r="A14" s="30" t="s">
        <v>7</v>
      </c>
      <c r="B14" s="31" t="str">
        <f>' PLANILHA ONERADA'!C12</f>
        <v>SERVIÇOS PRELIMINARES</v>
      </c>
      <c r="C14" s="74">
        <v>0.9</v>
      </c>
      <c r="D14" s="73">
        <f t="shared" ref="D14:D23" si="0">C14*I14</f>
        <v>7771.2840000000006</v>
      </c>
      <c r="E14" s="74">
        <v>0.1</v>
      </c>
      <c r="F14" s="73">
        <f t="shared" ref="F14:F23" si="1">E14*I14</f>
        <v>863.47600000000011</v>
      </c>
      <c r="G14" s="146"/>
      <c r="H14" s="147"/>
      <c r="I14" s="135">
        <f>' PLANILHA ONERADA'!I24</f>
        <v>8634.76</v>
      </c>
      <c r="J14" s="32">
        <f t="shared" ref="J14:J23" si="2">D14+F14+H14</f>
        <v>8634.76</v>
      </c>
      <c r="K14" s="40">
        <f>I14-J14</f>
        <v>0</v>
      </c>
    </row>
    <row r="15" spans="1:12" ht="39.75" customHeight="1">
      <c r="A15" s="30" t="s">
        <v>264</v>
      </c>
      <c r="B15" s="31" t="str">
        <f>' PLANILHA ONERADA'!C25</f>
        <v>CONCRETO ARMADO</v>
      </c>
      <c r="C15" s="74">
        <v>0.1</v>
      </c>
      <c r="D15" s="73">
        <f t="shared" si="0"/>
        <v>315.45100000000002</v>
      </c>
      <c r="E15" s="74">
        <v>0.9</v>
      </c>
      <c r="F15" s="73">
        <f t="shared" si="1"/>
        <v>2839.0590000000002</v>
      </c>
      <c r="G15" s="146"/>
      <c r="H15" s="147"/>
      <c r="I15" s="135">
        <f>' PLANILHA ONERADA'!I28</f>
        <v>3154.51</v>
      </c>
      <c r="J15" s="32">
        <f t="shared" si="2"/>
        <v>3154.51</v>
      </c>
      <c r="K15" s="40">
        <f t="shared" ref="K15:K23" si="3">I15-J15</f>
        <v>0</v>
      </c>
    </row>
    <row r="16" spans="1:12" ht="39.75" customHeight="1">
      <c r="A16" s="30" t="s">
        <v>265</v>
      </c>
      <c r="B16" s="31" t="str">
        <f>' PLANILHA ONERADA'!C29</f>
        <v>ALVENARIA E REVESTIMENTOS</v>
      </c>
      <c r="C16" s="74">
        <v>0.2</v>
      </c>
      <c r="D16" s="73">
        <f>C16*I16</f>
        <v>466.94600000000003</v>
      </c>
      <c r="E16" s="74">
        <v>0.8</v>
      </c>
      <c r="F16" s="73">
        <f t="shared" si="1"/>
        <v>1867.7840000000001</v>
      </c>
      <c r="G16" s="160"/>
      <c r="H16" s="161"/>
      <c r="I16" s="135">
        <f>' PLANILHA ONERADA'!I32</f>
        <v>2334.73</v>
      </c>
      <c r="J16" s="32">
        <f t="shared" si="2"/>
        <v>2334.73</v>
      </c>
      <c r="K16" s="40">
        <f t="shared" si="3"/>
        <v>0</v>
      </c>
    </row>
    <row r="17" spans="1:11" ht="39.75" customHeight="1">
      <c r="A17" s="30" t="s">
        <v>266</v>
      </c>
      <c r="B17" s="31" t="str">
        <f>' PLANILHA ONERADA'!C33</f>
        <v>PISOS E PAMIMENTAÇÕES</v>
      </c>
      <c r="C17" s="74">
        <v>0.05</v>
      </c>
      <c r="D17" s="73">
        <f t="shared" si="0"/>
        <v>4823.9319999999998</v>
      </c>
      <c r="E17" s="74">
        <v>0.05</v>
      </c>
      <c r="F17" s="73">
        <f t="shared" si="1"/>
        <v>4823.9319999999998</v>
      </c>
      <c r="G17" s="74">
        <v>0.9</v>
      </c>
      <c r="H17" s="73">
        <f t="shared" ref="H17:H23" si="4">G17*I17</f>
        <v>86830.775999999998</v>
      </c>
      <c r="I17" s="135">
        <f>' PLANILHA ONERADA'!I40</f>
        <v>96478.64</v>
      </c>
      <c r="J17" s="32">
        <f t="shared" si="2"/>
        <v>96478.64</v>
      </c>
      <c r="K17" s="40">
        <f t="shared" si="3"/>
        <v>0</v>
      </c>
    </row>
    <row r="18" spans="1:11" ht="39.75" customHeight="1">
      <c r="A18" s="30" t="s">
        <v>267</v>
      </c>
      <c r="B18" s="31" t="str">
        <f>' PLANILHA ONERADA'!C41</f>
        <v>ALAMBRADO</v>
      </c>
      <c r="C18" s="74">
        <v>0.1</v>
      </c>
      <c r="D18" s="73">
        <f t="shared" si="0"/>
        <v>3384.2040000000002</v>
      </c>
      <c r="E18" s="74">
        <v>0.5</v>
      </c>
      <c r="F18" s="73">
        <f t="shared" si="1"/>
        <v>16921.02</v>
      </c>
      <c r="G18" s="74">
        <v>0.4</v>
      </c>
      <c r="H18" s="73">
        <f t="shared" si="4"/>
        <v>13536.816000000001</v>
      </c>
      <c r="I18" s="135">
        <f>' PLANILHA ONERADA'!I50</f>
        <v>33842.04</v>
      </c>
      <c r="J18" s="32">
        <f t="shared" si="2"/>
        <v>33842.04</v>
      </c>
      <c r="K18" s="40">
        <f t="shared" si="3"/>
        <v>0</v>
      </c>
    </row>
    <row r="19" spans="1:11" ht="39.75" customHeight="1">
      <c r="A19" s="30" t="s">
        <v>268</v>
      </c>
      <c r="B19" s="31" t="str">
        <f>' PLANILHA ONERADA'!C51</f>
        <v>INSTALAÇÃO ELÉTRICA</v>
      </c>
      <c r="C19" s="146"/>
      <c r="D19" s="147">
        <f t="shared" si="0"/>
        <v>0</v>
      </c>
      <c r="E19" s="74">
        <v>1</v>
      </c>
      <c r="F19" s="73">
        <f t="shared" si="1"/>
        <v>4091.9199999999996</v>
      </c>
      <c r="G19" s="146"/>
      <c r="H19" s="147">
        <f t="shared" si="4"/>
        <v>0</v>
      </c>
      <c r="I19" s="135">
        <f>' PLANILHA ONERADA'!I56</f>
        <v>4091.9199999999996</v>
      </c>
      <c r="J19" s="32">
        <f t="shared" si="2"/>
        <v>4091.9199999999996</v>
      </c>
      <c r="K19" s="40">
        <f t="shared" si="3"/>
        <v>0</v>
      </c>
    </row>
    <row r="20" spans="1:11" ht="39.75" customHeight="1">
      <c r="A20" s="30" t="s">
        <v>269</v>
      </c>
      <c r="B20" s="31" t="str">
        <f>' PLANILHA ONERADA'!C57</f>
        <v>MOBILIÁRIO ESPORTIVO</v>
      </c>
      <c r="C20" s="146"/>
      <c r="D20" s="147">
        <f t="shared" si="0"/>
        <v>0</v>
      </c>
      <c r="E20" s="146"/>
      <c r="F20" s="147">
        <f t="shared" si="1"/>
        <v>0</v>
      </c>
      <c r="G20" s="74">
        <v>1</v>
      </c>
      <c r="H20" s="73">
        <f t="shared" si="4"/>
        <v>3122.3799999999997</v>
      </c>
      <c r="I20" s="135">
        <f>' PLANILHA ONERADA'!I60</f>
        <v>3122.3799999999997</v>
      </c>
      <c r="J20" s="32">
        <f t="shared" si="2"/>
        <v>3122.3799999999997</v>
      </c>
      <c r="K20" s="40">
        <f t="shared" si="3"/>
        <v>0</v>
      </c>
    </row>
    <row r="21" spans="1:11" ht="39.75" customHeight="1">
      <c r="A21" s="30" t="s">
        <v>270</v>
      </c>
      <c r="B21" s="31" t="str">
        <f>' PLANILHA ONERADA'!C61</f>
        <v>PINTURA</v>
      </c>
      <c r="C21" s="74">
        <v>0.1</v>
      </c>
      <c r="D21" s="73">
        <f t="shared" si="0"/>
        <v>720.24300000000005</v>
      </c>
      <c r="E21" s="74">
        <v>0.8</v>
      </c>
      <c r="F21" s="73">
        <f t="shared" si="1"/>
        <v>5761.9440000000004</v>
      </c>
      <c r="G21" s="74">
        <v>0.1</v>
      </c>
      <c r="H21" s="73">
        <f t="shared" si="4"/>
        <v>720.24300000000005</v>
      </c>
      <c r="I21" s="135">
        <f>' PLANILHA ONERADA'!I65</f>
        <v>7202.43</v>
      </c>
      <c r="J21" s="32">
        <f t="shared" si="2"/>
        <v>7202.4300000000012</v>
      </c>
      <c r="K21" s="40">
        <f t="shared" si="3"/>
        <v>0</v>
      </c>
    </row>
    <row r="22" spans="1:11" ht="39.75" customHeight="1">
      <c r="A22" s="30" t="s">
        <v>271</v>
      </c>
      <c r="B22" s="31" t="str">
        <f>' PLANILHA ONERADA'!C66</f>
        <v>TRANSPORTE E BOTA FORA</v>
      </c>
      <c r="C22" s="74">
        <v>0.9</v>
      </c>
      <c r="D22" s="73">
        <f t="shared" si="0"/>
        <v>3952.0170000000003</v>
      </c>
      <c r="E22" s="74">
        <v>0.05</v>
      </c>
      <c r="F22" s="73">
        <f t="shared" si="1"/>
        <v>219.55650000000003</v>
      </c>
      <c r="G22" s="74">
        <v>0.05</v>
      </c>
      <c r="H22" s="73">
        <f t="shared" si="4"/>
        <v>219.55650000000003</v>
      </c>
      <c r="I22" s="135">
        <f>' PLANILHA ONERADA'!I71</f>
        <v>4391.13</v>
      </c>
      <c r="J22" s="32">
        <f t="shared" si="2"/>
        <v>4391.13</v>
      </c>
      <c r="K22" s="40">
        <f t="shared" si="3"/>
        <v>0</v>
      </c>
    </row>
    <row r="23" spans="1:11" ht="39.75" customHeight="1">
      <c r="A23" s="30" t="s">
        <v>272</v>
      </c>
      <c r="B23" s="31" t="str">
        <f>' PLANILHA ONERADA'!C72</f>
        <v>ANDAIMES</v>
      </c>
      <c r="C23" s="74">
        <v>0.3</v>
      </c>
      <c r="D23" s="73">
        <f t="shared" si="0"/>
        <v>460.90500000000003</v>
      </c>
      <c r="E23" s="74">
        <v>0.5</v>
      </c>
      <c r="F23" s="73">
        <f t="shared" si="1"/>
        <v>768.17500000000007</v>
      </c>
      <c r="G23" s="74">
        <v>0.2</v>
      </c>
      <c r="H23" s="73">
        <f t="shared" si="4"/>
        <v>307.27000000000004</v>
      </c>
      <c r="I23" s="135">
        <f>' PLANILHA ONERADA'!I78</f>
        <v>1536.3500000000001</v>
      </c>
      <c r="J23" s="32">
        <f t="shared" si="2"/>
        <v>1536.3500000000001</v>
      </c>
      <c r="K23" s="40">
        <f t="shared" si="3"/>
        <v>0</v>
      </c>
    </row>
    <row r="24" spans="1:11" ht="39.75" customHeight="1">
      <c r="A24" s="51"/>
      <c r="B24" s="52"/>
      <c r="C24" s="53"/>
      <c r="D24" s="54"/>
      <c r="E24" s="54"/>
      <c r="F24" s="54"/>
      <c r="G24" s="54"/>
      <c r="H24" s="54"/>
      <c r="I24" s="33">
        <f>SUM(I14:I23)</f>
        <v>164788.89000000001</v>
      </c>
      <c r="J24" s="32"/>
    </row>
    <row r="25" spans="1:11" ht="39.75" customHeight="1">
      <c r="A25" s="249" t="s">
        <v>29</v>
      </c>
      <c r="B25" s="250"/>
      <c r="C25" s="251">
        <f>SUM(D14:D23)</f>
        <v>21894.982</v>
      </c>
      <c r="D25" s="252"/>
      <c r="E25" s="251">
        <f>SUM(F14:F23)</f>
        <v>38156.866500000004</v>
      </c>
      <c r="F25" s="252"/>
      <c r="G25" s="251">
        <f>SUM(H14:H23)</f>
        <v>104737.04150000002</v>
      </c>
      <c r="H25" s="252"/>
      <c r="I25" s="34"/>
      <c r="J25" s="29"/>
    </row>
    <row r="26" spans="1:11" ht="39.75" customHeight="1">
      <c r="A26" s="249" t="s">
        <v>30</v>
      </c>
      <c r="B26" s="250"/>
      <c r="C26" s="235">
        <f>C25</f>
        <v>21894.982</v>
      </c>
      <c r="D26" s="236"/>
      <c r="E26" s="235">
        <f>C26+E25</f>
        <v>60051.848500000007</v>
      </c>
      <c r="F26" s="236"/>
      <c r="G26" s="235">
        <f>E26+G25</f>
        <v>164788.89000000001</v>
      </c>
      <c r="H26" s="236"/>
      <c r="I26" s="35"/>
      <c r="J26" s="29"/>
    </row>
    <row r="27" spans="1:11" ht="39.75" customHeight="1">
      <c r="A27" s="239" t="s">
        <v>31</v>
      </c>
      <c r="B27" s="240"/>
      <c r="C27" s="253">
        <f>C25/I24</f>
        <v>0.13286685771109932</v>
      </c>
      <c r="D27" s="254"/>
      <c r="E27" s="253">
        <f>E25/I24</f>
        <v>0.23154999405603133</v>
      </c>
      <c r="F27" s="254"/>
      <c r="G27" s="253">
        <f>G25/I24</f>
        <v>0.63558314823286943</v>
      </c>
      <c r="H27" s="254"/>
      <c r="I27" s="36"/>
      <c r="J27" s="29"/>
    </row>
    <row r="28" spans="1:11" ht="39.75" customHeight="1">
      <c r="A28" s="239" t="s">
        <v>32</v>
      </c>
      <c r="B28" s="240"/>
      <c r="C28" s="253">
        <f>C27</f>
        <v>0.13286685771109932</v>
      </c>
      <c r="D28" s="254"/>
      <c r="E28" s="255">
        <f>C28+E27</f>
        <v>0.36441685176713068</v>
      </c>
      <c r="F28" s="256"/>
      <c r="G28" s="255">
        <f>E28+G27</f>
        <v>1</v>
      </c>
      <c r="H28" s="256"/>
      <c r="I28" s="37"/>
      <c r="J28" s="29"/>
    </row>
    <row r="30" spans="1:11" ht="30">
      <c r="I30" s="55"/>
    </row>
    <row r="31" spans="1:11" ht="30">
      <c r="I31" s="55"/>
    </row>
  </sheetData>
  <mergeCells count="31">
    <mergeCell ref="E27:F27"/>
    <mergeCell ref="A28:B28"/>
    <mergeCell ref="C28:D28"/>
    <mergeCell ref="E28:F28"/>
    <mergeCell ref="G28:H28"/>
    <mergeCell ref="G25:H25"/>
    <mergeCell ref="E25:F25"/>
    <mergeCell ref="G27:H27"/>
    <mergeCell ref="A26:B26"/>
    <mergeCell ref="C27:D27"/>
    <mergeCell ref="E26:F26"/>
    <mergeCell ref="A27:B27"/>
    <mergeCell ref="A8:H8"/>
    <mergeCell ref="A10:A12"/>
    <mergeCell ref="B10:B12"/>
    <mergeCell ref="G26:H26"/>
    <mergeCell ref="G11:H11"/>
    <mergeCell ref="A13:B13"/>
    <mergeCell ref="A25:B25"/>
    <mergeCell ref="C25:D25"/>
    <mergeCell ref="A9:I9"/>
    <mergeCell ref="A1:H1"/>
    <mergeCell ref="A2:H2"/>
    <mergeCell ref="A3:H3"/>
    <mergeCell ref="A4:H4"/>
    <mergeCell ref="A5:H5"/>
    <mergeCell ref="C26:D26"/>
    <mergeCell ref="A6:H6"/>
    <mergeCell ref="A7:H7"/>
    <mergeCell ref="E11:F11"/>
    <mergeCell ref="C11:D11"/>
  </mergeCells>
  <phoneticPr fontId="25" type="noConversion"/>
  <printOptions horizontalCentered="1" verticalCentered="1"/>
  <pageMargins left="0.39370078740157483" right="0.39370078740157483" top="0.98425196850393704" bottom="0.39370078740157483" header="0" footer="0"/>
  <pageSetup paperSize="9" scale="42" fitToHeight="1000" orientation="landscape" horizontalDpi="4294967294" verticalDpi="300" r:id="rId1"/>
  <headerFooter alignWithMargins="0">
    <oddFooter>&amp;C&amp;14&amp;A&amp;R&amp;14Página &amp;P de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4</vt:i4>
      </vt:variant>
      <vt:variant>
        <vt:lpstr>Intervalos nomeados</vt:lpstr>
      </vt:variant>
      <vt:variant>
        <vt:i4>8</vt:i4>
      </vt:variant>
    </vt:vector>
  </HeadingPairs>
  <TitlesOfParts>
    <vt:vector size="12" baseType="lpstr">
      <vt:lpstr>MEMÓRIA ONERADA</vt:lpstr>
      <vt:lpstr>MEMÓRIA RESUMIDA</vt:lpstr>
      <vt:lpstr> PLANILHA ONERADA</vt:lpstr>
      <vt:lpstr>Cronograma </vt:lpstr>
      <vt:lpstr>' PLANILHA ONERADA'!Area_de_impressao</vt:lpstr>
      <vt:lpstr>'Cronograma '!Area_de_impressao</vt:lpstr>
      <vt:lpstr>'MEMÓRIA ONERADA'!Area_de_impressao</vt:lpstr>
      <vt:lpstr>'MEMÓRIA RESUMIDA'!Area_de_impressao</vt:lpstr>
      <vt:lpstr>' PLANILHA ONERADA'!Titulos_de_impressao</vt:lpstr>
      <vt:lpstr>'Cronograma '!Titulos_de_impressao</vt:lpstr>
      <vt:lpstr>'MEMÓRIA ONERADA'!Titulos_de_impressao</vt:lpstr>
      <vt:lpstr>'MEMÓRIA RESUMIDA'!Titulos_de_impressao</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Alfredo Antonio Nicolau Macedo Cunha</dc:creator>
  <cp:lastModifiedBy>Lelia Mada Costa Nogueira</cp:lastModifiedBy>
  <cp:lastPrinted>2021-07-08T16:33:34Z</cp:lastPrinted>
  <dcterms:created xsi:type="dcterms:W3CDTF">2017-11-22T13:14:51Z</dcterms:created>
  <dcterms:modified xsi:type="dcterms:W3CDTF">2021-07-16T15:06:40Z</dcterms:modified>
</cp:coreProperties>
</file>