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855" windowWidth="20115" windowHeight="7215" activeTab="2"/>
  </bookViews>
  <sheets>
    <sheet name="MEMÓRIA ONERADA" sheetId="9" r:id="rId1"/>
    <sheet name="MEMÓRIA RESUMIDA" sheetId="21" r:id="rId2"/>
    <sheet name=" PLANILHA ONERADA" sheetId="12" r:id="rId3"/>
    <sheet name="Cronograma " sheetId="6" r:id="rId4"/>
  </sheets>
  <externalReferences>
    <externalReference r:id="rId5"/>
    <externalReference r:id="rId6"/>
    <externalReference r:id="rId7"/>
  </externalReferences>
  <definedNames>
    <definedName name="__shared_1_0_0">#REF!*#REF!</definedName>
    <definedName name="__shared_1_1_0">#REF!*#REF!</definedName>
    <definedName name="__shared_1_2_0">#REF!*#REF!</definedName>
    <definedName name="__shared_1_3_0">#REF!*#REF!</definedName>
    <definedName name="__shared_1_3_1">#REF!*#REF!</definedName>
    <definedName name="__shared_1_4_0">#REF!*#REF!</definedName>
    <definedName name="__shared_1_5_0">#REF!*#REF!</definedName>
    <definedName name="__shared_2_0_0">#REF!*#REF!</definedName>
    <definedName name="__shared_3_0_0">SUM(#REF!)</definedName>
    <definedName name="_xlnm.Extract" localSheetId="3">'Cronograma '!#REF!</definedName>
    <definedName name="_xlnm.Print_Area" localSheetId="2">' PLANILHA ONERADA'!$A$1:$I$79</definedName>
    <definedName name="_xlnm.Print_Area" localSheetId="3">'Cronograma '!$A$1:$I$28</definedName>
    <definedName name="_xlnm.Print_Area" localSheetId="0">'MEMÓRIA ONERADA'!$A$1:$G$383</definedName>
    <definedName name="_xlnm.Print_Area" localSheetId="1">'MEMÓRIA RESUMIDA'!$A$1:$G$79</definedName>
    <definedName name="BDI" localSheetId="2">#REF!</definedName>
    <definedName name="BDI" localSheetId="3">#REF!</definedName>
    <definedName name="BDI" localSheetId="0">#REF!</definedName>
    <definedName name="BDI" localSheetId="1">#REF!</definedName>
    <definedName name="BDI">#REF!</definedName>
    <definedName name="_xlnm.Criteria" localSheetId="3">'Cronograma '!#REF!</definedName>
    <definedName name="cronog">#REF!</definedName>
    <definedName name="MEM_A">#REF!</definedName>
    <definedName name="MEN_B">#REF!</definedName>
    <definedName name="OnerADO">#REF!</definedName>
    <definedName name="ORÇ_A">#REF!</definedName>
    <definedName name="ORÇ_B">#REF!</definedName>
    <definedName name="ORÇ_D">#REF!</definedName>
    <definedName name="orcb">#REF!</definedName>
    <definedName name="_xlnm.Print_Titles" localSheetId="2">' PLANILHA ONERADA'!$1:$11</definedName>
    <definedName name="_xlnm.Print_Titles" localSheetId="3">'Cronograma '!$10:$12</definedName>
    <definedName name="_xlnm.Print_Titles" localSheetId="0">'MEMÓRIA ONERADA'!$9:$11</definedName>
    <definedName name="_xlnm.Print_Titles" localSheetId="1">'MEMÓRIA RESUMIDA'!$9:$11</definedName>
  </definedNames>
  <calcPr calcId="125725" fullCalcOnLoad="1" iterate="1"/>
</workbook>
</file>

<file path=xl/calcChain.xml><?xml version="1.0" encoding="utf-8"?>
<calcChain xmlns="http://schemas.openxmlformats.org/spreadsheetml/2006/main">
  <c r="E205" i="9"/>
  <c r="F259"/>
  <c r="F260"/>
  <c r="G260"/>
  <c r="F265"/>
  <c r="G265"/>
  <c r="F264"/>
  <c r="G264"/>
  <c r="F263"/>
  <c r="G263"/>
  <c r="F262"/>
  <c r="G262"/>
  <c r="G261"/>
  <c r="G247"/>
  <c r="F249"/>
  <c r="G249"/>
  <c r="F248"/>
  <c r="G248"/>
  <c r="B49" i="12"/>
  <c r="C49"/>
  <c r="D49"/>
  <c r="E49"/>
  <c r="F255" i="9"/>
  <c r="G255"/>
  <c r="F254"/>
  <c r="G254"/>
  <c r="F253"/>
  <c r="G253"/>
  <c r="F252"/>
  <c r="G252"/>
  <c r="F398"/>
  <c r="G398"/>
  <c r="F397"/>
  <c r="G397"/>
  <c r="F396"/>
  <c r="G396"/>
  <c r="F395"/>
  <c r="G395"/>
  <c r="F394"/>
  <c r="G394"/>
  <c r="E392"/>
  <c r="G390"/>
  <c r="F392"/>
  <c r="F391"/>
  <c r="G391"/>
  <c r="A55" i="12"/>
  <c r="B55"/>
  <c r="C55"/>
  <c r="D55"/>
  <c r="E55"/>
  <c r="E371" i="9"/>
  <c r="E76" i="21"/>
  <c r="E76" i="12" s="1"/>
  <c r="F131" i="9"/>
  <c r="G131"/>
  <c r="F130"/>
  <c r="G130"/>
  <c r="F129"/>
  <c r="G129"/>
  <c r="F128"/>
  <c r="G128"/>
  <c r="F127"/>
  <c r="G127"/>
  <c r="F126"/>
  <c r="G126"/>
  <c r="G208"/>
  <c r="F207"/>
  <c r="G207"/>
  <c r="E42" i="21"/>
  <c r="E42" i="12" s="1"/>
  <c r="B54"/>
  <c r="C54"/>
  <c r="D54"/>
  <c r="A54"/>
  <c r="E54"/>
  <c r="F280" i="9"/>
  <c r="G280"/>
  <c r="F279"/>
  <c r="G279"/>
  <c r="F278"/>
  <c r="G278"/>
  <c r="F277"/>
  <c r="G277"/>
  <c r="F276"/>
  <c r="G276"/>
  <c r="F376"/>
  <c r="G376"/>
  <c r="G377"/>
  <c r="F375"/>
  <c r="F297"/>
  <c r="G297"/>
  <c r="F296"/>
  <c r="G296"/>
  <c r="F295"/>
  <c r="G295"/>
  <c r="F294"/>
  <c r="G294"/>
  <c r="F291"/>
  <c r="G291"/>
  <c r="F290"/>
  <c r="G290"/>
  <c r="F289"/>
  <c r="G289"/>
  <c r="F288"/>
  <c r="G288"/>
  <c r="F285"/>
  <c r="G285"/>
  <c r="F284"/>
  <c r="G284"/>
  <c r="F283"/>
  <c r="G283"/>
  <c r="E74" i="21"/>
  <c r="E74" i="12"/>
  <c r="G329" i="9"/>
  <c r="F332"/>
  <c r="G332"/>
  <c r="F331"/>
  <c r="G331"/>
  <c r="F330"/>
  <c r="G330"/>
  <c r="F328"/>
  <c r="G328"/>
  <c r="F327"/>
  <c r="G327"/>
  <c r="E317"/>
  <c r="E316"/>
  <c r="F315"/>
  <c r="G315"/>
  <c r="E56"/>
  <c r="E55"/>
  <c r="E54"/>
  <c r="E53"/>
  <c r="F56"/>
  <c r="F55"/>
  <c r="F54"/>
  <c r="F53"/>
  <c r="F273"/>
  <c r="G273"/>
  <c r="F272"/>
  <c r="G272"/>
  <c r="F271"/>
  <c r="G271"/>
  <c r="F270"/>
  <c r="G270"/>
  <c r="F269"/>
  <c r="G269"/>
  <c r="E237"/>
  <c r="G237"/>
  <c r="G225"/>
  <c r="A48" i="12"/>
  <c r="B48"/>
  <c r="C48"/>
  <c r="D48"/>
  <c r="E48"/>
  <c r="F243" i="9"/>
  <c r="G243"/>
  <c r="F242"/>
  <c r="G242"/>
  <c r="G241"/>
  <c r="F42"/>
  <c r="G42"/>
  <c r="G43"/>
  <c r="F41"/>
  <c r="E27" i="21"/>
  <c r="E27" i="12"/>
  <c r="E20" i="21"/>
  <c r="E20" i="12" s="1"/>
  <c r="F24"/>
  <c r="F28"/>
  <c r="F32"/>
  <c r="F40"/>
  <c r="F50"/>
  <c r="F56"/>
  <c r="F60"/>
  <c r="F65"/>
  <c r="F71"/>
  <c r="F78"/>
  <c r="F79"/>
  <c r="C12"/>
  <c r="B14" i="6"/>
  <c r="B13" i="12"/>
  <c r="C13"/>
  <c r="D13"/>
  <c r="B14"/>
  <c r="C14"/>
  <c r="D14"/>
  <c r="B15"/>
  <c r="C15"/>
  <c r="D15"/>
  <c r="B16"/>
  <c r="C16"/>
  <c r="D16"/>
  <c r="B17"/>
  <c r="C17"/>
  <c r="D17"/>
  <c r="B18"/>
  <c r="C18"/>
  <c r="D18"/>
  <c r="B19"/>
  <c r="C19"/>
  <c r="D19"/>
  <c r="B20"/>
  <c r="C20"/>
  <c r="D20"/>
  <c r="B21"/>
  <c r="C21"/>
  <c r="D21"/>
  <c r="B22"/>
  <c r="C22"/>
  <c r="D22"/>
  <c r="B23"/>
  <c r="C23"/>
  <c r="D23"/>
  <c r="C25"/>
  <c r="B15" i="6" s="1"/>
  <c r="B26" i="12"/>
  <c r="C26"/>
  <c r="D26"/>
  <c r="B27"/>
  <c r="C27"/>
  <c r="D27"/>
  <c r="C29"/>
  <c r="B16" i="6" s="1"/>
  <c r="D29" i="12"/>
  <c r="B30"/>
  <c r="C30"/>
  <c r="D30"/>
  <c r="B31"/>
  <c r="C31"/>
  <c r="D31"/>
  <c r="C33"/>
  <c r="B17" i="6"/>
  <c r="D33" i="12"/>
  <c r="B34"/>
  <c r="C34"/>
  <c r="D34"/>
  <c r="B35"/>
  <c r="C35"/>
  <c r="D35"/>
  <c r="B36"/>
  <c r="C36"/>
  <c r="D36"/>
  <c r="B37"/>
  <c r="C37"/>
  <c r="D37"/>
  <c r="B38"/>
  <c r="C38"/>
  <c r="D38"/>
  <c r="B39"/>
  <c r="C39"/>
  <c r="D39"/>
  <c r="C41"/>
  <c r="B18" i="6"/>
  <c r="B42" i="12"/>
  <c r="C42"/>
  <c r="D42"/>
  <c r="B43"/>
  <c r="C43"/>
  <c r="D43"/>
  <c r="B44"/>
  <c r="C44"/>
  <c r="D44"/>
  <c r="B45"/>
  <c r="C45"/>
  <c r="D45"/>
  <c r="B46"/>
  <c r="C46"/>
  <c r="D46"/>
  <c r="B47"/>
  <c r="C47"/>
  <c r="D47"/>
  <c r="C51"/>
  <c r="B19" i="6"/>
  <c r="D51" i="12"/>
  <c r="B52"/>
  <c r="C52"/>
  <c r="D52"/>
  <c r="B53"/>
  <c r="C53"/>
  <c r="D53"/>
  <c r="C57"/>
  <c r="B20" i="6" s="1"/>
  <c r="B58" i="12"/>
  <c r="C58"/>
  <c r="D58"/>
  <c r="B59"/>
  <c r="C59"/>
  <c r="D59"/>
  <c r="C61"/>
  <c r="B21" i="6" s="1"/>
  <c r="B62" i="12"/>
  <c r="C62"/>
  <c r="D62"/>
  <c r="B63"/>
  <c r="C63"/>
  <c r="D63"/>
  <c r="B64"/>
  <c r="C64"/>
  <c r="D64"/>
  <c r="C66"/>
  <c r="B22" i="6"/>
  <c r="B67" i="12"/>
  <c r="C67"/>
  <c r="D67"/>
  <c r="B68"/>
  <c r="C68"/>
  <c r="D68"/>
  <c r="B69"/>
  <c r="C69"/>
  <c r="D69"/>
  <c r="B70"/>
  <c r="C70"/>
  <c r="D70"/>
  <c r="C72"/>
  <c r="B23" i="6" s="1"/>
  <c r="B73" i="12"/>
  <c r="C73"/>
  <c r="D73"/>
  <c r="B74"/>
  <c r="C74"/>
  <c r="D74"/>
  <c r="B75"/>
  <c r="C75"/>
  <c r="D75"/>
  <c r="B76"/>
  <c r="C76"/>
  <c r="D76"/>
  <c r="B77"/>
  <c r="C77"/>
  <c r="D77"/>
  <c r="A77"/>
  <c r="A78"/>
  <c r="A79"/>
  <c r="A75"/>
  <c r="A76"/>
  <c r="A69"/>
  <c r="A70"/>
  <c r="A71"/>
  <c r="A72"/>
  <c r="A73"/>
  <c r="A74"/>
  <c r="A13"/>
  <c r="A14"/>
  <c r="A15"/>
  <c r="A16"/>
  <c r="A17"/>
  <c r="A18"/>
  <c r="A19"/>
  <c r="A20"/>
  <c r="A21"/>
  <c r="A22"/>
  <c r="A23"/>
  <c r="A24"/>
  <c r="A25"/>
  <c r="A26"/>
  <c r="A27"/>
  <c r="A28"/>
  <c r="A29"/>
  <c r="A30"/>
  <c r="A31"/>
  <c r="A32"/>
  <c r="A33"/>
  <c r="A34"/>
  <c r="A35"/>
  <c r="A36"/>
  <c r="A37"/>
  <c r="A38"/>
  <c r="A39"/>
  <c r="A40"/>
  <c r="A41"/>
  <c r="A42"/>
  <c r="A43"/>
  <c r="A44"/>
  <c r="A45"/>
  <c r="A46"/>
  <c r="A47"/>
  <c r="A50"/>
  <c r="A51"/>
  <c r="A52"/>
  <c r="A53"/>
  <c r="A56"/>
  <c r="A57"/>
  <c r="A58"/>
  <c r="A59"/>
  <c r="A60"/>
  <c r="A61"/>
  <c r="A62"/>
  <c r="A63"/>
  <c r="A64"/>
  <c r="A65"/>
  <c r="A66"/>
  <c r="A67"/>
  <c r="A68"/>
  <c r="A12"/>
  <c r="E69" i="21"/>
  <c r="E69" i="12"/>
  <c r="E68" i="21"/>
  <c r="E68" i="12" s="1"/>
  <c r="E67" i="21"/>
  <c r="E67" i="12"/>
  <c r="E64" i="21"/>
  <c r="E64" i="12" s="1"/>
  <c r="E63" i="21"/>
  <c r="E63" i="12"/>
  <c r="E62" i="21"/>
  <c r="E62" i="12" s="1"/>
  <c r="E59" i="21"/>
  <c r="E59" i="12"/>
  <c r="E58" i="21"/>
  <c r="E58" i="12" s="1"/>
  <c r="E53" i="21"/>
  <c r="E53" i="12"/>
  <c r="E52" i="21"/>
  <c r="E52" i="12" s="1"/>
  <c r="E47" i="21"/>
  <c r="E47" i="12"/>
  <c r="E46" i="21"/>
  <c r="E46" i="12" s="1"/>
  <c r="E45" i="21"/>
  <c r="E45" i="12" s="1"/>
  <c r="E44" i="21"/>
  <c r="E44" i="12" s="1"/>
  <c r="E43" i="21"/>
  <c r="E43" i="12"/>
  <c r="E39" i="21"/>
  <c r="E39" i="12" s="1"/>
  <c r="E38" i="21"/>
  <c r="E38" i="12" s="1"/>
  <c r="E37" i="21"/>
  <c r="E37" i="12" s="1"/>
  <c r="E36" i="21"/>
  <c r="E36" i="12" s="1"/>
  <c r="E35" i="21"/>
  <c r="E35" i="12" s="1"/>
  <c r="E34" i="21"/>
  <c r="E34" i="12" s="1"/>
  <c r="E31" i="21"/>
  <c r="E31" i="12" s="1"/>
  <c r="E30" i="21"/>
  <c r="E30" i="12" s="1"/>
  <c r="E26" i="21"/>
  <c r="E26" i="12" s="1"/>
  <c r="E23" i="21"/>
  <c r="E23" i="12" s="1"/>
  <c r="E22" i="21"/>
  <c r="E22" i="12" s="1"/>
  <c r="E21" i="21"/>
  <c r="E21" i="12" s="1"/>
  <c r="E19" i="21"/>
  <c r="E19" i="12" s="1"/>
  <c r="E18"/>
  <c r="E17" i="21"/>
  <c r="E17" i="12"/>
  <c r="E16" i="21"/>
  <c r="E16" i="12"/>
  <c r="E15" i="21"/>
  <c r="E15" i="12"/>
  <c r="E14" i="21"/>
  <c r="E14" i="12"/>
  <c r="E13" i="21"/>
  <c r="E13" i="12"/>
  <c r="F380" i="9"/>
  <c r="G380"/>
  <c r="G381"/>
  <c r="F379"/>
  <c r="F378"/>
  <c r="F77" i="21"/>
  <c r="F77" i="12" s="1"/>
  <c r="G77" s="1"/>
  <c r="F373" i="9"/>
  <c r="G373"/>
  <c r="G374"/>
  <c r="F372"/>
  <c r="G372"/>
  <c r="F369"/>
  <c r="G369"/>
  <c r="G370"/>
  <c r="F368"/>
  <c r="G368"/>
  <c r="F365"/>
  <c r="G365"/>
  <c r="G366"/>
  <c r="F364"/>
  <c r="G364"/>
  <c r="F361"/>
  <c r="G361"/>
  <c r="G362"/>
  <c r="F360"/>
  <c r="F359"/>
  <c r="E353"/>
  <c r="E70" i="21"/>
  <c r="E70" i="12" s="1"/>
  <c r="F236" i="9"/>
  <c r="G236"/>
  <c r="G238"/>
  <c r="F235"/>
  <c r="G235"/>
  <c r="F232"/>
  <c r="G232"/>
  <c r="G233"/>
  <c r="F231"/>
  <c r="F220"/>
  <c r="G220"/>
  <c r="F219"/>
  <c r="G219"/>
  <c r="F218"/>
  <c r="G218"/>
  <c r="F152"/>
  <c r="G152"/>
  <c r="F151"/>
  <c r="G151"/>
  <c r="F150"/>
  <c r="G150"/>
  <c r="F149"/>
  <c r="G149"/>
  <c r="F148"/>
  <c r="G148"/>
  <c r="F145"/>
  <c r="G145"/>
  <c r="F144"/>
  <c r="G144"/>
  <c r="F120"/>
  <c r="G120"/>
  <c r="F119"/>
  <c r="G119"/>
  <c r="F118"/>
  <c r="G118"/>
  <c r="F117"/>
  <c r="G117"/>
  <c r="F116"/>
  <c r="G116"/>
  <c r="F355"/>
  <c r="G355"/>
  <c r="G356"/>
  <c r="F354"/>
  <c r="G354"/>
  <c r="F350"/>
  <c r="G350"/>
  <c r="F349"/>
  <c r="G349"/>
  <c r="F348"/>
  <c r="G348"/>
  <c r="F343"/>
  <c r="G343"/>
  <c r="F342"/>
  <c r="G342"/>
  <c r="F338"/>
  <c r="G338"/>
  <c r="G339"/>
  <c r="F337"/>
  <c r="G337"/>
  <c r="F323"/>
  <c r="G323"/>
  <c r="F322"/>
  <c r="G322"/>
  <c r="F321"/>
  <c r="G321"/>
  <c r="F317"/>
  <c r="F316"/>
  <c r="F314"/>
  <c r="G314"/>
  <c r="F308"/>
  <c r="G308"/>
  <c r="G309"/>
  <c r="F307"/>
  <c r="F303"/>
  <c r="G303"/>
  <c r="G304"/>
  <c r="F302"/>
  <c r="F228"/>
  <c r="G228"/>
  <c r="F227"/>
  <c r="G227"/>
  <c r="F226"/>
  <c r="G226"/>
  <c r="F214"/>
  <c r="G214"/>
  <c r="F213"/>
  <c r="G213"/>
  <c r="F212"/>
  <c r="G212"/>
  <c r="F201"/>
  <c r="G201"/>
  <c r="F200"/>
  <c r="G200"/>
  <c r="F199"/>
  <c r="G199"/>
  <c r="F198"/>
  <c r="G198"/>
  <c r="F197"/>
  <c r="G197"/>
  <c r="F196"/>
  <c r="G196"/>
  <c r="F195"/>
  <c r="G195"/>
  <c r="F190"/>
  <c r="G190"/>
  <c r="F189"/>
  <c r="G189"/>
  <c r="F188"/>
  <c r="G188"/>
  <c r="F187"/>
  <c r="G187"/>
  <c r="F186"/>
  <c r="G186"/>
  <c r="F185"/>
  <c r="G185"/>
  <c r="F184"/>
  <c r="G184"/>
  <c r="F179"/>
  <c r="G179"/>
  <c r="F178"/>
  <c r="G178"/>
  <c r="F177"/>
  <c r="G177"/>
  <c r="F176"/>
  <c r="G176"/>
  <c r="F175"/>
  <c r="G175"/>
  <c r="F174"/>
  <c r="G174"/>
  <c r="F173"/>
  <c r="G173"/>
  <c r="G156"/>
  <c r="G157"/>
  <c r="F155"/>
  <c r="F168"/>
  <c r="G168"/>
  <c r="F167"/>
  <c r="G167"/>
  <c r="F166"/>
  <c r="G166"/>
  <c r="F165"/>
  <c r="G165"/>
  <c r="F164"/>
  <c r="G164"/>
  <c r="F163"/>
  <c r="G163"/>
  <c r="F162"/>
  <c r="G162"/>
  <c r="G161"/>
  <c r="F138"/>
  <c r="G138"/>
  <c r="F137"/>
  <c r="G137"/>
  <c r="F136"/>
  <c r="G136"/>
  <c r="F135"/>
  <c r="G135"/>
  <c r="F111"/>
  <c r="G111"/>
  <c r="F110"/>
  <c r="G110"/>
  <c r="F109"/>
  <c r="G109"/>
  <c r="F108"/>
  <c r="G108"/>
  <c r="F107"/>
  <c r="G107"/>
  <c r="F106"/>
  <c r="G106"/>
  <c r="F105"/>
  <c r="G105"/>
  <c r="F104"/>
  <c r="G104"/>
  <c r="F103"/>
  <c r="G103"/>
  <c r="F102"/>
  <c r="G102"/>
  <c r="F101"/>
  <c r="G101"/>
  <c r="F100"/>
  <c r="G100"/>
  <c r="F99"/>
  <c r="G99"/>
  <c r="F98"/>
  <c r="G98"/>
  <c r="F97"/>
  <c r="G97"/>
  <c r="F96"/>
  <c r="G96"/>
  <c r="F95"/>
  <c r="G95"/>
  <c r="F94"/>
  <c r="G94"/>
  <c r="F93"/>
  <c r="G93"/>
  <c r="F92"/>
  <c r="G92"/>
  <c r="F91"/>
  <c r="G91"/>
  <c r="F90"/>
  <c r="G90"/>
  <c r="F89"/>
  <c r="G89"/>
  <c r="F88"/>
  <c r="G88"/>
  <c r="F87"/>
  <c r="G87"/>
  <c r="F86"/>
  <c r="G86"/>
  <c r="F80"/>
  <c r="G80"/>
  <c r="G81"/>
  <c r="F79"/>
  <c r="F78"/>
  <c r="G78"/>
  <c r="F75"/>
  <c r="G75"/>
  <c r="G76"/>
  <c r="F74"/>
  <c r="F70"/>
  <c r="G70"/>
  <c r="F69"/>
  <c r="G69"/>
  <c r="F65"/>
  <c r="G65"/>
  <c r="G66"/>
  <c r="F64"/>
  <c r="G64"/>
  <c r="F60"/>
  <c r="G60"/>
  <c r="G61"/>
  <c r="F59"/>
  <c r="F50"/>
  <c r="G50"/>
  <c r="F49"/>
  <c r="G49"/>
  <c r="F48"/>
  <c r="G48"/>
  <c r="F47"/>
  <c r="G47"/>
  <c r="F37"/>
  <c r="G37"/>
  <c r="G38"/>
  <c r="F36"/>
  <c r="F35"/>
  <c r="F32"/>
  <c r="G32"/>
  <c r="G33"/>
  <c r="F31"/>
  <c r="F30"/>
  <c r="F27"/>
  <c r="G27"/>
  <c r="G28"/>
  <c r="F26"/>
  <c r="F22"/>
  <c r="G22"/>
  <c r="F21"/>
  <c r="G21"/>
  <c r="F20"/>
  <c r="G20"/>
  <c r="F19"/>
  <c r="G19"/>
  <c r="F18"/>
  <c r="G18"/>
  <c r="F17"/>
  <c r="G17"/>
  <c r="F16"/>
  <c r="G16"/>
  <c r="F15"/>
  <c r="G15"/>
  <c r="E77" i="21"/>
  <c r="E77" i="12" s="1"/>
  <c r="E73" i="21"/>
  <c r="E367" i="9"/>
  <c r="E75" i="21"/>
  <c r="G266" i="9"/>
  <c r="G250"/>
  <c r="F246"/>
  <c r="G246"/>
  <c r="F336"/>
  <c r="G336"/>
  <c r="G55"/>
  <c r="G317"/>
  <c r="G146"/>
  <c r="F143"/>
  <c r="G143"/>
  <c r="G53"/>
  <c r="G256"/>
  <c r="F251"/>
  <c r="G251"/>
  <c r="F353"/>
  <c r="F70" i="21"/>
  <c r="F70" i="12" s="1"/>
  <c r="G70" s="1"/>
  <c r="G399" i="9"/>
  <c r="G112"/>
  <c r="F85"/>
  <c r="F84"/>
  <c r="G84"/>
  <c r="G324"/>
  <c r="F320"/>
  <c r="F319"/>
  <c r="G319"/>
  <c r="G351"/>
  <c r="F347"/>
  <c r="F346"/>
  <c r="G298"/>
  <c r="G392"/>
  <c r="G393"/>
  <c r="F389"/>
  <c r="G389"/>
  <c r="G360"/>
  <c r="G121"/>
  <c r="F115"/>
  <c r="G115"/>
  <c r="G56"/>
  <c r="G54"/>
  <c r="G316"/>
  <c r="G333"/>
  <c r="F326"/>
  <c r="G326"/>
  <c r="F363"/>
  <c r="F74" i="21"/>
  <c r="F74" i="12" s="1"/>
  <c r="G31" i="9"/>
  <c r="G71"/>
  <c r="F68"/>
  <c r="F67"/>
  <c r="G67"/>
  <c r="F40"/>
  <c r="G41"/>
  <c r="G74"/>
  <c r="F73"/>
  <c r="F293"/>
  <c r="F55" i="21"/>
  <c r="G55" s="1"/>
  <c r="G379" i="9"/>
  <c r="G378"/>
  <c r="G51"/>
  <c r="F46"/>
  <c r="G46"/>
  <c r="G139"/>
  <c r="F134"/>
  <c r="G134"/>
  <c r="G221"/>
  <c r="F217"/>
  <c r="F216"/>
  <c r="G274"/>
  <c r="F268"/>
  <c r="F67" i="21"/>
  <c r="G67"/>
  <c r="G353" i="9"/>
  <c r="G77" i="21"/>
  <c r="F367" i="9"/>
  <c r="G153"/>
  <c r="F147"/>
  <c r="G147"/>
  <c r="G231"/>
  <c r="F230"/>
  <c r="F73" i="21"/>
  <c r="F73" i="12"/>
  <c r="G73" s="1"/>
  <c r="I73" s="1"/>
  <c r="G359" i="9"/>
  <c r="G281"/>
  <c r="G132"/>
  <c r="F125"/>
  <c r="G125"/>
  <c r="G209"/>
  <c r="F206"/>
  <c r="G206"/>
  <c r="G302"/>
  <c r="F301"/>
  <c r="G26"/>
  <c r="F25"/>
  <c r="F14" i="21"/>
  <c r="G215" i="9"/>
  <c r="F211"/>
  <c r="G286"/>
  <c r="F282"/>
  <c r="G282"/>
  <c r="G202"/>
  <c r="F194"/>
  <c r="F154"/>
  <c r="G155"/>
  <c r="G191"/>
  <c r="F183"/>
  <c r="E75" i="12"/>
  <c r="G169" i="9"/>
  <c r="F160"/>
  <c r="G180"/>
  <c r="F172"/>
  <c r="F171"/>
  <c r="G229"/>
  <c r="F224"/>
  <c r="G292"/>
  <c r="F287"/>
  <c r="G287"/>
  <c r="G375"/>
  <c r="F371"/>
  <c r="F23" i="21"/>
  <c r="G79" i="9"/>
  <c r="F234"/>
  <c r="E73" i="12"/>
  <c r="G344" i="9"/>
  <c r="F341"/>
  <c r="G341"/>
  <c r="G30"/>
  <c r="F15" i="21"/>
  <c r="G15" s="1"/>
  <c r="F16"/>
  <c r="G35" i="9"/>
  <c r="F58"/>
  <c r="G59"/>
  <c r="G23"/>
  <c r="F14"/>
  <c r="F306"/>
  <c r="G307"/>
  <c r="F63"/>
  <c r="G36"/>
  <c r="G244"/>
  <c r="F240"/>
  <c r="G320"/>
  <c r="G70" i="21"/>
  <c r="G318" i="9"/>
  <c r="F313"/>
  <c r="F312"/>
  <c r="G312"/>
  <c r="G68"/>
  <c r="F63" i="21"/>
  <c r="G63" s="1"/>
  <c r="F245" i="9"/>
  <c r="G245"/>
  <c r="G85"/>
  <c r="F26" i="21"/>
  <c r="G26" s="1"/>
  <c r="G28" s="1"/>
  <c r="F124" i="9"/>
  <c r="F30" i="21"/>
  <c r="F114" i="9"/>
  <c r="G114"/>
  <c r="G122"/>
  <c r="F325"/>
  <c r="G325"/>
  <c r="F55" i="12"/>
  <c r="G55"/>
  <c r="I55" s="1"/>
  <c r="G347" i="9"/>
  <c r="F21" i="21"/>
  <c r="G21"/>
  <c r="G57" i="9"/>
  <c r="F52"/>
  <c r="G52"/>
  <c r="F45"/>
  <c r="G217"/>
  <c r="F44" i="21"/>
  <c r="F44" i="12" s="1"/>
  <c r="G44" s="1"/>
  <c r="G216" i="9"/>
  <c r="F340"/>
  <c r="F68" i="21"/>
  <c r="F133" i="9"/>
  <c r="G133"/>
  <c r="F142"/>
  <c r="G142"/>
  <c r="F275"/>
  <c r="G275"/>
  <c r="G363"/>
  <c r="F75" i="21"/>
  <c r="G367" i="9"/>
  <c r="G268"/>
  <c r="F267"/>
  <c r="F17" i="21"/>
  <c r="G40" i="9"/>
  <c r="F67" i="12"/>
  <c r="G73" i="21"/>
  <c r="G73" i="9"/>
  <c r="F22" i="21"/>
  <c r="G293" i="9"/>
  <c r="F69" i="21"/>
  <c r="G346" i="9"/>
  <c r="F52" i="21"/>
  <c r="G172" i="9"/>
  <c r="F205"/>
  <c r="G205"/>
  <c r="G230"/>
  <c r="F46" i="21"/>
  <c r="G25" i="9"/>
  <c r="F35" i="21"/>
  <c r="G154" i="9"/>
  <c r="F23" i="12"/>
  <c r="G23" i="21"/>
  <c r="F210" i="9"/>
  <c r="G211"/>
  <c r="H73" i="12"/>
  <c r="G160" i="9"/>
  <c r="F159"/>
  <c r="F182"/>
  <c r="G183"/>
  <c r="G194"/>
  <c r="F193"/>
  <c r="G234"/>
  <c r="F47" i="21"/>
  <c r="F76"/>
  <c r="G371" i="9"/>
  <c r="G301"/>
  <c r="F58" i="21"/>
  <c r="G224" i="9"/>
  <c r="F223"/>
  <c r="F37" i="21"/>
  <c r="G171" i="9"/>
  <c r="G58"/>
  <c r="F19" i="21"/>
  <c r="F15" i="12"/>
  <c r="F62" i="21"/>
  <c r="G240" i="9"/>
  <c r="F239"/>
  <c r="F14" i="12"/>
  <c r="G14" i="21"/>
  <c r="G124" i="9"/>
  <c r="G63"/>
  <c r="F20" i="21"/>
  <c r="F59"/>
  <c r="G306" i="9"/>
  <c r="G14"/>
  <c r="F13"/>
  <c r="F16" i="12"/>
  <c r="G16" i="21"/>
  <c r="G313" i="9"/>
  <c r="F21" i="12"/>
  <c r="F26"/>
  <c r="G26"/>
  <c r="F34" i="21"/>
  <c r="G34" s="1"/>
  <c r="G40" s="1"/>
  <c r="F49"/>
  <c r="F49" i="12" s="1"/>
  <c r="G334" i="9"/>
  <c r="F54" i="21"/>
  <c r="G54"/>
  <c r="F27"/>
  <c r="F27" i="12"/>
  <c r="G27" s="1"/>
  <c r="I27" s="1"/>
  <c r="H55"/>
  <c r="F64" i="21"/>
  <c r="F64" i="12" s="1"/>
  <c r="G64" s="1"/>
  <c r="G340" i="9"/>
  <c r="G357"/>
  <c r="F18" i="21"/>
  <c r="G18" s="1"/>
  <c r="G45" i="9"/>
  <c r="G44" i="21"/>
  <c r="F31"/>
  <c r="G31"/>
  <c r="G382" i="9"/>
  <c r="F42" i="21"/>
  <c r="F42" i="12" s="1"/>
  <c r="G42" s="1"/>
  <c r="H67"/>
  <c r="G67"/>
  <c r="I67"/>
  <c r="F69"/>
  <c r="G69" i="21"/>
  <c r="F17" i="12"/>
  <c r="G17" i="21"/>
  <c r="F75" i="12"/>
  <c r="G75" i="21"/>
  <c r="F22" i="12"/>
  <c r="G22" i="21"/>
  <c r="G259" i="9"/>
  <c r="F53" i="21"/>
  <c r="G267" i="9"/>
  <c r="G140"/>
  <c r="F46" i="12"/>
  <c r="G46" i="21"/>
  <c r="F38"/>
  <c r="G182" i="9"/>
  <c r="F35" i="12"/>
  <c r="G35" i="21"/>
  <c r="G310" i="9"/>
  <c r="F45" i="21"/>
  <c r="G223" i="9"/>
  <c r="G193"/>
  <c r="F39" i="21"/>
  <c r="F36"/>
  <c r="G159" i="9"/>
  <c r="G23" i="12"/>
  <c r="F76"/>
  <c r="G76" i="21"/>
  <c r="F43"/>
  <c r="G210" i="9"/>
  <c r="F58" i="12"/>
  <c r="G58" i="21"/>
  <c r="G47"/>
  <c r="F47" i="12"/>
  <c r="G59" i="21"/>
  <c r="F59" i="12"/>
  <c r="F62"/>
  <c r="G62" i="21"/>
  <c r="F19" i="12"/>
  <c r="G19" i="21"/>
  <c r="H16" i="12"/>
  <c r="G16"/>
  <c r="I16"/>
  <c r="F30"/>
  <c r="G30" i="21"/>
  <c r="G32" s="1"/>
  <c r="F48"/>
  <c r="G239" i="9"/>
  <c r="G52" i="21"/>
  <c r="F52" i="12"/>
  <c r="G68" i="21"/>
  <c r="F68" i="12"/>
  <c r="G21"/>
  <c r="G20" i="21"/>
  <c r="F20" i="12"/>
  <c r="G13" i="9"/>
  <c r="F13" i="21"/>
  <c r="G14" i="12"/>
  <c r="I14" s="1"/>
  <c r="H14"/>
  <c r="G15"/>
  <c r="I15" s="1"/>
  <c r="H15"/>
  <c r="G37" i="21"/>
  <c r="F37" i="12"/>
  <c r="F34"/>
  <c r="G34" s="1"/>
  <c r="H27"/>
  <c r="G49" i="21"/>
  <c r="F54" i="12"/>
  <c r="G54"/>
  <c r="I54" s="1"/>
  <c r="G257" i="9"/>
  <c r="G383"/>
  <c r="G27" i="21"/>
  <c r="F18" i="12"/>
  <c r="H18" s="1"/>
  <c r="G42" i="21"/>
  <c r="G50" s="1"/>
  <c r="F31" i="12"/>
  <c r="G31"/>
  <c r="G71" i="21"/>
  <c r="G82" i="9"/>
  <c r="G299"/>
  <c r="G75" i="12"/>
  <c r="I75" s="1"/>
  <c r="H75"/>
  <c r="G22"/>
  <c r="G17"/>
  <c r="I17" s="1"/>
  <c r="H17"/>
  <c r="G69"/>
  <c r="I69"/>
  <c r="H69"/>
  <c r="G53" i="21"/>
  <c r="F53" i="12"/>
  <c r="G60" i="21"/>
  <c r="G203" i="9"/>
  <c r="G46" i="12"/>
  <c r="G47"/>
  <c r="I47" s="1"/>
  <c r="H47"/>
  <c r="G58"/>
  <c r="G35"/>
  <c r="G38" i="21"/>
  <c r="F38" i="12"/>
  <c r="G36" i="21"/>
  <c r="F36" i="12"/>
  <c r="F45"/>
  <c r="G45" i="21"/>
  <c r="G76" i="12"/>
  <c r="F39"/>
  <c r="G39" i="21"/>
  <c r="F43" i="12"/>
  <c r="G43" i="21"/>
  <c r="G62" i="12"/>
  <c r="G30"/>
  <c r="G59"/>
  <c r="I59" s="1"/>
  <c r="H59"/>
  <c r="G19"/>
  <c r="G52"/>
  <c r="G37"/>
  <c r="G13" i="21"/>
  <c r="F13" i="12"/>
  <c r="G20"/>
  <c r="G68"/>
  <c r="F48"/>
  <c r="G48" i="21"/>
  <c r="H54" i="12"/>
  <c r="G18"/>
  <c r="I18"/>
  <c r="G53"/>
  <c r="I53"/>
  <c r="H53"/>
  <c r="G43"/>
  <c r="I43"/>
  <c r="H43"/>
  <c r="G38"/>
  <c r="G36"/>
  <c r="G39"/>
  <c r="G45"/>
  <c r="H48"/>
  <c r="G48"/>
  <c r="I48"/>
  <c r="G13"/>
  <c r="I13" s="1"/>
  <c r="H13"/>
  <c r="H49" l="1"/>
  <c r="G49"/>
  <c r="I49" s="1"/>
  <c r="H74"/>
  <c r="G74"/>
  <c r="I74" s="1"/>
  <c r="I70"/>
  <c r="H70"/>
  <c r="H21"/>
  <c r="I21"/>
  <c r="H30"/>
  <c r="I30"/>
  <c r="I32" s="1"/>
  <c r="I16" i="6" s="1"/>
  <c r="H36" i="12"/>
  <c r="I36"/>
  <c r="H46"/>
  <c r="I46"/>
  <c r="I64"/>
  <c r="H64"/>
  <c r="H20"/>
  <c r="I20"/>
  <c r="I24" s="1"/>
  <c r="H42"/>
  <c r="I42"/>
  <c r="I19"/>
  <c r="H19"/>
  <c r="H24" s="1"/>
  <c r="I26"/>
  <c r="I28" s="1"/>
  <c r="I15" i="6" s="1"/>
  <c r="H26" i="12"/>
  <c r="H28" s="1"/>
  <c r="I35"/>
  <c r="H35"/>
  <c r="I39"/>
  <c r="H39"/>
  <c r="H45"/>
  <c r="I45"/>
  <c r="H52"/>
  <c r="H56" s="1"/>
  <c r="I52"/>
  <c r="I56" s="1"/>
  <c r="I19" i="6" s="1"/>
  <c r="I68" i="12"/>
  <c r="I71" s="1"/>
  <c r="I22" i="6" s="1"/>
  <c r="H68" i="12"/>
  <c r="H71" s="1"/>
  <c r="G24" i="21"/>
  <c r="G56"/>
  <c r="H23" i="12"/>
  <c r="I23"/>
  <c r="H34"/>
  <c r="H40" s="1"/>
  <c r="I34"/>
  <c r="I38"/>
  <c r="H38"/>
  <c r="I44"/>
  <c r="H44"/>
  <c r="H58"/>
  <c r="H60" s="1"/>
  <c r="I58"/>
  <c r="I60" s="1"/>
  <c r="I20" i="6" s="1"/>
  <c r="G65" i="21"/>
  <c r="H77" i="12"/>
  <c r="I77"/>
  <c r="H22"/>
  <c r="I22"/>
  <c r="H31"/>
  <c r="I31"/>
  <c r="H37"/>
  <c r="I37"/>
  <c r="I62"/>
  <c r="H62"/>
  <c r="H76"/>
  <c r="I76"/>
  <c r="I78" s="1"/>
  <c r="I23" i="6" s="1"/>
  <c r="G64" i="21"/>
  <c r="F63" i="12"/>
  <c r="G74" i="21"/>
  <c r="G78" s="1"/>
  <c r="I14" i="6" l="1"/>
  <c r="F23"/>
  <c r="H23"/>
  <c r="D23"/>
  <c r="J23" s="1"/>
  <c r="K23" s="1"/>
  <c r="F15"/>
  <c r="D15"/>
  <c r="G63" i="12"/>
  <c r="I63" s="1"/>
  <c r="I65" s="1"/>
  <c r="I21" i="6" s="1"/>
  <c r="H63" i="12"/>
  <c r="H19" i="6"/>
  <c r="D19"/>
  <c r="J19" s="1"/>
  <c r="K19" s="1"/>
  <c r="F19"/>
  <c r="D20"/>
  <c r="H20"/>
  <c r="F20"/>
  <c r="H22"/>
  <c r="K22"/>
  <c r="D22"/>
  <c r="J22" s="1"/>
  <c r="F22"/>
  <c r="I40" i="12"/>
  <c r="I17" i="6" s="1"/>
  <c r="H50" i="12"/>
  <c r="H65"/>
  <c r="I50"/>
  <c r="I18" i="6" s="1"/>
  <c r="G79" i="21"/>
  <c r="H32" i="12"/>
  <c r="H79" s="1"/>
  <c r="F16" i="6"/>
  <c r="D16"/>
  <c r="H78" i="12"/>
  <c r="D21" i="6" l="1"/>
  <c r="F21"/>
  <c r="H21"/>
  <c r="H17"/>
  <c r="F17"/>
  <c r="D17"/>
  <c r="F14"/>
  <c r="D14"/>
  <c r="I24"/>
  <c r="F18"/>
  <c r="H18"/>
  <c r="D18"/>
  <c r="J16"/>
  <c r="K16" s="1"/>
  <c r="J20"/>
  <c r="K20" s="1"/>
  <c r="J15"/>
  <c r="K15" s="1"/>
  <c r="I79" i="12"/>
  <c r="J14" i="6" l="1"/>
  <c r="K14" s="1"/>
  <c r="C25"/>
  <c r="J17"/>
  <c r="K17" s="1"/>
  <c r="J18"/>
  <c r="K18" s="1"/>
  <c r="E25"/>
  <c r="E27" s="1"/>
  <c r="G25"/>
  <c r="G27" s="1"/>
  <c r="J21"/>
  <c r="K21" s="1"/>
  <c r="C27" l="1"/>
  <c r="C28" s="1"/>
  <c r="E28" s="1"/>
  <c r="G28" s="1"/>
  <c r="C26"/>
  <c r="E26" s="1"/>
  <c r="G26" s="1"/>
</calcChain>
</file>

<file path=xl/sharedStrings.xml><?xml version="1.0" encoding="utf-8"?>
<sst xmlns="http://schemas.openxmlformats.org/spreadsheetml/2006/main" count="1371" uniqueCount="598">
  <si>
    <t>M3</t>
  </si>
  <si>
    <t>M</t>
  </si>
  <si>
    <t>KG</t>
  </si>
  <si>
    <t>H</t>
  </si>
  <si>
    <t>TOTAL</t>
  </si>
  <si>
    <t>1.1</t>
  </si>
  <si>
    <t>UN</t>
  </si>
  <si>
    <t>1.0</t>
  </si>
  <si>
    <t xml:space="preserve">Estado do Rio de Janeiro                                                        </t>
  </si>
  <si>
    <t>Prefeitura Municipal de Barra Mansa</t>
  </si>
  <si>
    <t xml:space="preserve">Secretaria Municipal de Planejamento Urbano </t>
  </si>
  <si>
    <t xml:space="preserve">MEMÓRIA DE CÁLCULO </t>
  </si>
  <si>
    <t>ITEM</t>
  </si>
  <si>
    <t>CODIGO EMOP/ SINAPI</t>
  </si>
  <si>
    <t>DISCRIMINAÇÃO</t>
  </si>
  <si>
    <t>QUANT.</t>
  </si>
  <si>
    <t>PREÇOS (R$)</t>
  </si>
  <si>
    <t>UNIT</t>
  </si>
  <si>
    <t>ORÇAMENTO: Engº Alfredo A N M Cunha</t>
  </si>
  <si>
    <t>Orçamentista: Eng. Alfredo Antonio Nicolau M. Cunha</t>
  </si>
  <si>
    <t xml:space="preserve">CRONOGRAMA  FÍSICO-FINANCEIRO </t>
  </si>
  <si>
    <t>DESCRIÇÃO</t>
  </si>
  <si>
    <t>PERÍODO</t>
  </si>
  <si>
    <t>30 DIAS</t>
  </si>
  <si>
    <t>60 DIAS</t>
  </si>
  <si>
    <t>TOTAL DOS</t>
  </si>
  <si>
    <t>FÍSICO</t>
  </si>
  <si>
    <t>FINANCEIRO</t>
  </si>
  <si>
    <t>SERVIÇOS</t>
  </si>
  <si>
    <t>TOTAL DA OBRA POR MEDIÇÃO</t>
  </si>
  <si>
    <t>TOTAL ACUMULADO DA OBRA</t>
  </si>
  <si>
    <t>Desembolso parcial por medição %</t>
  </si>
  <si>
    <t>Desembolso máximo acumulado %</t>
  </si>
  <si>
    <t>X</t>
  </si>
  <si>
    <t>TOTAL GERAL=</t>
  </si>
  <si>
    <t>APROVAÇÃO: Eng. Eros dos Santos</t>
  </si>
  <si>
    <t>UNIT COM BDI</t>
  </si>
  <si>
    <r>
      <t>Secretaria Municipal de Planejamento Urbano</t>
    </r>
    <r>
      <rPr>
        <sz val="20"/>
        <rFont val="Arial"/>
        <family val="2"/>
      </rPr>
      <t xml:space="preserve"> </t>
    </r>
  </si>
  <si>
    <t>DATA: 24-06-2021</t>
  </si>
  <si>
    <t>01999</t>
  </si>
  <si>
    <t>01983</t>
  </si>
  <si>
    <r>
      <t>Data-Base:   EMOP -  RJ / SINAPI e SCO-RJ-</t>
    </r>
    <r>
      <rPr>
        <b/>
        <sz val="12"/>
        <color indexed="8"/>
        <rFont val="Arial"/>
        <family val="2"/>
      </rPr>
      <t xml:space="preserve"> O</t>
    </r>
    <r>
      <rPr>
        <b/>
        <sz val="12"/>
        <color indexed="8"/>
        <rFont val="Arial"/>
        <family val="2"/>
      </rPr>
      <t>nerado -</t>
    </r>
    <r>
      <rPr>
        <sz val="12"/>
        <color indexed="8"/>
        <rFont val="Arial"/>
        <family val="2"/>
      </rPr>
      <t xml:space="preserve"> Base ABRIL-2021</t>
    </r>
  </si>
  <si>
    <t>Data-Base:   EMOP -  RJ / SINAPI e SCO-RJ- Onerado - Base ABRIL-2021</t>
  </si>
  <si>
    <t xml:space="preserve">Serviço : Reforma da Quadra para Futebol Society </t>
  </si>
  <si>
    <t>Local: Bairro Metalúrgico</t>
  </si>
  <si>
    <t>ORÇAMENTO Nº 018-21</t>
  </si>
  <si>
    <t>LEVANTAMENTO:  Arqtª Lélia Magda</t>
  </si>
  <si>
    <t>PROJETO: Arqtª Lélia Magda</t>
  </si>
  <si>
    <t>SERVIÇOS PRELIMINARES</t>
  </si>
  <si>
    <t>-</t>
  </si>
  <si>
    <t>1.1.1.</t>
  </si>
  <si>
    <t>M2</t>
  </si>
  <si>
    <t>1.1.2.</t>
  </si>
  <si>
    <t>1.1.3.</t>
  </si>
  <si>
    <t>1.1.4.</t>
  </si>
  <si>
    <t>1.1.5.</t>
  </si>
  <si>
    <t>1.1.6.</t>
  </si>
  <si>
    <t>1.1.7.</t>
  </si>
  <si>
    <t>1.1.8.</t>
  </si>
  <si>
    <t>1.1.9.</t>
  </si>
  <si>
    <t>1.1.10.</t>
  </si>
  <si>
    <t>1.1.11.</t>
  </si>
  <si>
    <t>1.2.</t>
  </si>
  <si>
    <t>CONCRETO ARMADO</t>
  </si>
  <si>
    <t>1.2.1.</t>
  </si>
  <si>
    <t>1.2.2.</t>
  </si>
  <si>
    <t>1.3.</t>
  </si>
  <si>
    <t>ALVENARIA E REVESTIMENTOS</t>
  </si>
  <si>
    <t>1.3.1.</t>
  </si>
  <si>
    <t>1.3.2.</t>
  </si>
  <si>
    <t>1.4.</t>
  </si>
  <si>
    <t>1.4.1.</t>
  </si>
  <si>
    <t>1.4.4.</t>
  </si>
  <si>
    <t>1.4.5.</t>
  </si>
  <si>
    <t>1.5.</t>
  </si>
  <si>
    <t>ALAMBRADO</t>
  </si>
  <si>
    <t>1.5.1.</t>
  </si>
  <si>
    <t>1.6.</t>
  </si>
  <si>
    <t>INSTALAÇÃO ELÉTRICA</t>
  </si>
  <si>
    <t>1.6.1.</t>
  </si>
  <si>
    <t>1.6.2.</t>
  </si>
  <si>
    <t>1.7.</t>
  </si>
  <si>
    <t>MOBILIÁRIO ESPORTIVO</t>
  </si>
  <si>
    <t>1.7.1.</t>
  </si>
  <si>
    <t>PAR</t>
  </si>
  <si>
    <t>1.7.2.</t>
  </si>
  <si>
    <t>1.8.</t>
  </si>
  <si>
    <t>PINTURA</t>
  </si>
  <si>
    <t>1.8.1.</t>
  </si>
  <si>
    <t>1.8.2.</t>
  </si>
  <si>
    <t>1.8.3.</t>
  </si>
  <si>
    <t>1.9.</t>
  </si>
  <si>
    <t>1.9.1.</t>
  </si>
  <si>
    <t>1.9.2.</t>
  </si>
  <si>
    <t>1.9.3.</t>
  </si>
  <si>
    <t>T</t>
  </si>
  <si>
    <t>1.9.4.</t>
  </si>
  <si>
    <t>T X KM</t>
  </si>
  <si>
    <t>02.020.0001-0</t>
  </si>
  <si>
    <t>09.005.0009-0</t>
  </si>
  <si>
    <t>05.001.0147-0</t>
  </si>
  <si>
    <t>05.001.0138-0</t>
  </si>
  <si>
    <t>05.026.0004-0</t>
  </si>
  <si>
    <t>21.004.0140-0</t>
  </si>
  <si>
    <t>05.005.0054-0</t>
  </si>
  <si>
    <t>05.002.0001-0</t>
  </si>
  <si>
    <t>05.001.0142-0</t>
  </si>
  <si>
    <t>05.001.0007-0</t>
  </si>
  <si>
    <t>SO00000095952</t>
  </si>
  <si>
    <t>SO00000087794</t>
  </si>
  <si>
    <t>13.333.0010-0</t>
  </si>
  <si>
    <t>08.027.0040-0</t>
  </si>
  <si>
    <t>54.001.0160-1</t>
  </si>
  <si>
    <t>09.015.0074-0</t>
  </si>
  <si>
    <t>18.200.0004-0</t>
  </si>
  <si>
    <t>18.200.0005-0</t>
  </si>
  <si>
    <t>SO00000088489</t>
  </si>
  <si>
    <t>04.014.0095-0</t>
  </si>
  <si>
    <t>04.006.0014-1</t>
  </si>
  <si>
    <t>04.005.0004-0</t>
  </si>
  <si>
    <t>00453</t>
  </si>
  <si>
    <t>00368</t>
  </si>
  <si>
    <t>00294</t>
  </si>
  <si>
    <t>GL</t>
  </si>
  <si>
    <t>00160</t>
  </si>
  <si>
    <t>01967</t>
  </si>
  <si>
    <t>01966</t>
  </si>
  <si>
    <t>01001</t>
  </si>
  <si>
    <t>01901</t>
  </si>
  <si>
    <t>01993</t>
  </si>
  <si>
    <t>00171</t>
  </si>
  <si>
    <t>00165</t>
  </si>
  <si>
    <t>01944</t>
  </si>
  <si>
    <t>01943</t>
  </si>
  <si>
    <t>01919</t>
  </si>
  <si>
    <t>10905</t>
  </si>
  <si>
    <t>01545</t>
  </si>
  <si>
    <t>01544</t>
  </si>
  <si>
    <t>So00000095952</t>
  </si>
  <si>
    <t>So0001527</t>
  </si>
  <si>
    <t>So00000092764</t>
  </si>
  <si>
    <t>So00000095945</t>
  </si>
  <si>
    <t>So00000092415</t>
  </si>
  <si>
    <t>So00000092427</t>
  </si>
  <si>
    <t>So00000092451</t>
  </si>
  <si>
    <t>So00000092463</t>
  </si>
  <si>
    <t>So00000092510</t>
  </si>
  <si>
    <t>So00000092522</t>
  </si>
  <si>
    <t>So00000092759</t>
  </si>
  <si>
    <t>So00000092760</t>
  </si>
  <si>
    <t>So00000092761</t>
  </si>
  <si>
    <t>So00000095944</t>
  </si>
  <si>
    <t>So00000092763</t>
  </si>
  <si>
    <t>So00000092765</t>
  </si>
  <si>
    <t>So00000092766</t>
  </si>
  <si>
    <t>So00000092768</t>
  </si>
  <si>
    <t>So00000092769</t>
  </si>
  <si>
    <t>So00000092770</t>
  </si>
  <si>
    <t>So00000092874</t>
  </si>
  <si>
    <t>So00000096533</t>
  </si>
  <si>
    <t>So00000096543</t>
  </si>
  <si>
    <t>So00000096544</t>
  </si>
  <si>
    <t>So00000096546</t>
  </si>
  <si>
    <t>So00000101982</t>
  </si>
  <si>
    <t>So00000092762</t>
  </si>
  <si>
    <t>So0037395</t>
  </si>
  <si>
    <t>CENTO</t>
  </si>
  <si>
    <t>So00000088316</t>
  </si>
  <si>
    <t>So00000088309</t>
  </si>
  <si>
    <t>So00000087292</t>
  </si>
  <si>
    <t>So00000087794</t>
  </si>
  <si>
    <t>So0037411</t>
  </si>
  <si>
    <t>So00000087369</t>
  </si>
  <si>
    <t>So00000094994</t>
  </si>
  <si>
    <t>So0004517</t>
  </si>
  <si>
    <t>So0004460</t>
  </si>
  <si>
    <t>So0003777</t>
  </si>
  <si>
    <t>So00000088262</t>
  </si>
  <si>
    <t>So00000094964</t>
  </si>
  <si>
    <t>13.333.0015-0</t>
  </si>
  <si>
    <t>11228</t>
  </si>
  <si>
    <t>05350</t>
  </si>
  <si>
    <t>00150</t>
  </si>
  <si>
    <t>01978</t>
  </si>
  <si>
    <t>03429</t>
  </si>
  <si>
    <t>03077</t>
  </si>
  <si>
    <t>11227</t>
  </si>
  <si>
    <t>01991</t>
  </si>
  <si>
    <t>01764</t>
  </si>
  <si>
    <t>01745</t>
  </si>
  <si>
    <t>01640</t>
  </si>
  <si>
    <t>01635</t>
  </si>
  <si>
    <t>01607</t>
  </si>
  <si>
    <t>00173</t>
  </si>
  <si>
    <t>06913</t>
  </si>
  <si>
    <t>05331</t>
  </si>
  <si>
    <t>05332</t>
  </si>
  <si>
    <t>So00000101619</t>
  </si>
  <si>
    <t>So00000088415</t>
  </si>
  <si>
    <t>So0006085</t>
  </si>
  <si>
    <t>L</t>
  </si>
  <si>
    <t>So00000088310</t>
  </si>
  <si>
    <t>So00000088489</t>
  </si>
  <si>
    <t>So0007356</t>
  </si>
  <si>
    <t>05.001.0171-0</t>
  </si>
  <si>
    <t>10962</t>
  </si>
  <si>
    <t>01006</t>
  </si>
  <si>
    <t>01004</t>
  </si>
  <si>
    <t>SO00000101176</t>
  </si>
  <si>
    <t>So00000101176</t>
  </si>
  <si>
    <t>So00000095583</t>
  </si>
  <si>
    <t>So00000095578</t>
  </si>
  <si>
    <t>So00000094970</t>
  </si>
  <si>
    <t>SUB-TOTAL 1.1</t>
  </si>
  <si>
    <t>SUB-TOTAL 1.2</t>
  </si>
  <si>
    <t>SUB-TOTAL 1.3</t>
  </si>
  <si>
    <t>SUB-TOTAL 1.4</t>
  </si>
  <si>
    <t>SUB-TOTAL 1.5</t>
  </si>
  <si>
    <t>SUB-TOTAL 1.6</t>
  </si>
  <si>
    <t>SUB-TOTAL 1.7</t>
  </si>
  <si>
    <t>SUB-TOTAL 1.8</t>
  </si>
  <si>
    <t>SUB-TOTAL 1.9</t>
  </si>
  <si>
    <t>05.001.0147-5</t>
  </si>
  <si>
    <t>COMPOISÇÃO</t>
  </si>
  <si>
    <t>1.4.2</t>
  </si>
  <si>
    <t>1.4.3</t>
  </si>
  <si>
    <t>13.302.0010-0</t>
  </si>
  <si>
    <t>14566</t>
  </si>
  <si>
    <t>So00000098546</t>
  </si>
  <si>
    <t>So0004226</t>
  </si>
  <si>
    <t>So0004014</t>
  </si>
  <si>
    <t>So0000511</t>
  </si>
  <si>
    <t>So00000088270</t>
  </si>
  <si>
    <t>So00000088243</t>
  </si>
  <si>
    <t>13.302.0010-0 + 98546</t>
  </si>
  <si>
    <t>m²</t>
  </si>
  <si>
    <t>1.5.2</t>
  </si>
  <si>
    <t>1.5.3</t>
  </si>
  <si>
    <t>1.5.4</t>
  </si>
  <si>
    <t>09.015.0074-5</t>
  </si>
  <si>
    <t>54.001.0160-5</t>
  </si>
  <si>
    <t>1.5.5</t>
  </si>
  <si>
    <t>1.5.6</t>
  </si>
  <si>
    <t>14.007.0294-0</t>
  </si>
  <si>
    <t>14.007.0330-0</t>
  </si>
  <si>
    <t>02956</t>
  </si>
  <si>
    <t>1.5.7</t>
  </si>
  <si>
    <t>1.10.</t>
  </si>
  <si>
    <t>ANDAIMES</t>
  </si>
  <si>
    <t>1.10.1</t>
  </si>
  <si>
    <t>1.10.2</t>
  </si>
  <si>
    <t>1.10.3</t>
  </si>
  <si>
    <t>1.10.4</t>
  </si>
  <si>
    <t>SUB-TOTAL 1.10</t>
  </si>
  <si>
    <t>05.006.0001-1</t>
  </si>
  <si>
    <t>M2XMES</t>
  </si>
  <si>
    <t>14836</t>
  </si>
  <si>
    <t>05.008.0001-0</t>
  </si>
  <si>
    <t>04.020.0122-0</t>
  </si>
  <si>
    <t>M2XKM</t>
  </si>
  <si>
    <t>05.005.0012-1</t>
  </si>
  <si>
    <t>05937</t>
  </si>
  <si>
    <t>1.10.5</t>
  </si>
  <si>
    <t>05.008.0009-0</t>
  </si>
  <si>
    <t>2.0</t>
  </si>
  <si>
    <t>3.0</t>
  </si>
  <si>
    <t>4.0</t>
  </si>
  <si>
    <t>5.0</t>
  </si>
  <si>
    <t>6.0</t>
  </si>
  <si>
    <t>7.0</t>
  </si>
  <si>
    <t>8.0</t>
  </si>
  <si>
    <t>9.0</t>
  </si>
  <si>
    <t>10.0</t>
  </si>
  <si>
    <t>90 DIAS</t>
  </si>
  <si>
    <t>Local:   Bairro Metalúrgico</t>
  </si>
  <si>
    <t>09.005.0009-5</t>
  </si>
  <si>
    <t>05.001.0138-5</t>
  </si>
  <si>
    <t>09.015.0080-0</t>
  </si>
  <si>
    <t>MERCADO</t>
  </si>
  <si>
    <t>09.015.0080-5</t>
  </si>
  <si>
    <t>1.1.10</t>
  </si>
  <si>
    <t>1.1.11</t>
  </si>
  <si>
    <t>PJ 05.20.0055 (/)</t>
  </si>
  <si>
    <t>MAT064820</t>
  </si>
  <si>
    <t>Grama sintetica, com fios de 50mm de altura, areia especial, granulos de borracha. Fornecimento e instalacao</t>
  </si>
  <si>
    <t>00915</t>
  </si>
  <si>
    <t>05.005.0054-5</t>
  </si>
  <si>
    <t>mercado</t>
  </si>
  <si>
    <t>14769</t>
  </si>
  <si>
    <t>14.007.0330-5</t>
  </si>
  <si>
    <t>So00000097881</t>
  </si>
  <si>
    <t>So0043429</t>
  </si>
  <si>
    <t>So00000097733</t>
  </si>
  <si>
    <t>18.200.0004-5</t>
  </si>
  <si>
    <t>14492</t>
  </si>
  <si>
    <t>04.014.0095-5</t>
  </si>
  <si>
    <t>05.027.0011-0</t>
  </si>
  <si>
    <t>00246</t>
  </si>
  <si>
    <t>15022</t>
  </si>
  <si>
    <t>un</t>
  </si>
  <si>
    <t>a</t>
  </si>
  <si>
    <t>b</t>
  </si>
  <si>
    <t>05.026.0004-0 + 05.027.0011-0</t>
  </si>
  <si>
    <t>COMPOSIÇÃO</t>
  </si>
  <si>
    <t>0010917</t>
  </si>
  <si>
    <t>1.4.4</t>
  </si>
  <si>
    <t>1.4.6.</t>
  </si>
  <si>
    <t>1.4.5</t>
  </si>
  <si>
    <t>1.4.6</t>
  </si>
  <si>
    <t>SO00000094994 ALTERADO</t>
  </si>
  <si>
    <t>1.6.3</t>
  </si>
  <si>
    <t>1.6.4</t>
  </si>
  <si>
    <t>00324</t>
  </si>
  <si>
    <t>SO00000088415 alterado</t>
  </si>
  <si>
    <t>00124</t>
  </si>
  <si>
    <t>17.017.0350-0</t>
  </si>
  <si>
    <t>07425</t>
  </si>
  <si>
    <t>00840</t>
  </si>
  <si>
    <t>15.036.0070-0</t>
  </si>
  <si>
    <t>02341</t>
  </si>
  <si>
    <t>unid.</t>
  </si>
  <si>
    <t>15.008.0085-0</t>
  </si>
  <si>
    <t>05707</t>
  </si>
  <si>
    <t>02317</t>
  </si>
  <si>
    <t>c</t>
  </si>
  <si>
    <t>15.018.0942-0</t>
  </si>
  <si>
    <t>12292</t>
  </si>
  <si>
    <t>composição</t>
  </si>
  <si>
    <t>Fornecimento e colocação de  tampa em abertura dos postes de iluminação instalados.</t>
  </si>
  <si>
    <t>kg</t>
  </si>
  <si>
    <t>05.008.0008-1</t>
  </si>
  <si>
    <t>05.005.0012-1 05.008.0008-1</t>
  </si>
  <si>
    <t>Serviços preliminares</t>
  </si>
  <si>
    <t>Placa de identificacao de obra publica,inclusive pintura e suportes de madeira.fornecimento e colocacao (obs.:3% - desgaste de ferramentas e epi).</t>
  </si>
  <si>
    <t>Retirada de grama em placas inclusive granulada e areia</t>
  </si>
  <si>
    <t>Arrancamento cuidadosa de telas do alambrado para reaproveitamento.</t>
  </si>
  <si>
    <t>Arrancamento de tubulacao de ferro galvanizado,sem escavacao ou rasgo em alvenaria (obs.:3%-desgaste de ferramentas e epi).</t>
  </si>
  <si>
    <r>
      <t xml:space="preserve">Arrancamento de tubulacao de ferro galvanizado,sem escavacao ou rasgo em alvenaria (obs.:3%-desgaste de ferramentas e epi). </t>
    </r>
    <r>
      <rPr>
        <b/>
        <sz val="11"/>
        <color indexed="8"/>
        <rFont val="Calibri"/>
        <family val="2"/>
      </rPr>
      <t>(traves)</t>
    </r>
  </si>
  <si>
    <t>Corte com macarico manual de oxiacetileno,em chapa de aco na espessura de 1/2" inclusive solda  para redução de altura (readequação da altura dos postes de iluminação da lateral voltada para pista)</t>
  </si>
  <si>
    <t>Retirada de luminaria em altura de 4,00 a 9,00m</t>
  </si>
  <si>
    <t>Retirada de tela em polietileno de alta densidade,100% virgem,com malha de (5x5)cm,fio de 2,5mm,com resistencia de 350kg/m2.</t>
  </si>
  <si>
    <t>Demolicao,com equipamento de ar comprimido,de pisos ou pavim entos de concreto simples,inclusive empilhamento lateral den tro do canteiro de servico</t>
  </si>
  <si>
    <t>Arrancamento de meios-fios,de granito ou concreto,retos ou c urvos,inclusive empilhamento lateral dentro do canteiro de s ervico</t>
  </si>
  <si>
    <t>Demolicao de revestimento em argamassa de cal e areia ou cim ento e saibro</t>
  </si>
  <si>
    <t>Concreto armado</t>
  </si>
  <si>
    <t>Estaca broca de concreto, diâmetro de 30cm, escavação manual com trado concha, inteiramente armada. Af_05/2020</t>
  </si>
  <si>
    <t>Alvenaria e revestimentos</t>
  </si>
  <si>
    <t>Emboço ou massa única em argamassa traço 1:2:8, preparo manual, aplicada manualmente em panos cegos de fachada (sem presença de vãos), espessura de 25 mm. Af_06/2014</t>
  </si>
  <si>
    <t>Pisos e pavimentações</t>
  </si>
  <si>
    <t>Execução de camada de brita 1,com espessura estimada de 3cm,espalhamento manual , inclusive impermeabilização de superfície com manta asfáltica, uma camada, inclusive aplicação de primer asfáltico, e=3mm. Af_06/2018</t>
  </si>
  <si>
    <t>Piso de grama sintetica, em rolo, com fios de 50mm de altura, na cor verde, demarcacao de linhas com grama na cor branca, sistema de amortecimento composto com as seguintes caracteristicas minimas: camada de areia especial com 1cm de espessura (20 kg/m2) e granulos de borracha de granulometria de 0,6 a 2mm (9 kg/m2) e mao de obra especializada para instalacao; exclusive base asfaltica, mureta perimetral para contencao da base, canaleta perimetral para coleta e escoamento da agua e preparo de terreno. Fornecimento e colocacao.</t>
  </si>
  <si>
    <t>Execução de passeio (calçada) ou piso de concreto com concreto moldado in loco, feito em obra, acabamento convencional, espessura 8 cm, armado. Af_07/2016, inclusive tela fio 3,4mm 15x15cm, exclusive lona plástica.</t>
  </si>
  <si>
    <t>Revestimento de piso com ceramica tatil alerta,(ladrilho hid raulico) para pessoas com necessidades especificas,assentes sobre superficie em osso,conforme item 13.330.0010</t>
  </si>
  <si>
    <t>Revestimento de piso com ceramica tatil direcional,(ladrilho hidraulico),para pessoas com necessidades especificas,assen tes sobre superficie em osso,conforme item 13.330.0010</t>
  </si>
  <si>
    <t>Meio-fio reto de concreto simples fck=15mpa,moldado no local ,tipo der-rj,medindo 0,15m na base e com altura de 0,30m,rej untamento com argamassa de cimento e areia,no traco 1:3,5,co m fornecimento de todos os materiais,escavacao e reaterro</t>
  </si>
  <si>
    <t>Alambrado</t>
  </si>
  <si>
    <t>Contraventamento de alambrado com tubos de ferro galvanizado (extern.e internamente),c/diametro interno de 2" e espessura de parede de 1/8".fornecimento e colocacao</t>
  </si>
  <si>
    <t>Contraventamento de alambrado com tubos de ferro galvanizado (extern.e internamente),c/diametro interno de 2" e espessura de parede de 1/8". Colocacao sem fornecimento de tubo.  Reaproveitamento do existente</t>
  </si>
  <si>
    <t>Tela em polietileno de alta densidade,100% virgem,com malha de (5x5)cm,fio de 2,5mm,com resistencia de 350kg/m2.fornecim ento e colocacao, inclusive readequação e complemento de cabos de aço de sustentação.</t>
  </si>
  <si>
    <t>Targetao de ferro galvanizado,de 36cm,com adaptacao de haste para duplo funcionamento,fechamento com cadeado, exclusive este,conforme projeto n§6017/emop.fornecimento e colocacao , inclusive cantoneira de aço 3/4"x3/4"x1/8" com 30cm de comprimento para batente (portão a construir e portão existente)</t>
  </si>
  <si>
    <t xml:space="preserve"> tubo de ferro galvanizado(extern.e internamente),com diametro interno de 31/2" e espessu ra de parede de 1/8".fornecimento e colocacao (espera de encaixe das traves)</t>
  </si>
  <si>
    <t>Instalação elétrica</t>
  </si>
  <si>
    <t>Caixa enterrada elétrica retangular, em concreto pré-moldado, fundo com brita, dimensões internas: 0,3x0,3x0,3 m. Af_12/2020</t>
  </si>
  <si>
    <t>Mobiliário esportivo</t>
  </si>
  <si>
    <t>Rede de nylon para futebol de salao.fornecimento</t>
  </si>
  <si>
    <t>Pintura</t>
  </si>
  <si>
    <t>Transporte e bota-fora</t>
  </si>
  <si>
    <t>Transporte horizontal de material de 1¦categoria ou entulho,em carrinhos,a 20,00m de distancia,inclusive carga a pa (obs.:3%- desgaste de ferramentas e epi).</t>
  </si>
  <si>
    <t>Retirada de entulho de obra com cacamba de aco tipo containe r com 5m3 de capacidade,.custo por unidade de cacamba e inclui a tax a para descarga em locais autorizados</t>
  </si>
  <si>
    <t>Carga e descarga manual de material que exija o concurso de mais de um servente para cada peca:vergalhoes,vigas de madei ra,caixas e meios-fios,em caminhao de carroceria fixa a oleo diesel,com capacidade util de 7,5t,inclusive o tempo de car ga,descarga e manobra</t>
  </si>
  <si>
    <t>Transporte de carga de qualquer natureza,exclusive as despes as de carga e descarga,tanto de espera do caminhao como do s ervente ou equipamento auxiliar,a velocidade media de 40km/h ,em caminhao de carroceria fixa a oleo diesel,com capacidade util de 7,5t</t>
  </si>
  <si>
    <t>Andaimes</t>
  </si>
  <si>
    <t>Locacao de andaime com elementos tubulares sobre sapatas fixas,considerando-se a area da projecao vertical do andaime e pago pelo tempo necessario a sua utilizacao,exclusive transporte dos elementos do andaime ate a obra,plataforma ou passa rela de pinho,montagem e desmontagem dos andaimes</t>
  </si>
  <si>
    <t>Montagem e desmontagem de andaime com elementos tubulares,considerando-se a area vertical recoberta (obs.:3%-desgaste de ferramentas e epi).</t>
  </si>
  <si>
    <t>Transporte de andaime tubular,considerando-se a area de projecao vertical do andaime,exclusive carga,descarga e tempo de espera do caminhao(vide item 04.021.0010)</t>
  </si>
  <si>
    <t>Plataforma ou passarela de madeira de 1¦,considerando-se aproveitamento da madeira 20 vezes,inclusive movimentacao vertical ou horizontal.</t>
  </si>
  <si>
    <t>Movimentacao horizontal de andaime com elementos tubulares tipo torre (obs.:3%-desgaste de ferramentas e epi).</t>
  </si>
  <si>
    <t>PISOS E PAMIMENTAÇÕES</t>
  </si>
  <si>
    <t>TRANSPORTE E BOTA FORA</t>
  </si>
  <si>
    <t>Prego com ou sem cabeca, em caixas de 50kg, ou quantidades equivalentes, n§12x12a 18x30</t>
  </si>
  <si>
    <t>Pinus, em pecas de 7,50x7,50cm (3"x3")</t>
  </si>
  <si>
    <t>Tinta a oleo brilhante, p/uso geral, eminteriores e exteriores</t>
  </si>
  <si>
    <t>Chapa de aco carbono, galvanizada, parausos gerais, tamanho padrao, preco de revendedor, com espessura de 0,5mm</t>
  </si>
  <si>
    <t>Mao-de-obra de servente da construcao civil, inclusive encargos sociais</t>
  </si>
  <si>
    <t>Mao-de-obra de carpinteiro de esquadriasde madeira inclusive encargos sociais</t>
  </si>
  <si>
    <t>Mao-de-obra de pintor, inclusive encargos sociais</t>
  </si>
  <si>
    <t>19.004.0001-2 caminhao carroc. Fixa, 3,5t (cp)</t>
  </si>
  <si>
    <t>Retirada de grama em placas (obs.:3%-desgaste de ferramentas e epi).</t>
  </si>
  <si>
    <t>Mao-de-obra de servente para servicos deconservacao, inclusive encargos sociais</t>
  </si>
  <si>
    <t>Arrancamento de grades,gradis,alambrados,cercas e portoes (obs.:3%-desgaste de ferramentas e epi).</t>
  </si>
  <si>
    <t>Arrancamento cuidadoso  de tubulacao de ferro galvanizado,sem escavacao ou rasgo em alvenaria para reaproveitamento.</t>
  </si>
  <si>
    <t>Mao-de-obra de bombeiro hidraulico da construcao civil, inclusive encargos sociais</t>
  </si>
  <si>
    <r>
      <t xml:space="preserve">Arrancamento cuidadoso  de tubulacao de ferro galvanizado,sem escavacao ou rasgo em alvenaria para reaproveitamento </t>
    </r>
    <r>
      <rPr>
        <b/>
        <sz val="11"/>
        <color indexed="8"/>
        <rFont val="Calibri"/>
        <family val="2"/>
      </rPr>
      <t>(traves)</t>
    </r>
  </si>
  <si>
    <r>
      <t xml:space="preserve">Corte com macarico manual de oxiacetileno,em chapa de aco na espessura de 1/2" inclusive solda  para redução de altura </t>
    </r>
    <r>
      <rPr>
        <b/>
        <sz val="11"/>
        <color indexed="8"/>
        <rFont val="Calibri"/>
        <family val="2"/>
      </rPr>
      <t>(readequação da altura dos postes de iluminação da lateral voltada para pista)</t>
    </r>
  </si>
  <si>
    <t>Corte com macarico manual de oxiacetileno,em chapa de aco na espessura de 1/2" (obs.:3%-desgaste de ferramentas e epi).</t>
  </si>
  <si>
    <t>Acetileno em cilindro de 9kg</t>
  </si>
  <si>
    <t>Oxigenio, em garrafas de 9,3m3</t>
  </si>
  <si>
    <t>Mao-de-obra de soldador da construcao civil, inclusive encargos sociais</t>
  </si>
  <si>
    <t>Mao-de-obra de ajudante de soldador, inclusive encargos sociais</t>
  </si>
  <si>
    <t>Solda de topo,em tubos de aco galvanizado no diametro de 2",utilizando conversor eletrico,inclusive corte e/ou chanfro d as extremidades (obs.:3%-desgaste de ferramentas e epi).</t>
  </si>
  <si>
    <t>Eletrodo p/solda aco (aws e-6013), ind.p/trab.em serral., estrut.metal.tubul.constr.em geral e chapas finas,espes.3,25mm</t>
  </si>
  <si>
    <t>19.011.0045-2 retificador solda eletrica de 430a (cp)</t>
  </si>
  <si>
    <t>Retirada de luminaria em altura de 4,00 a 9,00m (obs.:3%-desgaste de ferramentas e epi).</t>
  </si>
  <si>
    <t>Mao-de-obra de ajudante de montador eletromecanico (iluminacao publica), inclusive encargos sociais</t>
  </si>
  <si>
    <t>Tela em polietileno de alta densidade,100% virgem,com malha de (5x5)cm,fio de 2,5mm,com resistencia de 350kg/m2.fornecim ento e colocacao (obs.:3%-desgaste de ferramentas e epi).</t>
  </si>
  <si>
    <t>Demolicao,com equipamento de ar comprimido,de pisos ou pavimentos de concreto simples,inclusive empilhamento lateral den tro do canteiro de servico</t>
  </si>
  <si>
    <t>05.002.0010-1 demolicao paviment.concr., esp. 20cm</t>
  </si>
  <si>
    <t>05.002.0009-1 demolicao paviment.concr., esp. 15cm</t>
  </si>
  <si>
    <t>Arrancamento de meios-fios,de granito ou concreto,retos ou curvos,inclusive empilhamento lateral dentro do canteiro de s ervico (obs.:3%-desgaste de ferramentas e epi).</t>
  </si>
  <si>
    <t>Demolicao de revestimento em argamassa de cal e areia ou cimento e saibro (obs.:3%- desgaste de ferramentas e epi).</t>
  </si>
  <si>
    <t>(composição representativa) execução de estruturas de concreto armado convencional, para edificação habitacional multifamiliar (prédio), fck = 25 mpa. Af_01/2017</t>
  </si>
  <si>
    <t>Concreto usinado bombeavel, classe de resistencia c25, com brita 0 e 1, slump = 100 +/- 20 mm, inclui servico de bombeamento (nbr 8953)</t>
  </si>
  <si>
    <t>So00000092764 armação de pilar ou viga de uma estrutura convencional de concreto armado em um edifício de múltiplos pavimentos utilizando aço ca-50 de 16,0 mm - montagem. Af_12/2015</t>
  </si>
  <si>
    <t>So00000095945 armação de escada, de uma estrutura convencional de concreto armado utilizando aço ca-50 de 8,0 mm - montagem. Af_11/2020</t>
  </si>
  <si>
    <t>So00000092415 montagem e desmontagem de fôrma de pilares retangulares e estruturas similares, pé-direito simples, em chapa de madeira compensada resinada, 2 utilizações. Af_09/2020</t>
  </si>
  <si>
    <t>So00000092427 montagem e desmontagem de fôrma de pilares retangulares e estruturas similares, pé-direito simples, em chapa de madeira compensada resinada, 8 utilizações. Af_09/2020</t>
  </si>
  <si>
    <t>So00000092451 montagem e desmontagem de fôrma de viga, escoramento com garfo de madeira, pé-direito simples, em chapa de madeira resinada, 2 utilizações. Af_09/2020</t>
  </si>
  <si>
    <t>So00000092463 montagem e desmontagem de fôrma de viga, escoramento com garfo de madeira, pé-direito simples, em chapa de madeira resinada, 8 utilizações. Af_09/2020</t>
  </si>
  <si>
    <t>So00000092510 montagem e desmontagem de fôrma de laje maciça, pé-direito simples, em chapa de madeira compensada resinada, 2 utilizações. Af_09/2020</t>
  </si>
  <si>
    <t>So00000092522 montagem e desmontagem de fôrma de laje maciça, pé-direito simples, em chapa de madeira compensada resinada, 8 utilizações. Af_09/2020</t>
  </si>
  <si>
    <t>So00000092759 armação de pilar ou viga de uma estrutura convencional de concreto armado em um edifício de múltiplos pavimentos utilizando aço ca-60 de 5,0 mm - montagem. Af_12/2015</t>
  </si>
  <si>
    <t>So00000092760 armação de pilar ou viga de uma estrutura convencional de concreto armado em um edifício de múltiplos pavimentos utilizando aço ca-50 de 6,3 mm - montagem. Af_12/2015</t>
  </si>
  <si>
    <t>So00000092761 armação de pilar ou viga de uma estrutura convencional de concreto armado em um edifício de múltiplos pavimentos utilizando aço ca-50 de 8,0 mm - montagem. Af_12/2015</t>
  </si>
  <si>
    <t>So00000095944 armação de escada, de uma estrutura convencional de concreto armado utilizando aço ca-50 de 6,3 mm - montagem. Af_11/2020</t>
  </si>
  <si>
    <t>So00000092763 armação de pilar ou viga de uma estrutura convencional de concreto armado em um edifício de múltiplos pavimentos utilizando aço ca-50 de 12,5 mm - montagem. Af_12/2015</t>
  </si>
  <si>
    <t>So00000092765 armação de pilar ou viga de uma estrutura convencional de concreto armado em um edifício de múltiplos pavimentos utilizando aço ca-50 de 20,0 mm - montagem. Af_12/2015</t>
  </si>
  <si>
    <t>So00000092766 armação de pilar ou viga de uma estrutura convencional de concreto armado em um edifício de múltiplos pavimentos utilizando aço ca-50 de 25,0 mm - montagem. Af_12/2015</t>
  </si>
  <si>
    <t>So00000092768 armação de laje de uma estrutura convencional de concreto armado em um edifício de múltiplos pavimentos utilizando aço ca-60 de 5,0 mm - montagem. Af_12/2015</t>
  </si>
  <si>
    <t>So00000092769 armação de laje de uma estrutura convencional de concreto armado em um edifício de múltiplos pavimentos utilizando aço ca-50 de 6,3 mm - montagem. Af_12/2015</t>
  </si>
  <si>
    <t>So00000092770 armação de laje de uma estrutura convencional de concreto armado em um edifício de múltiplos pavimentos utilizando aço ca-50 de 8,0 mm - montagem. Af_12/2015</t>
  </si>
  <si>
    <t>So00000092874 lançamento com uso de bomba, adensamento e acabamento de concreto em estruturas. Af_12/2015</t>
  </si>
  <si>
    <t>So00000096533 fabricação, montagem e desmontagem de fôrma para viga baldrame, em madeira serrada, e=25 mm, 2 utilizações. Af_06/2017</t>
  </si>
  <si>
    <t>So00000096543 armação de bloco, viga baldrame e sapata utilizando aço ca-60 de 5 mm - montagem. Af_06/2017</t>
  </si>
  <si>
    <t>So00000096544 armação de bloco, viga baldrame ou sapata utilizando aço ca-50 de 6,3 mm - montagem. Af_06/2017</t>
  </si>
  <si>
    <t>So00000096546 armação de bloco, viga baldrame ou sapata utilizando aço ca-50 de 10 mm - montagem. Af_06/2017</t>
  </si>
  <si>
    <t>So00000101982 montagem e desmontagem de fôrma para escadas, com 2 lances em "u" e laje plana, em chapa de madeira compensada plastificada, 8 utilizações. Af_11/2020</t>
  </si>
  <si>
    <t>So00000092762 armação de pilar ou viga de uma estrutura convencional de concreto armado em um edifício de múltiplos pavimentos utilizando aço ca-50 de 10,0 mm - montagem. Af_12/2015</t>
  </si>
  <si>
    <t>Servente com encargos complementares</t>
  </si>
  <si>
    <t>Pedreiro com encargos complementares</t>
  </si>
  <si>
    <t>So00000095583 montagem de armadura transversal de estacas de seção circular, diâmetro = 5,0 mm. Af_11/2016</t>
  </si>
  <si>
    <t>So00000095578 montagem de armadura longitudinal/transversal de estacas de seção circular, diâmetro = 12,5 mm. Af_11/2016</t>
  </si>
  <si>
    <t>So00000094970 concreto fck = 20mpa, traço 1:2,7:3 (cimento/ areia média/ brita 1)  - preparo mecânico com betoneira 600 l. Af_07/2016</t>
  </si>
  <si>
    <t>Tela de aco soldada galvanizada/zincada para alvenaria, fio d = *1,24 mm, malha 25 x 25 mm</t>
  </si>
  <si>
    <t>So00000087369 argamassa traço 1:2:8 (em volume de cimento, cal e areia média úmida) para emboço/massa única/assentamento de alvenaria de vedação, preparo manual. Af_08/2019</t>
  </si>
  <si>
    <t>Camada de brita 1,com espessura estimada de 3cm,espalhamento manual (obs.:3%-desgaste de ferramentas e epi).</t>
  </si>
  <si>
    <t>Brita corrida, para regiao metropolitanado rio de janeiro</t>
  </si>
  <si>
    <t>Impermeabilização de superfície com manta asfáltica, uma camada, inclusive aplicação de primer asfáltico, e=3mm. Af_06/2018</t>
  </si>
  <si>
    <t>Gas de cozinha - glp</t>
  </si>
  <si>
    <t>Manta asfaltica elastomerica em poliester 3 mm, tipo iii, classe b, acabamento pp (nbr 9952)</t>
  </si>
  <si>
    <t>Primer para manta asfaltica a base de asfalto modificado diluido em solvente, aplicacao a frio</t>
  </si>
  <si>
    <t>Impermeabilizador com encargos complementares</t>
  </si>
  <si>
    <t>Ajudante especializado com encargos complementares</t>
  </si>
  <si>
    <t>Execução de passeio (calçada) ou piso de concreto com concreto moldado in loco, feito em obra, acabamento convencional, espessura 8 cm, armado. Af_07/2016</t>
  </si>
  <si>
    <t>Tela de aco soldada nervurada, ca-60, q-61, (0,97 kg/m2), diametro do fio = 3,4 mm, largura = 2,45 m, espacamento da malha = 15 x 15 cm</t>
  </si>
  <si>
    <t>Sarrafo *2,5 x 7,5* cm em pinus, mista ou equivalente da regiao - bruta</t>
  </si>
  <si>
    <t>Sarrafo nao aparelhado *2,5 x 10* cm, em macaranduba, angelim ou equivalente da regiao -  bruta</t>
  </si>
  <si>
    <t>Lona plastica pesada preta, e = 150 micra</t>
  </si>
  <si>
    <t>Carpinteiro de formas com encargos complementares</t>
  </si>
  <si>
    <t>So00000094964 concreto fck = 20mpa, traço 1:2,7:3 (cimento/ areia média/ brita 1)  - preparo mecânico com betoneira 400 l. Af_07/2016</t>
  </si>
  <si>
    <t>Revestimento de piso com ceramica tatil alerta,(ladrilho hidraulico) para pessoas com necessidades especificas,assentes sobre superficie em osso,conforme item 13.330.0010 (obs.:3%-desgaste de ferramentas e epi).</t>
  </si>
  <si>
    <t>Piso ceramico tatil alerta, amarelo, para portadores de necessidades especificas</t>
  </si>
  <si>
    <t>Pigmento em po a base de oxido de ferro</t>
  </si>
  <si>
    <t>Cimento branco</t>
  </si>
  <si>
    <t>Mao-de-obra de ladrilheiro, inclusive encargos sociais</t>
  </si>
  <si>
    <t>07.001.0130-1 argamassa cim.,saibro,areia 1:3:3,preparo manual</t>
  </si>
  <si>
    <t>07.001.0010-1 pasta de cimento comum</t>
  </si>
  <si>
    <t>Revestimento de piso com ceramica tatil direcional,(ladrilho hidraulico),para pessoas com necessidades especificas,assen tes sobre superficie em osso,conforme item 13.330.0010 (obs.:3%-desgaste de ferramentas e epi).</t>
  </si>
  <si>
    <t>Piso ceramico tatil direcional, amarelo,para portadores de necessidades especificas</t>
  </si>
  <si>
    <t>Meio-fio reto de concreto simples fck=15mpa,moldado no local,tipo der-rj,medindo 0,15m na base e com altura de 0,30m,rej untamento com argamassa de cimento e areia,no traco 1:3,5,com fornecimento de todos os materiais,escavacao e reaterro (obs.:3%-desgaste de ferramentas e epi).</t>
  </si>
  <si>
    <t>Mao-de-obra de calceteiro, inclusive encargos sociais</t>
  </si>
  <si>
    <t>11.002.0035-1 lancamento conc.s/arm.2,0m3/h, horiz.</t>
  </si>
  <si>
    <t>11.002.0013-1 preparo concr. Beton. 320l; 2,0m3/h</t>
  </si>
  <si>
    <t>11.004.0021-1 formas madeira param. Planos, 2 vezes</t>
  </si>
  <si>
    <t>11.001.0005-1 concreto fck 15mpa</t>
  </si>
  <si>
    <t>07.002.0030-1 argamassa cim.,areia traco 1:4,preparomecanico</t>
  </si>
  <si>
    <t>Vergalhão esticador de tela 1/8"</t>
  </si>
  <si>
    <t>Contraventamento de alambrado com tubos de ferro galvanizado(extern.e internamente),c/diametro interno de 2" e espessura de parede de 1/8".fornecimento e colocacao (obs.:3%-desgaste de ferramentas e epi 15%-perdas e demais materiais necessarios).</t>
  </si>
  <si>
    <t>Tubo de aco galvanizado, com costura, pesado, nbr 5580, dn=2"</t>
  </si>
  <si>
    <t>Mao-de-obra de serralheiro da construcaocivil, inclusive encargos sociais</t>
  </si>
  <si>
    <t>Cabo de aco, no diametro de 1/8", para janela guilhotina</t>
  </si>
  <si>
    <t>Tela polietileno de alta densidade, malha de (5x5)cm, estabilizado contra raiosultra-violeta</t>
  </si>
  <si>
    <t>Dobradica para porta "vai-e-vem",de 3",em latao niquelado e polido.fornecimento</t>
  </si>
  <si>
    <t>Dobradica vai/vem, em latao polido, de 3"</t>
  </si>
  <si>
    <r>
      <t xml:space="preserve">Targetao de ferro galvanizado,de 36cm,com adaptacao de haste para duplo funcionamento,fechamento com cadeado, exclusive este,conforme projeto n§6017/emop.fornecimento e colocacao , inclusive cantoneira de aço 3/4"x3/4"x1/8" com 30cm de comprimento para batente </t>
    </r>
    <r>
      <rPr>
        <b/>
        <sz val="11"/>
        <color indexed="8"/>
        <rFont val="Calibri"/>
        <family val="2"/>
      </rPr>
      <t>(portão a construir e portão existente)</t>
    </r>
  </si>
  <si>
    <t>Targetao de ferro galvanizado,de 36cm,com adaptacao de haste para duplo funcionamento,fechamento com cadeado, exclusive este,conforme projeto n§6017/emop.fornecimento e colocacao (obs.:60%-adaptacao de haste dupla).</t>
  </si>
  <si>
    <t>Tarjetao de ferro galvanizado, com adaptacao de haste, p/duplo funcionamento, fechamento com cadeado de 36cm</t>
  </si>
  <si>
    <t>Cantoneira de aco, 3/4"x3/4"x1/8" (barracom 6 metros)</t>
  </si>
  <si>
    <r>
      <t xml:space="preserve"> tubo de ferro galvanizado(extern.e internamente),com diametro interno de 31/2" e espessu ra de parede de 1/8".fornecimento e colocacao </t>
    </r>
    <r>
      <rPr>
        <b/>
        <sz val="11"/>
        <color indexed="8"/>
        <rFont val="Calibri"/>
        <family val="2"/>
      </rPr>
      <t>(espera de encaixe das traves)</t>
    </r>
  </si>
  <si>
    <t>Contraventamento de alambrado com tubos de ferro galvanizado(extern.e internamente),com diametro interno de 3" e espessu ra de parede de 1/8".fornecimento e colocacao (obs.:3%-desgaste de ferramentas e epi 15%-perdas e demais materiais necessarios).</t>
  </si>
  <si>
    <t>Tubo de aco galvanizado, com costura, pesado, nbr 5580, dn=3 1/2"</t>
  </si>
  <si>
    <t>Mao-de-obra de eletricista de construcaocivil, inclusive encargos sociais</t>
  </si>
  <si>
    <t>Caixa de concreto armado pre-moldado, sem fundo, quadrada, dimensoes de 0,30 x 0,30 x 0,30 m</t>
  </si>
  <si>
    <t>So00000101619 preparo de fundo de vala com largura menor que 1,5 m, com camada de brita, lançamento manual. Af_08/2020</t>
  </si>
  <si>
    <t>So00000097733 peça retangular pré-moldada, volume de concreto de até 10 litros, taxa de aço aproximada de 30kg/m³. Af_01/2018</t>
  </si>
  <si>
    <t>Eletroduto de pvc rigido rosqueavel de 3/4",inclusive conexoes e emendas,exclusive abertura e fechamento de rasgo.fornec imento e assentamento (obs.:3%-desgaste de ferramentas e epi 10%-conexoes e emendas).</t>
  </si>
  <si>
    <t>Eletroduto de pvc preto, rigido rosqueavel, com rosca em ambas extremidades, embarras de 3 metros, de 3/4"</t>
  </si>
  <si>
    <t>Cabo de cobre flexivel com isolamento termoplastico,compreendendo:preparo,corte e enfiacao em eletrodutos,na bitola de 2 ,5mm2, 450/750v.fornecimento e colocacao (obs.:3%-desgaste de ferramentas e epi).</t>
  </si>
  <si>
    <t>Cabo de cobre flexivel com isolamento termoplastico, de 450/750v, de 2,5mm2</t>
  </si>
  <si>
    <t>Fita isolante, rolo de 19mmx20m</t>
  </si>
  <si>
    <t>Terminal de fechamento liso,para eletrocalha perfurada ou lisa,200x50mm.fornecimento e colocacao (obs.:3%-desgaste de ferramentas e epi).</t>
  </si>
  <si>
    <t>Terminal de fechamento liso, para eletrocalha perfurada ou lisa, 200x50mm, pre-zincada</t>
  </si>
  <si>
    <t>Trave desmontavel para futebol de salao,em tubo de ferro galvanizado e buchas.fornecimento</t>
  </si>
  <si>
    <t>Postes p/futebol de salao, em tubos de frro galvanizado e buchas - (par)</t>
  </si>
  <si>
    <t>Rede de nylon, p/futebol de salao- (par)</t>
  </si>
  <si>
    <t>Aplicação manual de fundo selador acrílico em paredes externas de casas. Af_06/2014</t>
  </si>
  <si>
    <t>Selador acrilico paredes internas/externas</t>
  </si>
  <si>
    <t>Lixa p/madeira n§100</t>
  </si>
  <si>
    <t>Pintor com encargos complementares</t>
  </si>
  <si>
    <t>Aplicação manual de pintura com tinta látex acrílica em paredes, duas demãos. Af_06/2014</t>
  </si>
  <si>
    <t>Tinta acrilica premium, cor branco fosco</t>
  </si>
  <si>
    <t>Pintura interna ou externa sobre ferro galvanizado ou aluminio,usando fundo para galvanizado,inclusive lixamento leve,li mpeza,desengorduramento e duas demaos de acabamento com esmalte sintetico brilhante ou acetinado (obs.:3%-desgaste de ferramentas e epi).</t>
  </si>
  <si>
    <t>Primer epoxi,isocianato de 2 componentes</t>
  </si>
  <si>
    <t>Detergente neutro p/limpeza industrial,em saco de 25kg</t>
  </si>
  <si>
    <t>Esmalte sintetico a base de agua alto brilho ou acetinado, uso hospitalar, paramadeiras e metais, branca, galao 3,6lts</t>
  </si>
  <si>
    <t>Esmalte sintetico alquidico alto brilho,brilhante, acetinado ou fosco</t>
  </si>
  <si>
    <t>Retirada de entulho de obra com cacamba de aco tipo container com 5m3 de capacidade,inclusive carregamento,transporte e descarregamento.custo por unidade de cacamba e inclui a taxa para descarga em locais autorizados (obs.:3%-desgaste de ferramentas e epi).</t>
  </si>
  <si>
    <t>Aluguel cacamba de aco tipo container c/5m3 capac.p/retirada entulho obra,incl.carrega.,transp.e descar.locais autoriz.</t>
  </si>
  <si>
    <t>Carga e descarga manual de material que exija o concurso de mais de um servente para cada peca:vergalhoes,vigas de madei ra,caixas e meios-fios,em caminhao de carroceria fixa a oleodiesel,com capacidade util de 7,5t,inclusive o tempo de car ga,descarga e manobra (obs.:3%-desgaste de ferramentas e epi).</t>
  </si>
  <si>
    <t>19.004.0004-4 caminhao carroc. Fixa 7,5t (ci)</t>
  </si>
  <si>
    <t>19.004.0004-2 caminhao carroc. Fixa, 7,5t (cp)</t>
  </si>
  <si>
    <t>Transporte de carga de qualquer natureza,exclusive as despes as de carga e descarga,tanto de espera do caminhao como do s ervente ou equipamento auxiliar,a velocidade media de 40km/h ,em caminhao de carroceria fixa a oleo diesel,com capacidade util de 7,5t. Dmt= 7,8km até smmu</t>
  </si>
  <si>
    <t>Transporte de carga de qualquer natureza,exclusive as despesas de carga e descarga,tanto de espera do caminhao como do s ervente ou equipamento auxiliar,a velocidade media de 40km/h,em caminhao de carroceria fixa a oleo diesel,com capacidade util de 7,5t</t>
  </si>
  <si>
    <t>Locacao de andaime metalico com elementos tubulares sobre sapatas,c/escada de acesso e guarda-corpo,excl.piso e transp.</t>
  </si>
  <si>
    <t>Plataforma ou passarela de madeira de 1¦,considerando-se aproveitamento da madeira 20 vezes,exclusive andaime ou outro suporte e movimentacao(vide item 05.008.0008)</t>
  </si>
  <si>
    <t>Macaranduba em pecas, de 7,50x30,00cm (3"x12")</t>
  </si>
  <si>
    <t>Movimentacao vertical ou horizontal de plataforma ou passarela (obs.:3%-desgaste de ferramentas e epi).</t>
  </si>
  <si>
    <t>So00000098111</t>
  </si>
  <si>
    <t>CAIXA DE INSPEÇÃO PARA ATERRAMENTO, CIRCULAR, EM POLIETILENO, DIÂMETRO INTERNO = 0,3 M. AF_12/2020</t>
  </si>
  <si>
    <t>So0034643</t>
  </si>
  <si>
    <t>CAIXA INSPECAO EM POLIETILENO PARA ATERRAMENTO E PARA RAIOS DIAMETRO = 300 MM</t>
  </si>
  <si>
    <t>SERVENTE COM ENCARGOS COMPLEMENTARES</t>
  </si>
  <si>
    <t>PEDREIRO COM ENCARGOS COMPLEMENTARES</t>
  </si>
  <si>
    <t>So00000101618</t>
  </si>
  <si>
    <t>So00000101618 PREPARO DE FUNDO DE VALA COM LARGURA MENOR QUE 1,5 M, COM CAMADA DE AREIA, LANÇAMENTO MANUAL. AF_08/2020</t>
  </si>
  <si>
    <t>So00000098111 + 15.036.0070-0 + 15.008.0085-0</t>
  </si>
  <si>
    <t>Ajuste nas fiações aparentes ( mangueiras sobre as cintas) : fornec imento e assentamentoeletroduto de pvc rigido rosqueavel de 3/4",inclusive conexoes e emendas,exclusive abertura e fechamento de rasgo, recolocação da fiação existente, exclusive fornecimento dos fios, inclusive fornecimento e colocação de caixa de inspeção para aterramento, circular, em polietileno, diâmetro interno 0,3m para emenda dos fios.</t>
  </si>
  <si>
    <t>TELA DE ARAME GALVANIZADO,REVESTIDO EM PVC,FIO N§ 12 DE 75MM</t>
  </si>
  <si>
    <t>10932</t>
  </si>
  <si>
    <t>TELA ARAME GALVANIZADO REVEST.PVC,FIO 12, MALHA LOSANGULAR DE 50MM</t>
  </si>
  <si>
    <t>PLANILHA ORÇAMENTÁRIA - CONSIDERADO BDI = 23,38% - opção TELA 12</t>
  </si>
  <si>
    <r>
      <t xml:space="preserve">Execução de estruturas de concreto armado convencional, preparo em betoneira,para edificação habitacional multifamiliar (prédio), fck = 25 mpa. Af_01/2017, inclusive formas </t>
    </r>
    <r>
      <rPr>
        <b/>
        <sz val="11"/>
        <color indexed="8"/>
        <rFont val="Calibri"/>
        <family val="2"/>
      </rPr>
      <t>(muro do gol divisa com particular)</t>
    </r>
  </si>
  <si>
    <t>So00000087475</t>
  </si>
  <si>
    <t>ALVENARIA DE VEDAÇÃO DE BLOCOS CERÂMICOS FURADOS NA VERTICAL DE 19X19X39CM (ESPESSURA 19CM) DE PAREDES COM ÁREA LÍQUIDA MENOR QUE 6M² SEM VÃOS E ARGAMASSA DE ASSENTAMENTO COM PREPARO EM BETONEIRA. AF_06/2014</t>
  </si>
  <si>
    <t>So0037594</t>
  </si>
  <si>
    <t>BLOCO CERAMICO DE VEDACAO COM FUROS NA VERTICAL, 19 X 19 X 39 CM - 4,5 MPA (NBR 15270)</t>
  </si>
  <si>
    <t>PINO DE ACO COM FURO, HASTE = 27 MM (ACAO DIRETA)</t>
  </si>
  <si>
    <t>So0034548</t>
  </si>
  <si>
    <t>TELA DE ACO SOLDADA GALVANIZADA/ZINCADA PARA ALVENARIA, FIO  D = *1,20 A 1,70* MM, MALHA 15 X 15 MM, (C X L) *50 X 17,5* CM</t>
  </si>
  <si>
    <t>So00000087292 ARGAMASSA TRAÇO 1:2:8 (EM VOLUME DE CIMENTO, CAL E AREIA MÉDIA ÚMIDA) PARA EMBOÇO/MASSA ÚNICA/ASSENTAMENTO DE ALVENARIA DE VEDAÇÃO, PREPARO MECÂNICO COM BETONEIRA 400 L. AF_08/2019</t>
  </si>
  <si>
    <t>Alvenaria de vedação de blocos cerâmicos furados na vertical de 19x19x39cm (espessura 19cm) de paredes com área líquida menor que 6m² sem vãos e argamassa de assentamento com preparo em betoneira. Af_06/2014</t>
  </si>
  <si>
    <t>Execução de estruturas de concreto armado convencional, preparo em betoneira,para edificação habitacional multifamiliar (prédio), fck = 25 mpa. Af_01/2017, inclusive formas (muro do gol divisa com particular)</t>
  </si>
  <si>
    <t>Pintura interna ou externa sobre ferro galvanizado ou aluminio,usando fundo para galvanizado,inclusive lixamento adequado, l mpeza,desengorduramento e duas demaos de acabamento com esmalte sintetico a base de água, brilhante ou acetinado.</t>
  </si>
  <si>
    <t>Aplicação manual de pintura com tinta látex acrílica premium em paredes, duas demãos. Af_06/2014 (muro)</t>
  </si>
  <si>
    <t>Estaca broca de concreto, preparo em betoneira, diâmetro de 30cm, inclusive escavação manual com trado concha, inteiramente armada. Af_05/2020 (trados)</t>
  </si>
  <si>
    <t>Aplicação manual de fundo selador acrílico em paredes externas de casas. Af_06/2014, inclusive lixamentos necessários. (MUROS)</t>
  </si>
  <si>
    <t>Tela de arame galvanizado revestida em pvc, quadrangular / losangular, fio 12bwg),  malha *8 x 8* cm. Fornecimento e instalação, inclusive amarração fio 14bwg e fornecimento e colocação de vergalhão esticador de tela 1/8"</t>
  </si>
  <si>
    <t>0021008</t>
  </si>
  <si>
    <t>TUBO ACO GALVANIZADO COM COSTURA, CLASSE LEVE, DN 15 MM ( 1/2"),  E = 2,25 MM,  *1,2* KG/M (NBR 5580)</t>
  </si>
  <si>
    <t>15.031.0020-0</t>
  </si>
  <si>
    <t>TUBO DE FERRO GALVANIZADO DE 3/4",COM COSTURA,INCLUSIVE CONEXOES E EMENDAS,EXCLUSIVE ABERTURA E FECHAMENTO DE RASGO. FORNECIMENTO E ASSENTAMENTO (OBS.:3%-DESGASTE DE FERRAMENTAS E EPI 10%-CONEXOES E EMENDAS).</t>
  </si>
  <si>
    <t>MAO-DE-OBRA DE SERVENTE DA CONSTRUCAO CIVIL, INCLUSIVE ENCARGOS SOCIAIS</t>
  </si>
  <si>
    <t>MAO-DE-OBRA DE BOMBEIRO HIDRAULICO DA CONSTRUCAO CIVIL, INCLUSIVE ENCARGOS SOCIAIS</t>
  </si>
  <si>
    <t>MAO-DE-OBRA DE SERRALHEIRO DA CONSTRUCAOCIVIL, INCLUSIVE ENCARGOS SOCIAIS</t>
  </si>
  <si>
    <t>05.027.0003-A</t>
  </si>
  <si>
    <t>SOLDA DE TOPO,EM TUBOS DE ACO GALVANIZADO NO DIAMETRO DE 3/4",UTILIZANDO CONVERSOR ELETRICO,INCLUSIVE CORTE E/OU CHANFRO DAS EXTREMIDADES (OBS.:3%-DESGASTE DE FERRAMENTAS E EPI).</t>
  </si>
  <si>
    <t>ELETRODO P/SOLDA ACO (AWS E-6013), IND.P/TRAB.EM SERRAL., ESTRUT.METAL.TUBUL.CONSTR.EM GERAL E CHAPAS FINAS,ESPES.3,25MM</t>
  </si>
  <si>
    <t>20134</t>
  </si>
  <si>
    <t>MAO-DE-OBRA DE SOLDADOR DA CONSTRUCAO CIVIL, INCLUSIVE ENCARGOS SOCIAIS DESONERADOS</t>
  </si>
  <si>
    <t>20006</t>
  </si>
  <si>
    <t>MAO-DE-OBRA DE AJUDANTE DE SOLDADOR, INCLUSIVE ENCARGOS SOCIAIS DESONERADOS</t>
  </si>
  <si>
    <t>30857</t>
  </si>
  <si>
    <t>19.011.0045-C RETIFICADOR SOLDA ELETRICA DE 430A (CP)</t>
  </si>
  <si>
    <t>1.5.8</t>
  </si>
  <si>
    <t>05.027.0003-0</t>
  </si>
  <si>
    <t>MAO-DE-OBRA DE SOLDADOR DA CONSTRUCAO CIVIL, INCLUSIVE ENCARGOS SOCIAIS</t>
  </si>
  <si>
    <t>MAO-DE-OBRA DE AJUDANTE DE SOLDADOR, INCLUSIVE ENCARGOS SOCIAIS</t>
  </si>
  <si>
    <t>19.011.0045-2 RETIFICADOR SOLDA ELETRICA DE 430A (CP)</t>
  </si>
  <si>
    <t>m</t>
  </si>
  <si>
    <t>15.031.0020-6 + 05.027.0003-5</t>
  </si>
  <si>
    <t>15260</t>
  </si>
  <si>
    <t>11.009.0050-1 BARRA DE ACO CA-25,REDONDA,SEM SALIENCIAOU MOSSA,DIAMETRO IGUAL A 6,3MM</t>
  </si>
  <si>
    <t>Forneciment e instalação de BARRA DE ACO CA-25,REDONDA,SEM SALIENCIAOU MOSSA,DIAMETRO 12,5MM), devidamente soldados nos tubos dos portões conforme projeto.</t>
  </si>
  <si>
    <t>So00000101658</t>
  </si>
  <si>
    <t>LUMINÁRIA DE LED PARA ILUMINAÇÃO PÚBLICA, DE 138 W ATÉ 180 W - FORNECIMENTO E INSTALAÇÃO. AF_08/2020</t>
  </si>
  <si>
    <t>LUMINARIA DE LED PARA ILUMINACAO PUBLICA, DE 138 W ATE 180 W, INVOLUCRO EM ALUMINIO OU ACO INOX</t>
  </si>
  <si>
    <t>So0021127</t>
  </si>
  <si>
    <t>FITA ISOLANTE ADESIVA ANTICHAMA, USO ATE 750 V, EM ROLO DE 19 MM X 5 M</t>
  </si>
  <si>
    <t>So00000088264</t>
  </si>
  <si>
    <t>ELETRICISTA COM ENCARGOS COMPLEMENTARES</t>
  </si>
  <si>
    <t>So00000088247</t>
  </si>
  <si>
    <t>AUXILIAR DE ELETRICISTA COM ENCARGOS COMPLEMENTARES</t>
  </si>
  <si>
    <t>So00000005928</t>
  </si>
  <si>
    <t>So00000005928 GUINDAUTO HIDRÁULICO, CAPACIDADE MÁXIMA DE CARGA 6200 KG, MOMENTO MÁXIMO DE CARGA 11,7 TM, ALCANCE MÁXIMO HORIZONTAL 9,70 M, INCLUSIVE CAMINHÃO TOCO PBT 16.000 KG, POTÊNCIA DE 189 CV - CHP DIURNO. AF_06/2014</t>
  </si>
  <si>
    <t>CHP</t>
  </si>
  <si>
    <t>So00000101658 alterada</t>
  </si>
  <si>
    <t>Dobradica para porta tipo gonzo,de 3",em latao niquelado e polido para garantir abertura indicada em projeto..fornecimento e colocação</t>
  </si>
  <si>
    <t xml:space="preserve">LUMINÁRIA TIPO REFLETOR  DE LED PARA ILUMINAÇÃO PÚBLICA, DE 150w FORNECIMENTO E INSTALAÇÃO. </t>
  </si>
  <si>
    <t>Trave  para futebol de salao,em tubo de ferro gal vanizado 3".fornecimento e colocação, inclusive soldas necessárias, nos encaixes das esperas , inclusive pintura e estrutura para fixação da rede.</t>
  </si>
</sst>
</file>

<file path=xl/styles.xml><?xml version="1.0" encoding="utf-8"?>
<styleSheet xmlns="http://schemas.openxmlformats.org/spreadsheetml/2006/main">
  <numFmts count="13">
    <numFmt numFmtId="44" formatCode="_-&quot;R$&quot;\ * #,##0.00_-;\-&quot;R$&quot;\ * #,##0.00_-;_-&quot;R$&quot;\ * &quot;-&quot;??_-;_-@_-"/>
    <numFmt numFmtId="43" formatCode="_-* #,##0.00_-;\-* #,##0.00_-;_-* &quot;-&quot;??_-;_-@_-"/>
    <numFmt numFmtId="172" formatCode="0.0%"/>
    <numFmt numFmtId="173" formatCode="_([$€]* #,##0.00_);_([$€]* \(#,##0.00\);_([$€]* &quot;-&quot;??_);_(@_)"/>
    <numFmt numFmtId="174" formatCode="_(* #,##0.00_);_(* \(#,##0.00\);_(* &quot;-&quot;??_);_(@_)"/>
    <numFmt numFmtId="183" formatCode="0.00000"/>
    <numFmt numFmtId="194" formatCode="&quot;R$&quot;\ #,##0.00"/>
    <numFmt numFmtId="195" formatCode="General\ "/>
    <numFmt numFmtId="200" formatCode="#,#00"/>
    <numFmt numFmtId="203" formatCode="&quot; R$ &quot;* #,##0.00\ ;&quot; R$ &quot;* \(#,##0.00\);&quot; R$ &quot;* \-#\ ;@\ "/>
    <numFmt numFmtId="204" formatCode="%#,#00"/>
    <numFmt numFmtId="205" formatCode="#.#####"/>
    <numFmt numFmtId="206" formatCode="#,"/>
  </numFmts>
  <fonts count="41">
    <font>
      <sz val="11"/>
      <color theme="1"/>
      <name val="Calibri"/>
      <family val="2"/>
      <scheme val="minor"/>
    </font>
    <font>
      <sz val="11"/>
      <color indexed="8"/>
      <name val="Calibri"/>
      <family val="2"/>
    </font>
    <font>
      <sz val="10"/>
      <name val="Arial"/>
      <family val="2"/>
    </font>
    <font>
      <sz val="14"/>
      <name val="Arial"/>
      <family val="2"/>
    </font>
    <font>
      <b/>
      <sz val="14"/>
      <name val="Arial"/>
      <family val="2"/>
    </font>
    <font>
      <sz val="12"/>
      <name val="Arial"/>
      <family val="2"/>
    </font>
    <font>
      <b/>
      <sz val="12"/>
      <name val="Arial"/>
      <family val="2"/>
    </font>
    <font>
      <sz val="10"/>
      <name val="Switzerland"/>
    </font>
    <font>
      <sz val="20"/>
      <name val="Arial"/>
      <family val="2"/>
    </font>
    <font>
      <b/>
      <sz val="20"/>
      <name val="Arial"/>
      <family val="2"/>
    </font>
    <font>
      <b/>
      <sz val="16"/>
      <name val="Arial"/>
      <family val="2"/>
    </font>
    <font>
      <b/>
      <sz val="20"/>
      <color indexed="10"/>
      <name val="Arial"/>
      <family val="2"/>
    </font>
    <font>
      <sz val="20"/>
      <color indexed="10"/>
      <name val="Arial"/>
      <family val="2"/>
    </font>
    <font>
      <sz val="11"/>
      <name val="Switzerland"/>
    </font>
    <font>
      <b/>
      <sz val="12"/>
      <color indexed="8"/>
      <name val="Arial"/>
      <family val="2"/>
    </font>
    <font>
      <sz val="12"/>
      <color indexed="8"/>
      <name val="Arial"/>
      <family val="2"/>
    </font>
    <font>
      <b/>
      <sz val="15"/>
      <color indexed="56"/>
      <name val="Calibri"/>
      <family val="2"/>
    </font>
    <font>
      <sz val="10"/>
      <name val="Times New Roman"/>
      <family val="1"/>
    </font>
    <font>
      <b/>
      <sz val="15"/>
      <color indexed="48"/>
      <name val="Calibri"/>
      <family val="2"/>
    </font>
    <font>
      <b/>
      <sz val="12"/>
      <color indexed="8"/>
      <name val="Arial"/>
      <family val="2"/>
    </font>
    <font>
      <sz val="10"/>
      <name val="Arial"/>
      <family val="2"/>
    </font>
    <font>
      <sz val="1"/>
      <color indexed="8"/>
      <name val="Courier New"/>
      <family val="3"/>
    </font>
    <font>
      <sz val="12"/>
      <name val="Courier New"/>
      <family val="3"/>
    </font>
    <font>
      <b/>
      <sz val="1"/>
      <color indexed="8"/>
      <name val="Courier New"/>
      <family val="3"/>
    </font>
    <font>
      <sz val="24"/>
      <name val="Switzerland"/>
    </font>
    <font>
      <sz val="8"/>
      <name val="Calibri"/>
      <family val="2"/>
    </font>
    <font>
      <b/>
      <sz val="11"/>
      <color indexed="8"/>
      <name val="Calibri"/>
      <family val="2"/>
    </font>
    <font>
      <b/>
      <sz val="11"/>
      <color indexed="8"/>
      <name val="Calibri"/>
      <family val="2"/>
    </font>
    <font>
      <sz val="11"/>
      <color theme="1"/>
      <name val="Calibri"/>
      <family val="2"/>
      <scheme val="minor"/>
    </font>
    <font>
      <sz val="11"/>
      <color rgb="FF000000"/>
      <name val="Calibri"/>
      <family val="2"/>
      <charset val="1"/>
    </font>
    <font>
      <b/>
      <sz val="11"/>
      <color theme="1"/>
      <name val="Calibri"/>
      <family val="2"/>
      <scheme val="minor"/>
    </font>
    <font>
      <b/>
      <sz val="12"/>
      <color theme="1"/>
      <name val="Arial"/>
      <family val="2"/>
    </font>
    <font>
      <sz val="12"/>
      <color theme="1"/>
      <name val="Arial"/>
      <family val="2"/>
    </font>
    <font>
      <sz val="11"/>
      <name val="Calibri"/>
      <family val="2"/>
      <scheme val="minor"/>
    </font>
    <font>
      <b/>
      <sz val="14"/>
      <name val="Calibri"/>
      <family val="2"/>
      <scheme val="minor"/>
    </font>
    <font>
      <b/>
      <sz val="11"/>
      <name val="Calibri"/>
      <family val="2"/>
      <scheme val="minor"/>
    </font>
    <font>
      <sz val="14"/>
      <name val="Calibri"/>
      <family val="2"/>
      <scheme val="minor"/>
    </font>
    <font>
      <b/>
      <sz val="12"/>
      <color rgb="FF000000"/>
      <name val="Arial"/>
      <family val="2"/>
    </font>
    <font>
      <sz val="11"/>
      <color rgb="FF000000"/>
      <name val="Calibri"/>
      <family val="2"/>
      <scheme val="minor"/>
    </font>
    <font>
      <b/>
      <sz val="11"/>
      <color rgb="FF000000"/>
      <name val="Calibri"/>
      <family val="2"/>
      <scheme val="minor"/>
    </font>
    <font>
      <sz val="14"/>
      <color rgb="FF000000"/>
      <name val="Calibri"/>
      <family val="2"/>
      <scheme val="minor"/>
    </font>
  </fonts>
  <fills count="20">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20">
    <border>
      <left/>
      <right/>
      <top/>
      <bottom/>
      <diagonal/>
    </border>
    <border>
      <left/>
      <right/>
      <top/>
      <bottom style="thick">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1" fillId="0" borderId="0">
      <protection locked="0"/>
    </xf>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200" fontId="21" fillId="0" borderId="0">
      <protection locked="0"/>
    </xf>
    <xf numFmtId="44" fontId="1" fillId="0" borderId="0" applyFont="0" applyFill="0" applyBorder="0" applyAlignment="0" applyProtection="0"/>
    <xf numFmtId="44" fontId="2" fillId="0" borderId="0" applyFont="0" applyFill="0" applyBorder="0" applyAlignment="0" applyProtection="0"/>
    <xf numFmtId="0" fontId="2" fillId="0" borderId="0"/>
    <xf numFmtId="0" fontId="28" fillId="0" borderId="0"/>
    <xf numFmtId="0" fontId="2" fillId="0" borderId="0"/>
    <xf numFmtId="0" fontId="2" fillId="0" borderId="0"/>
    <xf numFmtId="0" fontId="17" fillId="0" borderId="0"/>
    <xf numFmtId="0" fontId="2" fillId="0" borderId="0"/>
    <xf numFmtId="0" fontId="28" fillId="0" borderId="0"/>
    <xf numFmtId="0" fontId="28" fillId="0" borderId="0"/>
    <xf numFmtId="0" fontId="2" fillId="0" borderId="0"/>
    <xf numFmtId="0" fontId="20" fillId="0" borderId="0"/>
    <xf numFmtId="0" fontId="28" fillId="0" borderId="0"/>
    <xf numFmtId="0" fontId="28" fillId="0" borderId="0"/>
    <xf numFmtId="195" fontId="22" fillId="0" borderId="0"/>
    <xf numFmtId="203" fontId="22" fillId="0" borderId="0"/>
    <xf numFmtId="0" fontId="29" fillId="0" borderId="0"/>
    <xf numFmtId="0" fontId="29" fillId="0" borderId="0"/>
    <xf numFmtId="0" fontId="7" fillId="0" borderId="0"/>
    <xf numFmtId="0" fontId="2" fillId="0" borderId="0"/>
    <xf numFmtId="0" fontId="7" fillId="0" borderId="0"/>
    <xf numFmtId="0" fontId="2" fillId="0" borderId="0"/>
    <xf numFmtId="0" fontId="2" fillId="0" borderId="0"/>
    <xf numFmtId="0" fontId="28" fillId="15" borderId="19" applyNumberFormat="0" applyFont="0" applyAlignment="0" applyProtection="0"/>
    <xf numFmtId="0" fontId="28" fillId="15" borderId="19" applyNumberFormat="0" applyFont="0" applyAlignment="0" applyProtection="0"/>
    <xf numFmtId="0" fontId="28" fillId="15" borderId="19" applyNumberFormat="0" applyFont="0" applyAlignment="0" applyProtection="0"/>
    <xf numFmtId="204" fontId="21" fillId="0" borderId="0">
      <protection locked="0"/>
    </xf>
    <xf numFmtId="205" fontId="21" fillId="0" borderId="0">
      <protection locked="0"/>
    </xf>
    <xf numFmtId="9" fontId="2" fillId="0" borderId="0" applyFont="0" applyFill="0" applyBorder="0" applyAlignment="0" applyProtection="0"/>
    <xf numFmtId="9" fontId="1" fillId="0" borderId="0" applyFont="0" applyFill="0" applyBorder="0" applyAlignment="0" applyProtection="0"/>
    <xf numFmtId="200" fontId="2" fillId="0" borderId="0" applyFill="0" applyBorder="0" applyAlignment="0" applyProtection="0"/>
    <xf numFmtId="194" fontId="2" fillId="0" borderId="0"/>
    <xf numFmtId="0" fontId="2" fillId="0" borderId="0"/>
    <xf numFmtId="0" fontId="18" fillId="0" borderId="1" applyNumberFormat="0" applyFill="0" applyAlignment="0" applyProtection="0"/>
    <xf numFmtId="0" fontId="18" fillId="0" borderId="1" applyNumberFormat="0" applyFill="0" applyAlignment="0" applyProtection="0"/>
    <xf numFmtId="0" fontId="16" fillId="0" borderId="1" applyNumberFormat="0" applyFill="0" applyAlignment="0" applyProtection="0"/>
    <xf numFmtId="206" fontId="23" fillId="0" borderId="0">
      <protection locked="0"/>
    </xf>
    <xf numFmtId="206" fontId="23" fillId="0" borderId="0">
      <protection locked="0"/>
    </xf>
    <xf numFmtId="17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0" fillId="0" borderId="0" xfId="0" applyAlignment="1">
      <alignment horizontal="justify" vertical="justify" wrapText="1"/>
    </xf>
    <xf numFmtId="49" fontId="31" fillId="16" borderId="2" xfId="39" applyNumberFormat="1" applyFont="1" applyFill="1" applyBorder="1" applyAlignment="1">
      <alignment horizontal="center"/>
    </xf>
    <xf numFmtId="49" fontId="31" fillId="16" borderId="3" xfId="25" applyNumberFormat="1" applyFont="1" applyFill="1" applyBorder="1"/>
    <xf numFmtId="4" fontId="31" fillId="16" borderId="3" xfId="25" applyNumberFormat="1" applyFont="1" applyFill="1" applyBorder="1" applyAlignment="1">
      <alignment horizontal="left" readingOrder="1"/>
    </xf>
    <xf numFmtId="4" fontId="31" fillId="16" borderId="2" xfId="40" applyNumberFormat="1" applyFont="1" applyFill="1" applyBorder="1" applyAlignment="1">
      <alignment horizontal="left" vertical="center"/>
    </xf>
    <xf numFmtId="4" fontId="31" fillId="16" borderId="3" xfId="0" applyNumberFormat="1" applyFont="1" applyFill="1" applyBorder="1" applyAlignment="1">
      <alignment horizontal="left"/>
    </xf>
    <xf numFmtId="4" fontId="31" fillId="16" borderId="3" xfId="39" applyNumberFormat="1" applyFont="1" applyFill="1" applyBorder="1" applyAlignment="1">
      <alignment horizontal="left"/>
    </xf>
    <xf numFmtId="49" fontId="31" fillId="16" borderId="4" xfId="39" applyNumberFormat="1" applyFont="1" applyFill="1" applyBorder="1" applyAlignment="1">
      <alignment horizontal="center"/>
    </xf>
    <xf numFmtId="49" fontId="31" fillId="16" borderId="0" xfId="25" applyNumberFormat="1" applyFont="1" applyFill="1" applyBorder="1"/>
    <xf numFmtId="4" fontId="31" fillId="16" borderId="0" xfId="25" applyNumberFormat="1" applyFont="1" applyFill="1" applyBorder="1" applyAlignment="1">
      <alignment horizontal="left" readingOrder="1"/>
    </xf>
    <xf numFmtId="4" fontId="31" fillId="16" borderId="4" xfId="40" applyNumberFormat="1" applyFont="1" applyFill="1" applyBorder="1" applyAlignment="1">
      <alignment horizontal="left" vertical="center"/>
    </xf>
    <xf numFmtId="4" fontId="31" fillId="16" borderId="0" xfId="39" applyNumberFormat="1" applyFont="1" applyFill="1" applyBorder="1" applyAlignment="1">
      <alignment horizontal="left"/>
    </xf>
    <xf numFmtId="4" fontId="31" fillId="16" borderId="0" xfId="25" applyNumberFormat="1" applyFont="1" applyFill="1" applyBorder="1" applyAlignment="1">
      <alignment horizontal="left"/>
    </xf>
    <xf numFmtId="4" fontId="32" fillId="16" borderId="0" xfId="25" applyNumberFormat="1" applyFont="1" applyFill="1" applyBorder="1" applyAlignment="1">
      <alignment vertical="center" wrapText="1" readingOrder="1"/>
    </xf>
    <xf numFmtId="4" fontId="32" fillId="16" borderId="0" xfId="25" applyNumberFormat="1" applyFont="1" applyFill="1" applyBorder="1"/>
    <xf numFmtId="49" fontId="31" fillId="16" borderId="5" xfId="39" applyNumberFormat="1" applyFont="1" applyFill="1" applyBorder="1" applyAlignment="1">
      <alignment horizontal="center"/>
    </xf>
    <xf numFmtId="49" fontId="31" fillId="16" borderId="6" xfId="40" applyNumberFormat="1" applyFont="1" applyFill="1" applyBorder="1" applyAlignment="1">
      <alignment horizontal="center"/>
    </xf>
    <xf numFmtId="4" fontId="32" fillId="16" borderId="6" xfId="40" applyNumberFormat="1" applyFont="1" applyFill="1" applyBorder="1" applyAlignment="1"/>
    <xf numFmtId="0" fontId="6" fillId="0" borderId="7" xfId="0" applyFont="1" applyFill="1" applyBorder="1" applyAlignment="1">
      <alignment horizontal="center" vertical="center"/>
    </xf>
    <xf numFmtId="0" fontId="3" fillId="0" borderId="8" xfId="36" applyFont="1" applyBorder="1"/>
    <xf numFmtId="0" fontId="3" fillId="0" borderId="0" xfId="36" applyFont="1"/>
    <xf numFmtId="0" fontId="7" fillId="0" borderId="0" xfId="36"/>
    <xf numFmtId="0" fontId="3" fillId="0" borderId="9" xfId="36" applyFont="1" applyBorder="1"/>
    <xf numFmtId="0" fontId="3" fillId="0" borderId="10" xfId="36" applyFont="1" applyBorder="1"/>
    <xf numFmtId="0" fontId="10" fillId="0" borderId="11" xfId="36" applyFont="1" applyBorder="1" applyAlignment="1">
      <alignment horizontal="center"/>
    </xf>
    <xf numFmtId="0" fontId="7" fillId="0" borderId="0" xfId="36" applyBorder="1"/>
    <xf numFmtId="0" fontId="10" fillId="0" borderId="7" xfId="36" applyFont="1" applyBorder="1" applyAlignment="1">
      <alignment horizontal="center"/>
    </xf>
    <xf numFmtId="0" fontId="10" fillId="0" borderId="8" xfId="36" applyFont="1" applyBorder="1" applyAlignment="1">
      <alignment horizontal="center"/>
    </xf>
    <xf numFmtId="0" fontId="8" fillId="0" borderId="0" xfId="36" applyFont="1"/>
    <xf numFmtId="0" fontId="9" fillId="0" borderId="11" xfId="39" applyFont="1" applyFill="1" applyBorder="1" applyAlignment="1">
      <alignment vertical="top"/>
    </xf>
    <xf numFmtId="0" fontId="8" fillId="0" borderId="11" xfId="39" applyFont="1" applyFill="1" applyBorder="1" applyAlignment="1">
      <alignment horizontal="left" vertical="top"/>
    </xf>
    <xf numFmtId="39" fontId="8" fillId="0" borderId="0" xfId="36" applyNumberFormat="1" applyFont="1"/>
    <xf numFmtId="4" fontId="9" fillId="0" borderId="11" xfId="22" applyNumberFormat="1" applyFont="1" applyBorder="1"/>
    <xf numFmtId="4" fontId="8" fillId="2" borderId="7" xfId="22" applyNumberFormat="1" applyFont="1" applyFill="1" applyBorder="1"/>
    <xf numFmtId="0" fontId="8" fillId="2" borderId="12" xfId="22" applyFont="1" applyFill="1" applyBorder="1"/>
    <xf numFmtId="172" fontId="9" fillId="2" borderId="12" xfId="46" applyNumberFormat="1" applyFont="1" applyFill="1" applyBorder="1" applyAlignment="1">
      <alignment horizontal="center"/>
    </xf>
    <xf numFmtId="0" fontId="8" fillId="2" borderId="13" xfId="36" applyFont="1" applyFill="1" applyBorder="1"/>
    <xf numFmtId="0" fontId="13" fillId="0" borderId="0" xfId="36" applyFont="1"/>
    <xf numFmtId="0" fontId="8" fillId="0" borderId="0" xfId="36" applyFont="1" applyBorder="1"/>
    <xf numFmtId="4" fontId="8" fillId="0" borderId="0" xfId="36" applyNumberFormat="1" applyFont="1"/>
    <xf numFmtId="0" fontId="30" fillId="0" borderId="0" xfId="0" applyFont="1"/>
    <xf numFmtId="0" fontId="33" fillId="16" borderId="0" xfId="0" applyFont="1" applyFill="1"/>
    <xf numFmtId="4" fontId="5" fillId="16" borderId="0" xfId="25" applyNumberFormat="1" applyFont="1" applyFill="1" applyBorder="1" applyAlignment="1">
      <alignment vertical="center" wrapText="1" readingOrder="1"/>
    </xf>
    <xf numFmtId="4" fontId="6" fillId="16" borderId="0" xfId="40" applyNumberFormat="1" applyFont="1" applyFill="1" applyBorder="1" applyAlignment="1">
      <alignment horizontal="left"/>
    </xf>
    <xf numFmtId="0" fontId="5" fillId="16" borderId="11" xfId="0" applyFont="1" applyFill="1" applyBorder="1" applyAlignment="1">
      <alignment horizontal="justify" vertical="justify" wrapText="1"/>
    </xf>
    <xf numFmtId="0" fontId="0" fillId="0" borderId="0" xfId="0" applyAlignment="1">
      <alignment horizontal="center"/>
    </xf>
    <xf numFmtId="0" fontId="34" fillId="16" borderId="0" xfId="0" applyFont="1" applyFill="1" applyAlignment="1">
      <alignment horizontal="right"/>
    </xf>
    <xf numFmtId="0" fontId="5" fillId="16" borderId="0" xfId="0" applyFont="1" applyFill="1"/>
    <xf numFmtId="0" fontId="5" fillId="16" borderId="11" xfId="0" applyFont="1" applyFill="1" applyBorder="1" applyAlignment="1">
      <alignment horizontal="center"/>
    </xf>
    <xf numFmtId="0" fontId="9" fillId="17" borderId="14" xfId="37" applyFont="1" applyFill="1" applyBorder="1" applyAlignment="1">
      <alignment vertical="top"/>
    </xf>
    <xf numFmtId="0" fontId="11" fillId="17" borderId="11" xfId="39" applyFont="1" applyFill="1" applyBorder="1" applyAlignment="1">
      <alignment vertical="top"/>
    </xf>
    <xf numFmtId="0" fontId="11" fillId="17" borderId="11" xfId="39" applyFont="1" applyFill="1" applyBorder="1" applyAlignment="1">
      <alignment horizontal="left" vertical="top"/>
    </xf>
    <xf numFmtId="10" fontId="12" fillId="17" borderId="11" xfId="46" quotePrefix="1" applyNumberFormat="1" applyFont="1" applyFill="1" applyBorder="1" applyAlignment="1"/>
    <xf numFmtId="39" fontId="12" fillId="17" borderId="11" xfId="36" applyNumberFormat="1" applyFont="1" applyFill="1" applyBorder="1" applyAlignment="1"/>
    <xf numFmtId="4" fontId="24" fillId="0" borderId="0" xfId="36" applyNumberFormat="1" applyFont="1"/>
    <xf numFmtId="0" fontId="6" fillId="16" borderId="11" xfId="0" applyFont="1" applyFill="1" applyBorder="1" applyAlignment="1">
      <alignment horizontal="center"/>
    </xf>
    <xf numFmtId="0" fontId="31" fillId="16" borderId="11" xfId="0" applyFont="1" applyFill="1" applyBorder="1" applyAlignment="1">
      <alignment horizontal="center"/>
    </xf>
    <xf numFmtId="0" fontId="31" fillId="16" borderId="11" xfId="0" applyFont="1" applyFill="1" applyBorder="1"/>
    <xf numFmtId="0" fontId="3" fillId="16" borderId="0" xfId="0" applyFont="1" applyFill="1"/>
    <xf numFmtId="2" fontId="5" fillId="16" borderId="11" xfId="0" applyNumberFormat="1" applyFont="1" applyFill="1" applyBorder="1" applyAlignment="1">
      <alignment horizontal="center"/>
    </xf>
    <xf numFmtId="0" fontId="35" fillId="16" borderId="0" xfId="0" applyFont="1" applyFill="1"/>
    <xf numFmtId="0" fontId="4" fillId="16" borderId="7" xfId="0" applyFont="1" applyFill="1" applyBorder="1" applyAlignment="1">
      <alignment horizontal="center" vertical="center"/>
    </xf>
    <xf numFmtId="0" fontId="34" fillId="16" borderId="0" xfId="0" applyFont="1" applyFill="1"/>
    <xf numFmtId="0" fontId="36" fillId="16" borderId="0" xfId="0" applyFont="1" applyFill="1" applyBorder="1"/>
    <xf numFmtId="0" fontId="33" fillId="16" borderId="0" xfId="0" applyFont="1" applyFill="1" applyAlignment="1">
      <alignment horizontal="center"/>
    </xf>
    <xf numFmtId="0" fontId="33" fillId="16" borderId="0" xfId="0" applyFont="1" applyFill="1" applyAlignment="1">
      <alignment horizontal="justify" vertical="justify" wrapText="1"/>
    </xf>
    <xf numFmtId="4" fontId="33" fillId="16" borderId="0" xfId="0" applyNumberFormat="1" applyFont="1" applyFill="1"/>
    <xf numFmtId="2" fontId="33" fillId="16" borderId="0" xfId="0" applyNumberFormat="1" applyFont="1" applyFill="1"/>
    <xf numFmtId="0" fontId="0" fillId="0" borderId="0" xfId="0" applyBorder="1"/>
    <xf numFmtId="0" fontId="30" fillId="0" borderId="0" xfId="0" applyFont="1" applyBorder="1"/>
    <xf numFmtId="0" fontId="10" fillId="0" borderId="15" xfId="36" applyFont="1" applyBorder="1" applyAlignment="1"/>
    <xf numFmtId="0" fontId="10" fillId="0" borderId="14" xfId="36" applyFont="1" applyBorder="1" applyAlignment="1"/>
    <xf numFmtId="4" fontId="8" fillId="16" borderId="11" xfId="36" applyNumberFormat="1" applyFont="1" applyFill="1" applyBorder="1" applyAlignment="1"/>
    <xf numFmtId="10" fontId="8" fillId="16" borderId="11" xfId="46" applyNumberFormat="1" applyFont="1" applyFill="1" applyBorder="1" applyAlignment="1"/>
    <xf numFmtId="2" fontId="35" fillId="16" borderId="0" xfId="0" applyNumberFormat="1" applyFont="1" applyFill="1"/>
    <xf numFmtId="2" fontId="34" fillId="16" borderId="0" xfId="0" applyNumberFormat="1" applyFont="1" applyFill="1" applyAlignment="1">
      <alignment horizontal="right"/>
    </xf>
    <xf numFmtId="2" fontId="34" fillId="16" borderId="0" xfId="0" applyNumberFormat="1" applyFont="1" applyFill="1"/>
    <xf numFmtId="0" fontId="0" fillId="0" borderId="0" xfId="0" applyFont="1" applyAlignment="1">
      <alignment horizontal="center"/>
    </xf>
    <xf numFmtId="0" fontId="0" fillId="0" borderId="0" xfId="0" applyFont="1"/>
    <xf numFmtId="0" fontId="0" fillId="0" borderId="11" xfId="0" applyFont="1" applyBorder="1" applyAlignment="1">
      <alignment horizontal="center"/>
    </xf>
    <xf numFmtId="0" fontId="0" fillId="0" borderId="11" xfId="0" applyFont="1" applyBorder="1"/>
    <xf numFmtId="194" fontId="30" fillId="0" borderId="11" xfId="0" applyNumberFormat="1" applyFont="1" applyBorder="1"/>
    <xf numFmtId="0" fontId="4" fillId="16" borderId="0" xfId="0" applyFont="1" applyFill="1"/>
    <xf numFmtId="183" fontId="33" fillId="16" borderId="0" xfId="0" applyNumberFormat="1" applyFont="1" applyFill="1"/>
    <xf numFmtId="49" fontId="31" fillId="16" borderId="3" xfId="25" applyNumberFormat="1" applyFont="1" applyFill="1" applyBorder="1" applyAlignment="1">
      <alignment horizontal="center"/>
    </xf>
    <xf numFmtId="49" fontId="31" fillId="16" borderId="0" xfId="25" applyNumberFormat="1" applyFont="1" applyFill="1" applyBorder="1" applyAlignment="1">
      <alignment horizontal="center"/>
    </xf>
    <xf numFmtId="0" fontId="0" fillId="0" borderId="0" xfId="0" applyFont="1" applyAlignment="1">
      <alignment horizontal="center" vertical="justify" wrapText="1"/>
    </xf>
    <xf numFmtId="0" fontId="0" fillId="0" borderId="0" xfId="0" applyAlignment="1">
      <alignment horizontal="center" vertical="justify" wrapText="1"/>
    </xf>
    <xf numFmtId="4" fontId="31" fillId="16" borderId="2" xfId="40" applyNumberFormat="1" applyFont="1" applyFill="1" applyBorder="1" applyAlignment="1">
      <alignment horizontal="center" vertical="center"/>
    </xf>
    <xf numFmtId="4" fontId="31" fillId="16" borderId="4" xfId="40" applyNumberFormat="1" applyFont="1" applyFill="1" applyBorder="1" applyAlignment="1">
      <alignment horizontal="center" vertical="center"/>
    </xf>
    <xf numFmtId="0" fontId="0" fillId="0" borderId="11" xfId="0" applyFont="1" applyBorder="1" applyAlignment="1">
      <alignment horizontal="center" vertical="justify" wrapText="1"/>
    </xf>
    <xf numFmtId="0" fontId="0" fillId="0" borderId="11" xfId="0" applyBorder="1"/>
    <xf numFmtId="0" fontId="0" fillId="0" borderId="11" xfId="0" applyBorder="1" applyAlignment="1">
      <alignment horizontal="center"/>
    </xf>
    <xf numFmtId="0" fontId="0" fillId="0" borderId="11" xfId="0" applyBorder="1" applyAlignment="1">
      <alignment horizontal="center" vertical="justify" wrapText="1"/>
    </xf>
    <xf numFmtId="0" fontId="30" fillId="0" borderId="11" xfId="0" applyFont="1" applyBorder="1" applyAlignment="1">
      <alignment horizontal="center"/>
    </xf>
    <xf numFmtId="0" fontId="30" fillId="0" borderId="11" xfId="0" applyFont="1" applyBorder="1" applyAlignment="1">
      <alignment horizontal="center" vertical="justify" wrapText="1"/>
    </xf>
    <xf numFmtId="0" fontId="30" fillId="0" borderId="11" xfId="0" applyFont="1" applyBorder="1" applyAlignment="1">
      <alignment horizontal="justify" vertical="justify" wrapText="1"/>
    </xf>
    <xf numFmtId="0" fontId="30" fillId="0" borderId="11" xfId="0" applyFont="1" applyBorder="1"/>
    <xf numFmtId="194" fontId="31" fillId="16" borderId="3" xfId="39" applyNumberFormat="1" applyFont="1" applyFill="1" applyBorder="1" applyAlignment="1">
      <alignment horizontal="left"/>
    </xf>
    <xf numFmtId="194" fontId="31" fillId="16" borderId="0" xfId="25" applyNumberFormat="1" applyFont="1" applyFill="1" applyBorder="1" applyAlignment="1">
      <alignment horizontal="left"/>
    </xf>
    <xf numFmtId="194" fontId="6" fillId="0" borderId="2" xfId="0" applyNumberFormat="1" applyFont="1" applyFill="1" applyBorder="1" applyAlignment="1">
      <alignment horizontal="center" vertical="center"/>
    </xf>
    <xf numFmtId="194" fontId="6" fillId="16" borderId="11" xfId="22" applyNumberFormat="1" applyFont="1" applyFill="1" applyBorder="1" applyAlignment="1">
      <alignment horizontal="right"/>
    </xf>
    <xf numFmtId="194" fontId="0" fillId="0" borderId="11" xfId="0" applyNumberFormat="1" applyBorder="1"/>
    <xf numFmtId="194" fontId="0" fillId="0" borderId="0" xfId="0" applyNumberFormat="1" applyBorder="1"/>
    <xf numFmtId="194" fontId="0" fillId="0" borderId="0" xfId="0" applyNumberFormat="1"/>
    <xf numFmtId="0" fontId="6" fillId="16" borderId="11" xfId="0" applyFont="1" applyFill="1" applyBorder="1" applyAlignment="1">
      <alignment horizontal="justify" vertical="justify" wrapText="1"/>
    </xf>
    <xf numFmtId="0" fontId="6" fillId="16" borderId="0" xfId="0" applyFont="1" applyFill="1"/>
    <xf numFmtId="0" fontId="35" fillId="16" borderId="0" xfId="0" applyFont="1" applyFill="1" applyBorder="1"/>
    <xf numFmtId="194" fontId="35" fillId="16" borderId="0" xfId="0" applyNumberFormat="1" applyFont="1" applyFill="1"/>
    <xf numFmtId="194" fontId="0" fillId="0" borderId="3" xfId="0" applyNumberFormat="1" applyBorder="1"/>
    <xf numFmtId="194" fontId="0" fillId="0" borderId="8" xfId="0" applyNumberFormat="1" applyBorder="1"/>
    <xf numFmtId="194" fontId="0" fillId="0" borderId="9" xfId="0" applyNumberFormat="1" applyBorder="1"/>
    <xf numFmtId="194" fontId="0" fillId="0" borderId="6" xfId="0" applyNumberFormat="1" applyBorder="1"/>
    <xf numFmtId="194" fontId="0" fillId="0" borderId="10" xfId="0" applyNumberFormat="1" applyBorder="1"/>
    <xf numFmtId="194" fontId="4" fillId="16" borderId="2" xfId="0" applyNumberFormat="1" applyFont="1" applyFill="1" applyBorder="1" applyAlignment="1">
      <alignment horizontal="center" vertical="center"/>
    </xf>
    <xf numFmtId="194" fontId="4" fillId="16" borderId="11" xfId="0" applyNumberFormat="1" applyFont="1" applyFill="1" applyBorder="1" applyAlignment="1">
      <alignment horizontal="center" vertical="center"/>
    </xf>
    <xf numFmtId="194" fontId="6" fillId="16" borderId="11" xfId="0" applyNumberFormat="1" applyFont="1" applyFill="1" applyBorder="1" applyAlignment="1">
      <alignment horizontal="center"/>
    </xf>
    <xf numFmtId="194" fontId="5" fillId="16" borderId="11" xfId="0" applyNumberFormat="1" applyFont="1" applyFill="1" applyBorder="1" applyAlignment="1">
      <alignment horizontal="center"/>
    </xf>
    <xf numFmtId="194" fontId="35" fillId="16" borderId="11" xfId="0" applyNumberFormat="1" applyFont="1" applyFill="1" applyBorder="1"/>
    <xf numFmtId="194" fontId="33" fillId="16" borderId="0" xfId="0" applyNumberFormat="1" applyFont="1" applyFill="1"/>
    <xf numFmtId="0" fontId="6" fillId="17" borderId="11" xfId="0" applyFont="1" applyFill="1" applyBorder="1" applyAlignment="1">
      <alignment horizontal="center"/>
    </xf>
    <xf numFmtId="0" fontId="6" fillId="17" borderId="11" xfId="0" applyFont="1" applyFill="1" applyBorder="1" applyAlignment="1">
      <alignment horizontal="justify" vertical="justify" wrapText="1"/>
    </xf>
    <xf numFmtId="194" fontId="6" fillId="17" borderId="11" xfId="0" applyNumberFormat="1" applyFont="1" applyFill="1" applyBorder="1" applyAlignment="1">
      <alignment horizontal="center"/>
    </xf>
    <xf numFmtId="194" fontId="4" fillId="17" borderId="11" xfId="22" applyNumberFormat="1" applyFont="1" applyFill="1" applyBorder="1" applyAlignment="1">
      <alignment horizontal="right"/>
    </xf>
    <xf numFmtId="194" fontId="6" fillId="17" borderId="11" xfId="22" applyNumberFormat="1" applyFont="1" applyFill="1" applyBorder="1" applyAlignment="1">
      <alignment horizontal="right"/>
    </xf>
    <xf numFmtId="194" fontId="35" fillId="17" borderId="11" xfId="0" applyNumberFormat="1" applyFont="1" applyFill="1" applyBorder="1"/>
    <xf numFmtId="194" fontId="6" fillId="17" borderId="13" xfId="0" applyNumberFormat="1" applyFont="1" applyFill="1" applyBorder="1" applyAlignment="1">
      <alignment horizontal="center"/>
    </xf>
    <xf numFmtId="194" fontId="35" fillId="17" borderId="0" xfId="0" applyNumberFormat="1" applyFont="1" applyFill="1"/>
    <xf numFmtId="0" fontId="6" fillId="16" borderId="7" xfId="0" applyFont="1" applyFill="1" applyBorder="1" applyAlignment="1">
      <alignment horizontal="center"/>
    </xf>
    <xf numFmtId="0" fontId="6" fillId="16" borderId="7" xfId="0" applyFont="1" applyFill="1" applyBorder="1" applyAlignment="1">
      <alignment horizontal="justify" vertical="justify" wrapText="1"/>
    </xf>
    <xf numFmtId="194" fontId="6" fillId="16" borderId="7" xfId="0" applyNumberFormat="1" applyFont="1" applyFill="1" applyBorder="1" applyAlignment="1">
      <alignment horizontal="center"/>
    </xf>
    <xf numFmtId="2" fontId="6" fillId="16" borderId="11" xfId="0" applyNumberFormat="1" applyFont="1" applyFill="1" applyBorder="1" applyAlignment="1">
      <alignment horizontal="center"/>
    </xf>
    <xf numFmtId="2" fontId="6" fillId="17" borderId="11" xfId="0" applyNumberFormat="1" applyFont="1" applyFill="1" applyBorder="1" applyAlignment="1">
      <alignment horizontal="center"/>
    </xf>
    <xf numFmtId="2" fontId="6" fillId="16" borderId="7" xfId="0" applyNumberFormat="1" applyFont="1" applyFill="1" applyBorder="1" applyAlignment="1">
      <alignment horizontal="center"/>
    </xf>
    <xf numFmtId="4" fontId="8" fillId="0" borderId="11" xfId="22" applyNumberFormat="1" applyFont="1" applyBorder="1"/>
    <xf numFmtId="0" fontId="33" fillId="0" borderId="11" xfId="0" applyFont="1" applyBorder="1" applyAlignment="1">
      <alignment horizontal="center"/>
    </xf>
    <xf numFmtId="0" fontId="33" fillId="0" borderId="11" xfId="0" applyFont="1" applyBorder="1" applyAlignment="1">
      <alignment horizontal="center" vertical="justify" wrapText="1"/>
    </xf>
    <xf numFmtId="0" fontId="33" fillId="0" borderId="11" xfId="0" applyFont="1" applyBorder="1"/>
    <xf numFmtId="194" fontId="33" fillId="0" borderId="11" xfId="0" applyNumberFormat="1" applyFont="1" applyBorder="1"/>
    <xf numFmtId="0" fontId="33" fillId="0" borderId="0" xfId="0" applyFont="1" applyBorder="1"/>
    <xf numFmtId="0" fontId="33" fillId="0" borderId="0" xfId="0" applyFont="1"/>
    <xf numFmtId="194" fontId="0" fillId="0" borderId="11" xfId="0" applyNumberFormat="1" applyFont="1" applyBorder="1"/>
    <xf numFmtId="0" fontId="30" fillId="0" borderId="0" xfId="0" applyFont="1" applyAlignment="1">
      <alignment horizontal="center"/>
    </xf>
    <xf numFmtId="0" fontId="30" fillId="0" borderId="0" xfId="0" applyFont="1" applyAlignment="1">
      <alignment horizontal="center" vertical="justify" wrapText="1"/>
    </xf>
    <xf numFmtId="194" fontId="30" fillId="0" borderId="0" xfId="0" applyNumberFormat="1" applyFont="1" applyBorder="1"/>
    <xf numFmtId="10" fontId="8" fillId="17" borderId="11" xfId="46" applyNumberFormat="1" applyFont="1" applyFill="1" applyBorder="1" applyAlignment="1"/>
    <xf numFmtId="4" fontId="8" fillId="17" borderId="11" xfId="36" applyNumberFormat="1" applyFont="1" applyFill="1" applyBorder="1" applyAlignment="1"/>
    <xf numFmtId="0" fontId="5" fillId="16" borderId="11" xfId="0" applyFont="1" applyFill="1" applyBorder="1" applyAlignment="1">
      <alignment horizontal="center" vertical="justify" wrapText="1"/>
    </xf>
    <xf numFmtId="2" fontId="0" fillId="0" borderId="11" xfId="0" applyNumberFormat="1" applyBorder="1"/>
    <xf numFmtId="0" fontId="36" fillId="16" borderId="11" xfId="0" applyFont="1" applyFill="1" applyBorder="1" applyAlignment="1">
      <alignment horizontal="center"/>
    </xf>
    <xf numFmtId="0" fontId="36" fillId="16" borderId="11" xfId="0" applyFont="1" applyFill="1" applyBorder="1" applyAlignment="1">
      <alignment horizontal="center" vertical="justify" wrapText="1"/>
    </xf>
    <xf numFmtId="0" fontId="36" fillId="16" borderId="11" xfId="0" applyFont="1" applyFill="1" applyBorder="1"/>
    <xf numFmtId="194" fontId="36" fillId="16" borderId="11" xfId="0" applyNumberFormat="1" applyFont="1" applyFill="1" applyBorder="1"/>
    <xf numFmtId="0" fontId="36" fillId="16" borderId="0" xfId="0" applyFont="1" applyFill="1"/>
    <xf numFmtId="194" fontId="30" fillId="0" borderId="0" xfId="0" applyNumberFormat="1" applyFont="1"/>
    <xf numFmtId="0" fontId="33" fillId="0" borderId="0" xfId="0" applyFont="1" applyAlignment="1">
      <alignment horizontal="center"/>
    </xf>
    <xf numFmtId="0" fontId="33" fillId="0" borderId="0" xfId="0" applyFont="1" applyAlignment="1">
      <alignment horizontal="center" vertical="justify" wrapText="1"/>
    </xf>
    <xf numFmtId="194" fontId="33" fillId="0" borderId="0" xfId="0" applyNumberFormat="1" applyFont="1" applyBorder="1"/>
    <xf numFmtId="0" fontId="5" fillId="16" borderId="11" xfId="0" applyFont="1" applyFill="1" applyBorder="1" applyAlignment="1">
      <alignment horizontal="center" vertical="justify"/>
    </xf>
    <xf numFmtId="10" fontId="8" fillId="18" borderId="11" xfId="46" applyNumberFormat="1" applyFont="1" applyFill="1" applyBorder="1" applyAlignment="1"/>
    <xf numFmtId="4" fontId="8" fillId="18" borderId="11" xfId="36" applyNumberFormat="1" applyFont="1" applyFill="1" applyBorder="1" applyAlignment="1"/>
    <xf numFmtId="0" fontId="37" fillId="19" borderId="16" xfId="0" applyFont="1" applyFill="1" applyBorder="1" applyAlignment="1">
      <alignment horizontal="justify" vertical="center" wrapText="1"/>
    </xf>
    <xf numFmtId="0" fontId="38" fillId="0" borderId="17" xfId="0" applyFont="1" applyBorder="1" applyAlignment="1">
      <alignment horizontal="justify" vertical="center" wrapText="1"/>
    </xf>
    <xf numFmtId="0" fontId="39" fillId="0" borderId="17" xfId="0" applyFont="1" applyBorder="1" applyAlignment="1">
      <alignment horizontal="justify" vertical="center" wrapText="1"/>
    </xf>
    <xf numFmtId="0" fontId="31" fillId="16" borderId="15" xfId="0" applyFont="1" applyFill="1" applyBorder="1" applyAlignment="1">
      <alignment horizontal="center"/>
    </xf>
    <xf numFmtId="0" fontId="0" fillId="0" borderId="15" xfId="0" applyFont="1" applyBorder="1" applyAlignment="1">
      <alignment horizontal="center" vertical="justify" wrapText="1"/>
    </xf>
    <xf numFmtId="0" fontId="0" fillId="0" borderId="15" xfId="0" applyBorder="1" applyAlignment="1">
      <alignment horizontal="center" vertical="justify" wrapText="1"/>
    </xf>
    <xf numFmtId="0" fontId="30" fillId="0" borderId="15" xfId="0" applyFont="1" applyBorder="1" applyAlignment="1">
      <alignment horizontal="center" vertical="justify" wrapText="1"/>
    </xf>
    <xf numFmtId="0" fontId="33" fillId="0" borderId="15" xfId="0" applyFont="1" applyBorder="1" applyAlignment="1">
      <alignment horizontal="center" vertical="justify" wrapText="1"/>
    </xf>
    <xf numFmtId="0" fontId="31" fillId="16" borderId="18" xfId="0" applyFont="1" applyFill="1" applyBorder="1" applyAlignment="1">
      <alignment horizontal="center"/>
    </xf>
    <xf numFmtId="0" fontId="0" fillId="0" borderId="18" xfId="0" applyFont="1" applyBorder="1" applyAlignment="1">
      <alignment horizontal="center"/>
    </xf>
    <xf numFmtId="0" fontId="0" fillId="0" borderId="18" xfId="0" applyBorder="1" applyAlignment="1">
      <alignment horizontal="center"/>
    </xf>
    <xf numFmtId="0" fontId="30" fillId="0" borderId="18" xfId="0" applyFont="1" applyBorder="1" applyAlignment="1">
      <alignment horizontal="center"/>
    </xf>
    <xf numFmtId="0" fontId="33" fillId="0" borderId="18" xfId="0" applyFont="1" applyBorder="1" applyAlignment="1">
      <alignment horizontal="center"/>
    </xf>
    <xf numFmtId="0" fontId="30" fillId="0" borderId="13" xfId="0" applyFont="1" applyBorder="1" applyAlignment="1">
      <alignment horizontal="justify" vertical="justify" wrapText="1"/>
    </xf>
    <xf numFmtId="0" fontId="37" fillId="19" borderId="11" xfId="0" applyFont="1" applyFill="1" applyBorder="1" applyAlignment="1">
      <alignment horizontal="justify" vertical="center" wrapText="1"/>
    </xf>
    <xf numFmtId="0" fontId="38" fillId="0" borderId="11" xfId="0" applyFont="1" applyBorder="1" applyAlignment="1">
      <alignment horizontal="justify" vertical="center" wrapText="1"/>
    </xf>
    <xf numFmtId="0" fontId="39" fillId="0" borderId="11" xfId="0" applyFont="1" applyBorder="1" applyAlignment="1">
      <alignment horizontal="justify" vertical="center" wrapText="1"/>
    </xf>
    <xf numFmtId="0" fontId="0" fillId="0" borderId="11" xfId="0" applyBorder="1" applyAlignment="1">
      <alignment horizontal="justify" vertical="center" wrapText="1"/>
    </xf>
    <xf numFmtId="0" fontId="0" fillId="0" borderId="0" xfId="0" applyAlignment="1">
      <alignment horizontal="justify" vertical="center" wrapText="1"/>
    </xf>
    <xf numFmtId="0" fontId="38" fillId="0" borderId="0" xfId="0" applyFont="1" applyAlignment="1">
      <alignment horizontal="justify" vertical="center" wrapText="1"/>
    </xf>
    <xf numFmtId="0" fontId="0" fillId="0" borderId="0" xfId="0" applyAlignment="1">
      <alignment wrapText="1"/>
    </xf>
    <xf numFmtId="0" fontId="0" fillId="0" borderId="16" xfId="0" applyBorder="1" applyAlignment="1">
      <alignment horizontal="justify" vertical="center" wrapText="1"/>
    </xf>
    <xf numFmtId="0" fontId="38" fillId="0" borderId="16" xfId="0" applyFont="1" applyBorder="1" applyAlignment="1">
      <alignment horizontal="justify" vertical="center" wrapText="1"/>
    </xf>
    <xf numFmtId="0" fontId="39" fillId="0" borderId="16" xfId="0" applyFont="1" applyBorder="1" applyAlignment="1">
      <alignment horizontal="justify" vertical="center" wrapText="1"/>
    </xf>
    <xf numFmtId="0" fontId="39" fillId="0" borderId="0" xfId="0" applyFont="1" applyAlignment="1">
      <alignment horizontal="justify" vertical="center" wrapText="1"/>
    </xf>
    <xf numFmtId="0" fontId="40" fillId="19" borderId="16" xfId="0" applyFont="1" applyFill="1" applyBorder="1" applyAlignment="1">
      <alignment horizontal="justify" vertical="center" wrapText="1"/>
    </xf>
    <xf numFmtId="0" fontId="0" fillId="0" borderId="11" xfId="0" applyBorder="1" applyAlignment="1">
      <alignment wrapText="1"/>
    </xf>
    <xf numFmtId="49" fontId="31" fillId="16" borderId="15" xfId="39" applyNumberFormat="1" applyFont="1" applyFill="1" applyBorder="1" applyAlignment="1">
      <alignment horizontal="center" vertical="center" wrapText="1"/>
    </xf>
    <xf numFmtId="0" fontId="32" fillId="16" borderId="14"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justify" wrapText="1"/>
    </xf>
    <xf numFmtId="0" fontId="6" fillId="0" borderId="13" xfId="0" applyFont="1" applyFill="1" applyBorder="1" applyAlignment="1">
      <alignment horizontal="center" vertical="justify" wrapText="1"/>
    </xf>
    <xf numFmtId="0" fontId="6" fillId="0" borderId="11" xfId="0" applyFont="1" applyFill="1" applyBorder="1" applyAlignment="1">
      <alignment horizontal="center" vertical="justify" wrapText="1"/>
    </xf>
    <xf numFmtId="4" fontId="6" fillId="0" borderId="11"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32" fillId="16" borderId="4" xfId="40" applyNumberFormat="1" applyFont="1" applyFill="1" applyBorder="1" applyAlignment="1">
      <alignment horizontal="left" vertical="center"/>
    </xf>
    <xf numFmtId="4" fontId="32" fillId="16" borderId="0" xfId="40" applyNumberFormat="1" applyFont="1" applyFill="1" applyBorder="1" applyAlignment="1">
      <alignment horizontal="left" vertical="center"/>
    </xf>
    <xf numFmtId="4" fontId="32" fillId="16" borderId="9" xfId="40" applyNumberFormat="1" applyFont="1" applyFill="1" applyBorder="1" applyAlignment="1">
      <alignment horizontal="left" vertical="center"/>
    </xf>
    <xf numFmtId="0" fontId="5" fillId="16" borderId="4" xfId="0" applyFont="1" applyFill="1" applyBorder="1" applyAlignment="1">
      <alignment horizontal="left" vertical="center" wrapText="1" readingOrder="1"/>
    </xf>
    <xf numFmtId="0" fontId="5" fillId="16" borderId="0" xfId="0" applyFont="1" applyFill="1" applyBorder="1" applyAlignment="1">
      <alignment horizontal="left" vertical="center" wrapText="1" readingOrder="1"/>
    </xf>
    <xf numFmtId="0" fontId="5" fillId="16" borderId="9" xfId="0" applyFont="1" applyFill="1" applyBorder="1" applyAlignment="1">
      <alignment horizontal="left" vertical="center" wrapText="1" readingOrder="1"/>
    </xf>
    <xf numFmtId="0" fontId="5" fillId="16" borderId="4" xfId="0" applyFont="1" applyFill="1" applyBorder="1" applyAlignment="1">
      <alignment horizontal="left" vertical="center" wrapText="1"/>
    </xf>
    <xf numFmtId="0" fontId="5" fillId="16" borderId="0" xfId="0" applyFont="1" applyFill="1" applyBorder="1" applyAlignment="1">
      <alignment horizontal="left" vertical="center" wrapText="1"/>
    </xf>
    <xf numFmtId="0" fontId="5" fillId="16" borderId="9" xfId="0" applyFont="1" applyFill="1" applyBorder="1" applyAlignment="1">
      <alignment horizontal="left" vertical="center" wrapText="1"/>
    </xf>
    <xf numFmtId="4" fontId="32" fillId="16" borderId="4" xfId="25" applyNumberFormat="1" applyFont="1" applyFill="1" applyBorder="1" applyAlignment="1">
      <alignment horizontal="left" vertical="center"/>
    </xf>
    <xf numFmtId="4" fontId="32" fillId="16" borderId="0" xfId="25" applyNumberFormat="1" applyFont="1" applyFill="1" applyBorder="1" applyAlignment="1">
      <alignment horizontal="left" vertical="center"/>
    </xf>
    <xf numFmtId="4" fontId="32" fillId="16" borderId="9" xfId="25" applyNumberFormat="1" applyFont="1" applyFill="1" applyBorder="1" applyAlignment="1">
      <alignment horizontal="left" vertical="center"/>
    </xf>
    <xf numFmtId="0" fontId="5" fillId="16" borderId="5" xfId="40" applyFont="1" applyFill="1" applyBorder="1" applyAlignment="1">
      <alignment horizontal="left"/>
    </xf>
    <xf numFmtId="0" fontId="5" fillId="16" borderId="6" xfId="40" applyFont="1" applyFill="1" applyBorder="1" applyAlignment="1">
      <alignment horizontal="left"/>
    </xf>
    <xf numFmtId="0" fontId="5" fillId="16" borderId="10" xfId="40" applyFont="1" applyFill="1" applyBorder="1" applyAlignment="1">
      <alignment horizontal="left"/>
    </xf>
    <xf numFmtId="49" fontId="4" fillId="16" borderId="15" xfId="39" applyNumberFormat="1" applyFont="1" applyFill="1" applyBorder="1" applyAlignment="1">
      <alignment horizontal="center" vertical="center" wrapText="1"/>
    </xf>
    <xf numFmtId="49" fontId="4" fillId="16" borderId="14" xfId="39" applyNumberFormat="1" applyFont="1" applyFill="1" applyBorder="1" applyAlignment="1">
      <alignment horizontal="center" vertical="center" wrapText="1"/>
    </xf>
    <xf numFmtId="49" fontId="4" fillId="16" borderId="6" xfId="39" applyNumberFormat="1" applyFont="1" applyFill="1" applyBorder="1" applyAlignment="1">
      <alignment horizontal="center" vertical="center" wrapText="1"/>
    </xf>
    <xf numFmtId="4" fontId="4" fillId="16" borderId="15" xfId="0" applyNumberFormat="1" applyFont="1" applyFill="1" applyBorder="1" applyAlignment="1">
      <alignment horizontal="center" vertical="center"/>
    </xf>
    <xf numFmtId="4" fontId="4" fillId="16" borderId="14" xfId="0" applyNumberFormat="1" applyFont="1" applyFill="1" applyBorder="1" applyAlignment="1">
      <alignment horizontal="center" vertical="center"/>
    </xf>
    <xf numFmtId="4" fontId="4" fillId="16" borderId="18" xfId="0" applyNumberFormat="1" applyFont="1" applyFill="1" applyBorder="1" applyAlignment="1">
      <alignment horizontal="center" vertical="center"/>
    </xf>
    <xf numFmtId="194" fontId="35" fillId="17" borderId="11" xfId="0" applyNumberFormat="1" applyFont="1" applyFill="1" applyBorder="1" applyAlignment="1">
      <alignment horizontal="center"/>
    </xf>
    <xf numFmtId="0" fontId="4" fillId="16" borderId="11" xfId="0" applyFont="1" applyFill="1" applyBorder="1" applyAlignment="1">
      <alignment horizontal="center" vertical="center"/>
    </xf>
    <xf numFmtId="0" fontId="4" fillId="16" borderId="7" xfId="0" applyFont="1" applyFill="1" applyBorder="1" applyAlignment="1">
      <alignment horizontal="center" vertical="center"/>
    </xf>
    <xf numFmtId="0" fontId="4" fillId="16" borderId="7" xfId="0" applyFont="1" applyFill="1" applyBorder="1" applyAlignment="1">
      <alignment horizontal="center" vertical="justify" wrapText="1"/>
    </xf>
    <xf numFmtId="0" fontId="4" fillId="16" borderId="13" xfId="0" applyFont="1" applyFill="1" applyBorder="1" applyAlignment="1">
      <alignment horizontal="center" vertical="justify" wrapText="1"/>
    </xf>
    <xf numFmtId="0" fontId="4" fillId="16" borderId="11" xfId="0" applyFont="1" applyFill="1" applyBorder="1" applyAlignment="1">
      <alignment horizontal="center" vertical="justify" wrapText="1"/>
    </xf>
    <xf numFmtId="4" fontId="4" fillId="16" borderId="11" xfId="0" applyNumberFormat="1" applyFont="1" applyFill="1" applyBorder="1" applyAlignment="1">
      <alignment horizontal="center" vertical="center"/>
    </xf>
    <xf numFmtId="4" fontId="4" fillId="16" borderId="7" xfId="0" applyNumberFormat="1" applyFont="1" applyFill="1" applyBorder="1" applyAlignment="1">
      <alignment horizontal="center" vertical="center"/>
    </xf>
    <xf numFmtId="44" fontId="9" fillId="0" borderId="2" xfId="25" applyNumberFormat="1" applyFont="1" applyBorder="1" applyAlignment="1">
      <alignment horizontal="center" vertical="center" wrapText="1" readingOrder="1"/>
    </xf>
    <xf numFmtId="44" fontId="9" fillId="0" borderId="3" xfId="25" applyNumberFormat="1" applyFont="1" applyBorder="1" applyAlignment="1">
      <alignment horizontal="center" vertical="center" wrapText="1" readingOrder="1"/>
    </xf>
    <xf numFmtId="44" fontId="9" fillId="0" borderId="4" xfId="25" applyNumberFormat="1" applyFont="1" applyBorder="1" applyAlignment="1">
      <alignment horizontal="center" vertical="center" wrapText="1" readingOrder="1"/>
    </xf>
    <xf numFmtId="44" fontId="9" fillId="0" borderId="0" xfId="25" applyNumberFormat="1" applyFont="1" applyBorder="1" applyAlignment="1">
      <alignment horizontal="center" vertical="center" wrapText="1" readingOrder="1"/>
    </xf>
    <xf numFmtId="4" fontId="8" fillId="0" borderId="4" xfId="25" applyNumberFormat="1" applyFont="1" applyFill="1" applyBorder="1" applyAlignment="1">
      <alignment horizontal="center" vertical="center" wrapText="1" readingOrder="1"/>
    </xf>
    <xf numFmtId="4" fontId="8" fillId="0" borderId="0" xfId="25" applyNumberFormat="1" applyFont="1" applyFill="1" applyBorder="1" applyAlignment="1">
      <alignment horizontal="center" vertical="center" wrapText="1" readingOrder="1"/>
    </xf>
    <xf numFmtId="0" fontId="8" fillId="0" borderId="4" xfId="40" applyFont="1" applyFill="1" applyBorder="1" applyAlignment="1">
      <alignment horizontal="center"/>
    </xf>
    <xf numFmtId="0" fontId="8" fillId="0" borderId="0" xfId="40" applyFont="1" applyFill="1" applyBorder="1" applyAlignment="1">
      <alignment horizontal="center"/>
    </xf>
    <xf numFmtId="39" fontId="9" fillId="0" borderId="15" xfId="36" applyNumberFormat="1" applyFont="1" applyBorder="1" applyAlignment="1">
      <alignment horizontal="center"/>
    </xf>
    <xf numFmtId="39" fontId="9" fillId="0" borderId="18" xfId="36" applyNumberFormat="1" applyFont="1" applyBorder="1" applyAlignment="1">
      <alignment horizontal="center"/>
    </xf>
    <xf numFmtId="4" fontId="8" fillId="0" borderId="4" xfId="25" applyNumberFormat="1" applyFont="1" applyFill="1" applyBorder="1" applyAlignment="1">
      <alignment horizontal="center" vertical="center" wrapText="1"/>
    </xf>
    <xf numFmtId="4" fontId="8" fillId="0" borderId="0" xfId="25" applyNumberFormat="1" applyFont="1" applyFill="1" applyBorder="1" applyAlignment="1">
      <alignment horizontal="center" vertical="center" wrapText="1"/>
    </xf>
    <xf numFmtId="0" fontId="9" fillId="0" borderId="15" xfId="36" applyFont="1" applyBorder="1" applyAlignment="1">
      <alignment horizontal="left" vertical="top"/>
    </xf>
    <xf numFmtId="0" fontId="9" fillId="0" borderId="18" xfId="36" applyFont="1" applyBorder="1" applyAlignment="1">
      <alignment horizontal="left" vertical="top"/>
    </xf>
    <xf numFmtId="4" fontId="8" fillId="0" borderId="5" xfId="40" applyNumberFormat="1" applyFont="1" applyFill="1" applyBorder="1" applyAlignment="1">
      <alignment horizontal="center" vertical="center" wrapText="1"/>
    </xf>
    <xf numFmtId="4" fontId="8" fillId="0" borderId="6" xfId="40" applyNumberFormat="1" applyFont="1" applyFill="1" applyBorder="1" applyAlignment="1">
      <alignment horizontal="center" vertical="center" wrapText="1"/>
    </xf>
    <xf numFmtId="0" fontId="10" fillId="0" borderId="7" xfId="36" applyFont="1" applyBorder="1" applyAlignment="1">
      <alignment horizontal="center" wrapText="1"/>
    </xf>
    <xf numFmtId="0" fontId="10" fillId="0" borderId="12" xfId="36" applyFont="1" applyBorder="1" applyAlignment="1">
      <alignment horizontal="center" wrapText="1"/>
    </xf>
    <xf numFmtId="0" fontId="10" fillId="0" borderId="13" xfId="36" applyFont="1" applyBorder="1" applyAlignment="1">
      <alignment horizontal="center" wrapText="1"/>
    </xf>
    <xf numFmtId="0" fontId="10" fillId="0" borderId="15" xfId="36" applyFont="1" applyBorder="1" applyAlignment="1">
      <alignment horizontal="center"/>
    </xf>
    <xf numFmtId="0" fontId="10" fillId="0" borderId="18" xfId="36" applyFont="1" applyBorder="1" applyAlignment="1">
      <alignment horizontal="center"/>
    </xf>
    <xf numFmtId="0" fontId="9" fillId="17" borderId="11" xfId="37" applyFont="1" applyFill="1" applyBorder="1" applyAlignment="1">
      <alignment horizontal="center" vertical="top"/>
    </xf>
    <xf numFmtId="1" fontId="9" fillId="0" borderId="15" xfId="36" applyNumberFormat="1" applyFont="1" applyBorder="1" applyAlignment="1">
      <alignment horizontal="left" vertical="top"/>
    </xf>
    <xf numFmtId="1" fontId="9" fillId="0" borderId="18" xfId="36" applyNumberFormat="1" applyFont="1" applyBorder="1" applyAlignment="1">
      <alignment horizontal="left" vertical="top"/>
    </xf>
    <xf numFmtId="4" fontId="9" fillId="0" borderId="15" xfId="38" applyNumberFormat="1" applyFont="1" applyBorder="1" applyAlignment="1">
      <alignment horizontal="center"/>
    </xf>
    <xf numFmtId="4" fontId="9" fillId="0" borderId="18" xfId="38" applyNumberFormat="1" applyFont="1" applyBorder="1" applyAlignment="1">
      <alignment horizontal="center"/>
    </xf>
    <xf numFmtId="10" fontId="9" fillId="0" borderId="15" xfId="46" applyNumberFormat="1" applyFont="1" applyBorder="1" applyAlignment="1">
      <alignment horizontal="center"/>
    </xf>
    <xf numFmtId="10" fontId="9" fillId="0" borderId="18" xfId="46" applyNumberFormat="1" applyFont="1" applyBorder="1" applyAlignment="1">
      <alignment horizontal="center"/>
    </xf>
    <xf numFmtId="10" fontId="9" fillId="0" borderId="15" xfId="36" applyNumberFormat="1" applyFont="1" applyBorder="1" applyAlignment="1">
      <alignment horizontal="center"/>
    </xf>
    <xf numFmtId="0" fontId="9" fillId="0" borderId="18" xfId="36" applyFont="1" applyBorder="1" applyAlignment="1">
      <alignment horizontal="center"/>
    </xf>
    <xf numFmtId="4" fontId="8" fillId="0" borderId="4" xfId="40" applyNumberFormat="1" applyFont="1" applyFill="1" applyBorder="1" applyAlignment="1">
      <alignment horizontal="center" vertical="center" wrapText="1"/>
    </xf>
    <xf numFmtId="4" fontId="8" fillId="0" borderId="0" xfId="40" applyNumberFormat="1" applyFont="1" applyFill="1" applyBorder="1" applyAlignment="1">
      <alignment horizontal="center" vertical="center" wrapText="1"/>
    </xf>
    <xf numFmtId="0" fontId="9" fillId="0" borderId="15" xfId="40" applyFont="1" applyFill="1" applyBorder="1" applyAlignment="1">
      <alignment horizontal="center" vertical="center" wrapText="1"/>
    </xf>
    <xf numFmtId="0" fontId="9" fillId="0" borderId="14" xfId="40" applyFont="1" applyFill="1" applyBorder="1" applyAlignment="1">
      <alignment horizontal="center" vertical="center" wrapText="1"/>
    </xf>
    <xf numFmtId="0" fontId="9" fillId="0" borderId="18" xfId="40" applyFont="1" applyFill="1" applyBorder="1" applyAlignment="1">
      <alignment horizontal="center" vertical="center" wrapText="1"/>
    </xf>
  </cellXfs>
  <cellStyles count="59">
    <cellStyle name="20% - Ênfase1 2" xfId="1"/>
    <cellStyle name="20% - Ênfase2 2" xfId="2"/>
    <cellStyle name="20% - Ênfase3 2" xfId="3"/>
    <cellStyle name="20% - Ênfase4 2" xfId="4"/>
    <cellStyle name="20% - Ênfase5 2" xfId="5"/>
    <cellStyle name="20% - Ênfase6 2" xfId="6"/>
    <cellStyle name="40% - Ênfase1 2" xfId="7"/>
    <cellStyle name="40% - Ênfase2 2" xfId="8"/>
    <cellStyle name="40% - Ênfase3 2" xfId="9"/>
    <cellStyle name="40% - Ênfase4 2" xfId="10"/>
    <cellStyle name="40% - Ênfase5 2" xfId="11"/>
    <cellStyle name="40% - Ênfase6 2" xfId="12"/>
    <cellStyle name="Data" xfId="13"/>
    <cellStyle name="Euro" xfId="14"/>
    <cellStyle name="Euro 2" xfId="15"/>
    <cellStyle name="Euro 2 2" xfId="16"/>
    <cellStyle name="Fixo" xfId="17"/>
    <cellStyle name="Moeda 2" xfId="18"/>
    <cellStyle name="Moeda 3" xfId="19"/>
    <cellStyle name="Normal" xfId="0" builtinId="0"/>
    <cellStyle name="Normal 10" xfId="20"/>
    <cellStyle name="Normal 11" xfId="21"/>
    <cellStyle name="Normal 2" xfId="22"/>
    <cellStyle name="Normal 2 2" xfId="23"/>
    <cellStyle name="Normal 2 2 2" xfId="24"/>
    <cellStyle name="Normal 2 3" xfId="25"/>
    <cellStyle name="Normal 3" xfId="26"/>
    <cellStyle name="Normal 3 2" xfId="27"/>
    <cellStyle name="Normal 4" xfId="28"/>
    <cellStyle name="Normal 5" xfId="29"/>
    <cellStyle name="Normal 6" xfId="30"/>
    <cellStyle name="Normal 7" xfId="31"/>
    <cellStyle name="Normal 8" xfId="32"/>
    <cellStyle name="Normal 8 2" xfId="33"/>
    <cellStyle name="Normal 9" xfId="34"/>
    <cellStyle name="Normal 9 2" xfId="35"/>
    <cellStyle name="Normal_CRONOGRAMA" xfId="36"/>
    <cellStyle name="Normal_CRUZEI~1" xfId="37"/>
    <cellStyle name="Normal_Orçamento nº057-2003- Esc. Munic. AMPARO revisão" xfId="38"/>
    <cellStyle name="Normal_P_Getulio Vargas" xfId="39"/>
    <cellStyle name="Normal_P_Getulio Vargas 2" xfId="40"/>
    <cellStyle name="Nota 2" xfId="41"/>
    <cellStyle name="Nota 3" xfId="42"/>
    <cellStyle name="Nota 4" xfId="43"/>
    <cellStyle name="Percentual" xfId="44"/>
    <cellStyle name="Ponto" xfId="45"/>
    <cellStyle name="Porcentagem 2" xfId="46"/>
    <cellStyle name="Porcentagem 3" xfId="47"/>
    <cellStyle name="Separador de milhares 15" xfId="48"/>
    <cellStyle name="Separador de milhares 2" xfId="49"/>
    <cellStyle name="TableStyleLight1" xfId="50"/>
    <cellStyle name="Título 1 1" xfId="51"/>
    <cellStyle name="Título 1 1 1" xfId="52"/>
    <cellStyle name="Título 1 1_PLAN   (2)" xfId="53"/>
    <cellStyle name="Titulo1" xfId="54"/>
    <cellStyle name="Titulo2" xfId="55"/>
    <cellStyle name="Vírgula 2" xfId="56"/>
    <cellStyle name="Vírgula 2 2" xfId="57"/>
    <cellStyle name="Vírgula 3" xfId="5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1</xdr:col>
      <xdr:colOff>1171575</xdr:colOff>
      <xdr:row>6</xdr:row>
      <xdr:rowOff>200025</xdr:rowOff>
    </xdr:to>
    <xdr:pic>
      <xdr:nvPicPr>
        <xdr:cNvPr id="96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1657350" cy="12573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1</xdr:col>
      <xdr:colOff>1171575</xdr:colOff>
      <xdr:row>6</xdr:row>
      <xdr:rowOff>200025</xdr:rowOff>
    </xdr:to>
    <xdr:pic>
      <xdr:nvPicPr>
        <xdr:cNvPr id="297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1657350" cy="12573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1</xdr:col>
      <xdr:colOff>1171575</xdr:colOff>
      <xdr:row>6</xdr:row>
      <xdr:rowOff>200025</xdr:rowOff>
    </xdr:to>
    <xdr:pic>
      <xdr:nvPicPr>
        <xdr:cNvPr id="1271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1657350" cy="1257300"/>
        </a:xfrm>
        <a:prstGeom prst="rect">
          <a:avLst/>
        </a:prstGeom>
        <a:noFill/>
        <a:ln w="9525">
          <a:noFill/>
          <a:round/>
          <a:headEnd/>
          <a:tailEnd/>
        </a:ln>
      </xdr:spPr>
    </xdr:pic>
    <xdr:clientData/>
  </xdr:twoCellAnchor>
  <xdr:twoCellAnchor>
    <xdr:from>
      <xdr:col>0</xdr:col>
      <xdr:colOff>123825</xdr:colOff>
      <xdr:row>0</xdr:row>
      <xdr:rowOff>142875</xdr:rowOff>
    </xdr:from>
    <xdr:to>
      <xdr:col>1</xdr:col>
      <xdr:colOff>1171575</xdr:colOff>
      <xdr:row>6</xdr:row>
      <xdr:rowOff>200025</xdr:rowOff>
    </xdr:to>
    <xdr:pic>
      <xdr:nvPicPr>
        <xdr:cNvPr id="1271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1657350" cy="1257300"/>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2</xdr:row>
      <xdr:rowOff>171450</xdr:rowOff>
    </xdr:from>
    <xdr:to>
      <xdr:col>8</xdr:col>
      <xdr:colOff>2114550</xdr:colOff>
      <xdr:row>7</xdr:row>
      <xdr:rowOff>238125</xdr:rowOff>
    </xdr:to>
    <xdr:pic>
      <xdr:nvPicPr>
        <xdr:cNvPr id="471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6735425" y="1181100"/>
          <a:ext cx="2076450" cy="2590800"/>
        </a:xfrm>
        <a:prstGeom prst="rect">
          <a:avLst/>
        </a:prstGeom>
        <a:noFill/>
        <a:ln w="9525">
          <a:noFill/>
          <a:round/>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fredo.cunha\Documents\Meus%20Documentos\ALFREDO\QUADRA%20PARQUE%20INDEPEND&#202;NCIA\Or&#231;amento%20n&#186;0xx-2014_%20Constru&#231;&#227;o%20de%20Quadra%20Poliesportiva%20Coberta%20Parque%20Independ&#234;nc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fredo.cunha\Documents\Meus%20Documentos\PLANEJAMENTO%20PMBM%202019\ATUALIZA&#199;&#195;O%202019%20-%20REVIS&#195;O%20QUADRA%20AYMOR&#201;\Rev130219-Or&#231;amento%20%20n&#186;015-18_Execu&#231;&#227;o%20de%20Quadra%20esportiva_%20Aymor&#233;%20-%20C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elia.nogueira\Downloads\Revis&#227;o%20JAN-18_Or&#231;amento%20ATI%20Vila%20Br&#237;gida%20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MÓRIA"/>
      <sheetName val="EMOP"/>
      <sheetName val="SUSESP"/>
      <sheetName val="SUSESP SP"/>
      <sheetName val="Cronograma "/>
      <sheetName val="Cronograma  sp"/>
    </sheetNames>
    <sheetDataSet>
      <sheetData sheetId="0" refreshError="1"/>
      <sheetData sheetId="1" refreshError="1"/>
      <sheetData sheetId="2"/>
      <sheetData sheetId="3" refreshError="1"/>
      <sheetData sheetId="4"/>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TAÇÕES DE MERCADO"/>
      <sheetName val="MEMORIA  Quant"/>
      <sheetName val="COMPOS. ANALÍTICA"/>
      <sheetName val="SINAPI"/>
      <sheetName val="CRONOG"/>
      <sheetName val="BDI"/>
      <sheetName val="EVENTOGRAMA - R$"/>
      <sheetName val="EVENTOGRAMA - META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DI - Construção de Edifícios"/>
      <sheetName val="MEMORIA  Quant"/>
      <sheetName val="Compos. Analítica"/>
      <sheetName val="SINAPI"/>
      <sheetName val="Cronogram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S418"/>
  <sheetViews>
    <sheetView view="pageBreakPreview" topLeftCell="A249" zoomScale="80" zoomScaleNormal="100" zoomScaleSheetLayoutView="80" workbookViewId="0">
      <selection activeCell="B261" sqref="B261"/>
    </sheetView>
  </sheetViews>
  <sheetFormatPr defaultRowHeight="15"/>
  <cols>
    <col min="1" max="1" width="9.140625" style="46" customWidth="1"/>
    <col min="2" max="2" width="23.7109375" style="46" customWidth="1"/>
    <col min="3" max="3" width="104" style="1" customWidth="1"/>
    <col min="4" max="4" width="11.140625" style="46" customWidth="1"/>
    <col min="5" max="5" width="11.7109375" customWidth="1"/>
    <col min="6" max="6" width="17.5703125" bestFit="1" customWidth="1"/>
    <col min="7" max="7" width="21.42578125" style="105" bestFit="1" customWidth="1"/>
    <col min="8" max="97" width="9.140625" style="69" customWidth="1"/>
  </cols>
  <sheetData>
    <row r="1" spans="1:97" ht="15.75">
      <c r="A1" s="2"/>
      <c r="B1" s="85"/>
      <c r="C1" s="4" t="s">
        <v>8</v>
      </c>
      <c r="D1" s="89"/>
      <c r="E1" s="6"/>
      <c r="F1" s="7"/>
      <c r="G1" s="99"/>
    </row>
    <row r="2" spans="1:97" ht="15.75">
      <c r="A2" s="8"/>
      <c r="B2" s="86"/>
      <c r="C2" s="10" t="s">
        <v>9</v>
      </c>
      <c r="D2" s="90"/>
      <c r="E2" s="12"/>
      <c r="F2" s="13"/>
      <c r="G2" s="100"/>
    </row>
    <row r="3" spans="1:97" ht="15.75">
      <c r="A3" s="8"/>
      <c r="B3" s="86"/>
      <c r="C3" s="10" t="s">
        <v>10</v>
      </c>
      <c r="D3" s="198" t="s">
        <v>45</v>
      </c>
      <c r="E3" s="199"/>
      <c r="F3" s="199"/>
      <c r="G3" s="200"/>
    </row>
    <row r="4" spans="1:97" ht="15.75">
      <c r="A4" s="8"/>
      <c r="B4" s="86"/>
      <c r="C4" s="14" t="s">
        <v>43</v>
      </c>
      <c r="D4" s="201" t="s">
        <v>38</v>
      </c>
      <c r="E4" s="202"/>
      <c r="F4" s="202"/>
      <c r="G4" s="203"/>
    </row>
    <row r="5" spans="1:97" ht="15.75">
      <c r="A5" s="8"/>
      <c r="B5" s="86"/>
      <c r="C5" s="43" t="s">
        <v>44</v>
      </c>
      <c r="D5" s="204" t="s">
        <v>47</v>
      </c>
      <c r="E5" s="205"/>
      <c r="F5" s="205"/>
      <c r="G5" s="206"/>
    </row>
    <row r="6" spans="1:97" ht="15.75">
      <c r="A6" s="8"/>
      <c r="B6" s="86"/>
      <c r="C6" s="15" t="s">
        <v>41</v>
      </c>
      <c r="D6" s="207" t="s">
        <v>46</v>
      </c>
      <c r="E6" s="208"/>
      <c r="F6" s="208"/>
      <c r="G6" s="209"/>
    </row>
    <row r="7" spans="1:97" ht="15.75">
      <c r="A7" s="8"/>
      <c r="B7" s="86"/>
      <c r="C7" s="44"/>
      <c r="D7" s="207" t="s">
        <v>18</v>
      </c>
      <c r="E7" s="208"/>
      <c r="F7" s="208"/>
      <c r="G7" s="209"/>
    </row>
    <row r="8" spans="1:97" ht="15.75">
      <c r="A8" s="16"/>
      <c r="B8" s="17"/>
      <c r="C8" s="18"/>
      <c r="D8" s="210" t="s">
        <v>35</v>
      </c>
      <c r="E8" s="211"/>
      <c r="F8" s="211"/>
      <c r="G8" s="212"/>
    </row>
    <row r="9" spans="1:97">
      <c r="A9" s="189" t="s">
        <v>11</v>
      </c>
      <c r="B9" s="190"/>
      <c r="C9" s="190"/>
      <c r="D9" s="190"/>
      <c r="E9" s="190"/>
      <c r="F9" s="190"/>
      <c r="G9" s="190"/>
    </row>
    <row r="10" spans="1:97" ht="15.75">
      <c r="A10" s="191" t="s">
        <v>12</v>
      </c>
      <c r="B10" s="193" t="s">
        <v>13</v>
      </c>
      <c r="C10" s="195" t="s">
        <v>14</v>
      </c>
      <c r="D10" s="191" t="s">
        <v>6</v>
      </c>
      <c r="E10" s="196" t="s">
        <v>15</v>
      </c>
      <c r="F10" s="196" t="s">
        <v>16</v>
      </c>
      <c r="G10" s="196"/>
    </row>
    <row r="11" spans="1:97" ht="16.5" thickBot="1">
      <c r="A11" s="192"/>
      <c r="B11" s="194"/>
      <c r="C11" s="193"/>
      <c r="D11" s="192"/>
      <c r="E11" s="197"/>
      <c r="F11" s="19" t="s">
        <v>17</v>
      </c>
      <c r="G11" s="101" t="s">
        <v>4</v>
      </c>
    </row>
    <row r="12" spans="1:97" s="41" customFormat="1" ht="16.5" thickBot="1">
      <c r="A12" s="57" t="s">
        <v>5</v>
      </c>
      <c r="B12" s="57"/>
      <c r="C12" s="162" t="s">
        <v>332</v>
      </c>
      <c r="D12" s="57"/>
      <c r="E12" s="58"/>
      <c r="F12" s="58"/>
      <c r="G12" s="102"/>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row>
    <row r="13" spans="1:97" ht="30.75" thickBot="1">
      <c r="A13" s="80" t="s">
        <v>50</v>
      </c>
      <c r="B13" s="91" t="s">
        <v>98</v>
      </c>
      <c r="C13" s="163" t="s">
        <v>333</v>
      </c>
      <c r="D13" s="80" t="s">
        <v>51</v>
      </c>
      <c r="E13" s="81">
        <v>6</v>
      </c>
      <c r="F13" s="81">
        <f>TRUNC(F14,2)</f>
        <v>383.21</v>
      </c>
      <c r="G13" s="103">
        <f t="shared" ref="G13:G22" si="0">TRUNC(E13*F13,2)</f>
        <v>2299.2600000000002</v>
      </c>
      <c r="CS13"/>
    </row>
    <row r="14" spans="1:97" ht="30">
      <c r="A14" s="78"/>
      <c r="B14" s="87" t="s">
        <v>98</v>
      </c>
      <c r="C14" s="181" t="s">
        <v>333</v>
      </c>
      <c r="D14" s="78" t="s">
        <v>51</v>
      </c>
      <c r="E14" s="79">
        <v>1</v>
      </c>
      <c r="F14" s="79">
        <f>G23</f>
        <v>383.21</v>
      </c>
      <c r="G14" s="104">
        <f t="shared" si="0"/>
        <v>383.21</v>
      </c>
      <c r="CS14"/>
    </row>
    <row r="15" spans="1:97">
      <c r="A15" s="78"/>
      <c r="B15" s="87" t="s">
        <v>120</v>
      </c>
      <c r="C15" s="181" t="s">
        <v>379</v>
      </c>
      <c r="D15" s="78" t="s">
        <v>2</v>
      </c>
      <c r="E15" s="79">
        <v>0.3</v>
      </c>
      <c r="F15" s="79">
        <f>TRUNC(13.39,2)</f>
        <v>13.39</v>
      </c>
      <c r="G15" s="104">
        <f t="shared" si="0"/>
        <v>4.01</v>
      </c>
      <c r="CS15"/>
    </row>
    <row r="16" spans="1:97">
      <c r="A16" s="78"/>
      <c r="B16" s="87" t="s">
        <v>121</v>
      </c>
      <c r="C16" s="181" t="s">
        <v>380</v>
      </c>
      <c r="D16" s="78" t="s">
        <v>1</v>
      </c>
      <c r="E16" s="79">
        <v>9.1999999999999993</v>
      </c>
      <c r="F16" s="79">
        <f>TRUNC(3.45,2)</f>
        <v>3.45</v>
      </c>
      <c r="G16" s="104">
        <f t="shared" si="0"/>
        <v>31.74</v>
      </c>
      <c r="CS16"/>
    </row>
    <row r="17" spans="1:97">
      <c r="A17" s="78"/>
      <c r="B17" s="87" t="s">
        <v>122</v>
      </c>
      <c r="C17" s="181" t="s">
        <v>381</v>
      </c>
      <c r="D17" s="78" t="s">
        <v>123</v>
      </c>
      <c r="E17" s="79">
        <v>0.2</v>
      </c>
      <c r="F17" s="79">
        <f>TRUNC(54.27,2)</f>
        <v>54.27</v>
      </c>
      <c r="G17" s="104">
        <f t="shared" si="0"/>
        <v>10.85</v>
      </c>
      <c r="CS17"/>
    </row>
    <row r="18" spans="1:97" ht="30">
      <c r="A18" s="78"/>
      <c r="B18" s="87" t="s">
        <v>124</v>
      </c>
      <c r="C18" s="181" t="s">
        <v>382</v>
      </c>
      <c r="D18" s="78" t="s">
        <v>2</v>
      </c>
      <c r="E18" s="79">
        <v>5</v>
      </c>
      <c r="F18" s="79">
        <f>TRUNC(9.1288,2)</f>
        <v>9.1199999999999992</v>
      </c>
      <c r="G18" s="104">
        <f t="shared" si="0"/>
        <v>45.6</v>
      </c>
      <c r="CS18"/>
    </row>
    <row r="19" spans="1:97">
      <c r="A19" s="78"/>
      <c r="B19" s="87" t="s">
        <v>39</v>
      </c>
      <c r="C19" s="181" t="s">
        <v>383</v>
      </c>
      <c r="D19" s="78" t="s">
        <v>3</v>
      </c>
      <c r="E19" s="79">
        <v>2.06</v>
      </c>
      <c r="F19" s="79">
        <f>TRUNC(16.55,2)</f>
        <v>16.55</v>
      </c>
      <c r="G19" s="104">
        <f t="shared" si="0"/>
        <v>34.090000000000003</v>
      </c>
      <c r="CS19"/>
    </row>
    <row r="20" spans="1:97">
      <c r="A20" s="78"/>
      <c r="B20" s="87" t="s">
        <v>125</v>
      </c>
      <c r="C20" s="181" t="s">
        <v>384</v>
      </c>
      <c r="D20" s="78" t="s">
        <v>3</v>
      </c>
      <c r="E20" s="79">
        <v>2.06</v>
      </c>
      <c r="F20" s="79">
        <f>TRUNC(24.61,2)</f>
        <v>24.61</v>
      </c>
      <c r="G20" s="104">
        <f t="shared" si="0"/>
        <v>50.69</v>
      </c>
      <c r="CS20"/>
    </row>
    <row r="21" spans="1:97">
      <c r="A21" s="78"/>
      <c r="B21" s="87" t="s">
        <v>126</v>
      </c>
      <c r="C21" s="181" t="s">
        <v>385</v>
      </c>
      <c r="D21" s="78" t="s">
        <v>3</v>
      </c>
      <c r="E21" s="79">
        <v>4.12</v>
      </c>
      <c r="F21" s="79">
        <f>TRUNC(22.86,2)</f>
        <v>22.86</v>
      </c>
      <c r="G21" s="104">
        <f t="shared" si="0"/>
        <v>94.18</v>
      </c>
      <c r="CS21"/>
    </row>
    <row r="22" spans="1:97">
      <c r="A22" s="78"/>
      <c r="B22" s="87" t="s">
        <v>127</v>
      </c>
      <c r="C22" s="181" t="s">
        <v>386</v>
      </c>
      <c r="D22" s="78" t="s">
        <v>3</v>
      </c>
      <c r="E22" s="79">
        <v>1</v>
      </c>
      <c r="F22" s="79">
        <f>TRUNC(112.0544,2)</f>
        <v>112.05</v>
      </c>
      <c r="G22" s="104">
        <f t="shared" si="0"/>
        <v>112.05</v>
      </c>
      <c r="CS22"/>
    </row>
    <row r="23" spans="1:97">
      <c r="A23" s="78"/>
      <c r="B23" s="87"/>
      <c r="C23" s="182"/>
      <c r="D23" s="78"/>
      <c r="E23" s="79" t="s">
        <v>4</v>
      </c>
      <c r="F23" s="79"/>
      <c r="G23" s="104">
        <f>TRUNC(SUM(G15:G22),2)</f>
        <v>383.21</v>
      </c>
      <c r="CS23"/>
    </row>
    <row r="24" spans="1:97" ht="15.75" thickBot="1">
      <c r="A24" s="78"/>
      <c r="B24" s="87"/>
      <c r="C24" s="182"/>
      <c r="D24" s="78"/>
      <c r="E24" s="79"/>
      <c r="F24" s="79"/>
      <c r="G24" s="104"/>
      <c r="CS24"/>
    </row>
    <row r="25" spans="1:97" ht="15.75" thickBot="1">
      <c r="A25" s="80" t="s">
        <v>52</v>
      </c>
      <c r="B25" s="91" t="s">
        <v>275</v>
      </c>
      <c r="C25" s="184" t="s">
        <v>334</v>
      </c>
      <c r="D25" s="80" t="s">
        <v>51</v>
      </c>
      <c r="E25" s="81">
        <v>421</v>
      </c>
      <c r="F25" s="81">
        <f>TRUNC(F26,2)</f>
        <v>1.3</v>
      </c>
      <c r="G25" s="103">
        <f>TRUNC(E25*F25,2)</f>
        <v>547.29999999999995</v>
      </c>
      <c r="CS25"/>
    </row>
    <row r="26" spans="1:97">
      <c r="A26" s="78"/>
      <c r="B26" s="87" t="s">
        <v>99</v>
      </c>
      <c r="C26" s="181" t="s">
        <v>387</v>
      </c>
      <c r="D26" s="78" t="s">
        <v>51</v>
      </c>
      <c r="E26" s="79">
        <v>1</v>
      </c>
      <c r="F26" s="79">
        <f>G28</f>
        <v>1.3</v>
      </c>
      <c r="G26" s="104">
        <f>TRUNC(E26*F26,2)</f>
        <v>1.3</v>
      </c>
      <c r="CS26"/>
    </row>
    <row r="27" spans="1:97">
      <c r="A27" s="78"/>
      <c r="B27" s="87" t="s">
        <v>128</v>
      </c>
      <c r="C27" s="181" t="s">
        <v>388</v>
      </c>
      <c r="D27" s="78" t="s">
        <v>3</v>
      </c>
      <c r="E27" s="79">
        <v>0.1</v>
      </c>
      <c r="F27" s="79">
        <f>TRUNC(13.06,2)</f>
        <v>13.06</v>
      </c>
      <c r="G27" s="104">
        <f>TRUNC(E27*F27,2)</f>
        <v>1.3</v>
      </c>
      <c r="CS27"/>
    </row>
    <row r="28" spans="1:97">
      <c r="A28" s="78"/>
      <c r="B28" s="87"/>
      <c r="C28" s="182"/>
      <c r="D28" s="78"/>
      <c r="E28" s="79" t="s">
        <v>4</v>
      </c>
      <c r="F28" s="79"/>
      <c r="G28" s="104">
        <f>TRUNC(SUM(G27:G27),2)</f>
        <v>1.3</v>
      </c>
      <c r="CS28"/>
    </row>
    <row r="29" spans="1:97" ht="15.75" thickBot="1">
      <c r="A29" s="78"/>
      <c r="B29" s="87"/>
      <c r="C29" s="182"/>
      <c r="D29" s="78"/>
      <c r="E29" s="79"/>
      <c r="F29" s="79"/>
      <c r="G29" s="104"/>
      <c r="CS29"/>
    </row>
    <row r="30" spans="1:97" ht="15.75" thickBot="1">
      <c r="A30" s="80" t="s">
        <v>53</v>
      </c>
      <c r="B30" s="91" t="s">
        <v>222</v>
      </c>
      <c r="C30" s="184" t="s">
        <v>335</v>
      </c>
      <c r="D30" s="80" t="s">
        <v>51</v>
      </c>
      <c r="E30" s="81">
        <v>343</v>
      </c>
      <c r="F30" s="81">
        <f>TRUNC(F31,2)</f>
        <v>3.31</v>
      </c>
      <c r="G30" s="103">
        <f>TRUNC(E30*F30,2)</f>
        <v>1135.33</v>
      </c>
      <c r="CS30"/>
    </row>
    <row r="31" spans="1:97">
      <c r="A31" s="78"/>
      <c r="B31" s="87" t="s">
        <v>100</v>
      </c>
      <c r="C31" s="181" t="s">
        <v>389</v>
      </c>
      <c r="D31" s="78" t="s">
        <v>51</v>
      </c>
      <c r="E31" s="79">
        <v>1</v>
      </c>
      <c r="F31" s="79">
        <f>G33</f>
        <v>3.31</v>
      </c>
      <c r="G31" s="104">
        <f>TRUNC(E31*F31,2)</f>
        <v>3.31</v>
      </c>
      <c r="CS31"/>
    </row>
    <row r="32" spans="1:97">
      <c r="A32" s="78"/>
      <c r="B32" s="87" t="s">
        <v>39</v>
      </c>
      <c r="C32" s="181" t="s">
        <v>383</v>
      </c>
      <c r="D32" s="78" t="s">
        <v>3</v>
      </c>
      <c r="E32" s="79">
        <v>0.2</v>
      </c>
      <c r="F32" s="79">
        <f>TRUNC(16.55,2)</f>
        <v>16.55</v>
      </c>
      <c r="G32" s="104">
        <f>TRUNC(E32*F32,2)</f>
        <v>3.31</v>
      </c>
      <c r="CS32"/>
    </row>
    <row r="33" spans="1:97">
      <c r="A33" s="78"/>
      <c r="B33" s="87"/>
      <c r="C33" s="182"/>
      <c r="D33" s="78"/>
      <c r="E33" s="79" t="s">
        <v>4</v>
      </c>
      <c r="F33" s="79"/>
      <c r="G33" s="104">
        <f>TRUNC(SUM(G32:G32),2)</f>
        <v>3.31</v>
      </c>
      <c r="CS33"/>
    </row>
    <row r="34" spans="1:97" ht="15.75" thickBot="1">
      <c r="A34" s="78"/>
      <c r="B34" s="87"/>
      <c r="C34" s="182"/>
      <c r="D34" s="78"/>
      <c r="E34" s="79"/>
      <c r="F34" s="79"/>
      <c r="G34" s="104"/>
      <c r="CS34"/>
    </row>
    <row r="35" spans="1:97" ht="30.75" thickBot="1">
      <c r="A35" s="93" t="s">
        <v>54</v>
      </c>
      <c r="B35" s="94" t="s">
        <v>101</v>
      </c>
      <c r="C35" s="184" t="s">
        <v>390</v>
      </c>
      <c r="D35" s="93" t="s">
        <v>1</v>
      </c>
      <c r="E35" s="92">
        <v>25.7</v>
      </c>
      <c r="F35" s="81">
        <f>TRUNC(F36,2)</f>
        <v>5.88</v>
      </c>
      <c r="G35" s="103">
        <f>TRUNC(E35*F35,2)</f>
        <v>151.11000000000001</v>
      </c>
      <c r="CS35"/>
    </row>
    <row r="36" spans="1:97" ht="30">
      <c r="B36" s="88" t="s">
        <v>101</v>
      </c>
      <c r="C36" s="181" t="s">
        <v>336</v>
      </c>
      <c r="D36" s="46" t="s">
        <v>1</v>
      </c>
      <c r="E36">
        <v>1</v>
      </c>
      <c r="F36">
        <f>G38</f>
        <v>5.88</v>
      </c>
      <c r="G36" s="104">
        <f>TRUNC(E36*F36,2)</f>
        <v>5.88</v>
      </c>
      <c r="CS36"/>
    </row>
    <row r="37" spans="1:97">
      <c r="B37" s="88" t="s">
        <v>129</v>
      </c>
      <c r="C37" s="181" t="s">
        <v>391</v>
      </c>
      <c r="D37" s="46" t="s">
        <v>3</v>
      </c>
      <c r="E37">
        <v>0.25750000000000001</v>
      </c>
      <c r="F37">
        <f>TRUNC(22.86,2)</f>
        <v>22.86</v>
      </c>
      <c r="G37" s="104">
        <f>TRUNC(E37*F37,2)</f>
        <v>5.88</v>
      </c>
      <c r="CS37"/>
    </row>
    <row r="38" spans="1:97">
      <c r="B38" s="88"/>
      <c r="C38" s="182"/>
      <c r="E38" t="s">
        <v>4</v>
      </c>
      <c r="G38" s="104">
        <f>TRUNC(SUM(G37:G37),2)</f>
        <v>5.88</v>
      </c>
      <c r="CS38"/>
    </row>
    <row r="39" spans="1:97" ht="15.75" thickBot="1">
      <c r="B39" s="88"/>
      <c r="C39" s="182"/>
      <c r="G39" s="104"/>
      <c r="CS39"/>
    </row>
    <row r="40" spans="1:97" ht="30.75" thickBot="1">
      <c r="A40" s="93" t="s">
        <v>55</v>
      </c>
      <c r="B40" s="94" t="s">
        <v>276</v>
      </c>
      <c r="C40" s="184" t="s">
        <v>392</v>
      </c>
      <c r="D40" s="93" t="s">
        <v>1</v>
      </c>
      <c r="E40" s="92">
        <v>18</v>
      </c>
      <c r="F40" s="81">
        <f>TRUNC(F41,2)</f>
        <v>2.2799999999999998</v>
      </c>
      <c r="G40" s="103">
        <f>TRUNC(E40*F40,2)</f>
        <v>41.04</v>
      </c>
      <c r="CS40"/>
    </row>
    <row r="41" spans="1:97" ht="30">
      <c r="B41" s="88" t="s">
        <v>101</v>
      </c>
      <c r="C41" s="181" t="s">
        <v>336</v>
      </c>
      <c r="D41" s="46" t="s">
        <v>1</v>
      </c>
      <c r="E41">
        <v>1</v>
      </c>
      <c r="F41">
        <f>G43</f>
        <v>2.2799999999999998</v>
      </c>
      <c r="G41" s="104">
        <f>TRUNC(E41*F41,2)</f>
        <v>2.2799999999999998</v>
      </c>
      <c r="CS41"/>
    </row>
    <row r="42" spans="1:97">
      <c r="B42" s="88" t="s">
        <v>129</v>
      </c>
      <c r="C42" s="181" t="s">
        <v>391</v>
      </c>
      <c r="D42" s="46" t="s">
        <v>3</v>
      </c>
      <c r="E42">
        <v>0.1</v>
      </c>
      <c r="F42">
        <f>TRUNC(22.86,2)</f>
        <v>22.86</v>
      </c>
      <c r="G42" s="104">
        <f>TRUNC(E42*F42,2)</f>
        <v>2.2799999999999998</v>
      </c>
      <c r="CS42"/>
    </row>
    <row r="43" spans="1:97">
      <c r="B43" s="88"/>
      <c r="C43" s="182"/>
      <c r="E43" t="s">
        <v>4</v>
      </c>
      <c r="G43" s="104">
        <f>TRUNC(SUM(G42:G42),2)</f>
        <v>2.2799999999999998</v>
      </c>
      <c r="CS43"/>
    </row>
    <row r="44" spans="1:97" ht="15.75" thickBot="1">
      <c r="B44" s="88"/>
      <c r="C44" s="182"/>
      <c r="G44" s="104"/>
      <c r="CS44"/>
    </row>
    <row r="45" spans="1:97" ht="30.75" thickBot="1">
      <c r="A45" s="93" t="s">
        <v>56</v>
      </c>
      <c r="B45" s="94" t="s">
        <v>302</v>
      </c>
      <c r="C45" s="184" t="s">
        <v>393</v>
      </c>
      <c r="D45" s="93" t="s">
        <v>299</v>
      </c>
      <c r="E45" s="92">
        <v>2</v>
      </c>
      <c r="F45" s="142">
        <f>TRUNC(G46+G52,2)</f>
        <v>63.66</v>
      </c>
      <c r="G45" s="103">
        <f t="shared" ref="G45:G50" si="1">TRUNC(E45*F45,2)</f>
        <v>127.32</v>
      </c>
      <c r="CS45"/>
    </row>
    <row r="46" spans="1:97" ht="30">
      <c r="A46" s="46" t="s">
        <v>300</v>
      </c>
      <c r="B46" s="88" t="s">
        <v>102</v>
      </c>
      <c r="C46" s="181" t="s">
        <v>394</v>
      </c>
      <c r="D46" s="46" t="s">
        <v>1</v>
      </c>
      <c r="E46">
        <v>0.5</v>
      </c>
      <c r="F46">
        <f>G51</f>
        <v>9.07</v>
      </c>
      <c r="G46" s="104">
        <f t="shared" si="1"/>
        <v>4.53</v>
      </c>
      <c r="CS46"/>
    </row>
    <row r="47" spans="1:97">
      <c r="B47" s="88" t="s">
        <v>130</v>
      </c>
      <c r="C47" s="181" t="s">
        <v>395</v>
      </c>
      <c r="D47" s="46" t="s">
        <v>2</v>
      </c>
      <c r="E47">
        <v>3.2000000000000001E-2</v>
      </c>
      <c r="F47">
        <f>TRUNC(36.89,2)</f>
        <v>36.89</v>
      </c>
      <c r="G47" s="104">
        <f t="shared" si="1"/>
        <v>1.18</v>
      </c>
      <c r="CS47"/>
    </row>
    <row r="48" spans="1:97">
      <c r="B48" s="88" t="s">
        <v>131</v>
      </c>
      <c r="C48" s="181" t="s">
        <v>396</v>
      </c>
      <c r="D48" s="46" t="s">
        <v>0</v>
      </c>
      <c r="E48">
        <v>0.23</v>
      </c>
      <c r="F48">
        <f>TRUNC(7.5,2)</f>
        <v>7.5</v>
      </c>
      <c r="G48" s="104">
        <f t="shared" si="1"/>
        <v>1.72</v>
      </c>
      <c r="CS48"/>
    </row>
    <row r="49" spans="1:97">
      <c r="B49" s="88" t="s">
        <v>132</v>
      </c>
      <c r="C49" s="181" t="s">
        <v>397</v>
      </c>
      <c r="D49" s="46" t="s">
        <v>3</v>
      </c>
      <c r="E49">
        <v>0.18540000000000001</v>
      </c>
      <c r="F49">
        <f>TRUNC(24.61,2)</f>
        <v>24.61</v>
      </c>
      <c r="G49" s="104">
        <f t="shared" si="1"/>
        <v>4.5599999999999996</v>
      </c>
      <c r="CS49"/>
    </row>
    <row r="50" spans="1:97">
      <c r="B50" s="88" t="s">
        <v>133</v>
      </c>
      <c r="C50" s="181" t="s">
        <v>398</v>
      </c>
      <c r="D50" s="46" t="s">
        <v>3</v>
      </c>
      <c r="E50">
        <v>9.2700000000000005E-2</v>
      </c>
      <c r="F50">
        <f>TRUNC(17.43,2)</f>
        <v>17.43</v>
      </c>
      <c r="G50" s="104">
        <f t="shared" si="1"/>
        <v>1.61</v>
      </c>
      <c r="CS50"/>
    </row>
    <row r="51" spans="1:97">
      <c r="B51" s="88"/>
      <c r="C51" s="182"/>
      <c r="E51" t="s">
        <v>4</v>
      </c>
      <c r="G51" s="104">
        <f>TRUNC(SUM(G47:G50),2)</f>
        <v>9.07</v>
      </c>
      <c r="CS51"/>
    </row>
    <row r="52" spans="1:97" ht="30">
      <c r="A52" s="46" t="s">
        <v>301</v>
      </c>
      <c r="B52" s="88" t="s">
        <v>296</v>
      </c>
      <c r="C52" s="181" t="s">
        <v>399</v>
      </c>
      <c r="D52" s="46" t="s">
        <v>6</v>
      </c>
      <c r="E52">
        <v>1</v>
      </c>
      <c r="F52" s="105">
        <f>G57</f>
        <v>59.13</v>
      </c>
      <c r="G52" s="104">
        <f>TRUNC(E52*F52,2)</f>
        <v>59.13</v>
      </c>
      <c r="CS52"/>
    </row>
    <row r="53" spans="1:97" ht="30">
      <c r="B53" s="88" t="s">
        <v>297</v>
      </c>
      <c r="C53" s="181" t="s">
        <v>400</v>
      </c>
      <c r="D53" s="46" t="s">
        <v>2</v>
      </c>
      <c r="E53">
        <f>0.16*2</f>
        <v>0.32</v>
      </c>
      <c r="F53">
        <f>TRUNC(19.61,2)</f>
        <v>19.61</v>
      </c>
      <c r="G53" s="104">
        <f>TRUNC(E53*F53,2)</f>
        <v>6.27</v>
      </c>
      <c r="CS53"/>
    </row>
    <row r="54" spans="1:97">
      <c r="B54" s="88" t="s">
        <v>132</v>
      </c>
      <c r="C54" s="181" t="s">
        <v>397</v>
      </c>
      <c r="D54" s="46" t="s">
        <v>3</v>
      </c>
      <c r="E54">
        <f>0.5562*2</f>
        <v>1.1124000000000001</v>
      </c>
      <c r="F54">
        <f>TRUNC(24.61,2)</f>
        <v>24.61</v>
      </c>
      <c r="G54" s="104">
        <f>TRUNC(E54*F54,2)</f>
        <v>27.37</v>
      </c>
      <c r="CS54"/>
    </row>
    <row r="55" spans="1:97">
      <c r="B55" s="88" t="s">
        <v>133</v>
      </c>
      <c r="C55" s="181" t="s">
        <v>398</v>
      </c>
      <c r="D55" s="46" t="s">
        <v>3</v>
      </c>
      <c r="E55">
        <f>0.515*2</f>
        <v>1.03</v>
      </c>
      <c r="F55">
        <f>TRUNC(17.43,2)</f>
        <v>17.43</v>
      </c>
      <c r="G55" s="104">
        <f>TRUNC(E55*F55,2)</f>
        <v>17.95</v>
      </c>
      <c r="CS55"/>
    </row>
    <row r="56" spans="1:97">
      <c r="B56" s="88" t="s">
        <v>298</v>
      </c>
      <c r="C56" s="181" t="s">
        <v>401</v>
      </c>
      <c r="D56" s="46" t="s">
        <v>3</v>
      </c>
      <c r="E56">
        <f>0.2*2</f>
        <v>0.4</v>
      </c>
      <c r="F56">
        <f>TRUNC(18.8667,2)</f>
        <v>18.86</v>
      </c>
      <c r="G56" s="104">
        <f>TRUNC(E56*F56,2)</f>
        <v>7.54</v>
      </c>
      <c r="CS56"/>
    </row>
    <row r="57" spans="1:97" ht="15.75" thickBot="1">
      <c r="B57" s="88"/>
      <c r="C57" s="182"/>
      <c r="E57" t="s">
        <v>4</v>
      </c>
      <c r="G57" s="104">
        <f>TRUNC(SUM(G53:G56),2)</f>
        <v>59.13</v>
      </c>
      <c r="CS57"/>
    </row>
    <row r="58" spans="1:97" ht="15.75" thickBot="1">
      <c r="A58" s="93" t="s">
        <v>57</v>
      </c>
      <c r="B58" s="94" t="s">
        <v>103</v>
      </c>
      <c r="C58" s="184" t="s">
        <v>339</v>
      </c>
      <c r="D58" s="93" t="s">
        <v>6</v>
      </c>
      <c r="E58" s="92">
        <v>4</v>
      </c>
      <c r="F58" s="81">
        <f>TRUNC(F59,2)</f>
        <v>6.6</v>
      </c>
      <c r="G58" s="103">
        <f>TRUNC(E58*F58,2)</f>
        <v>26.4</v>
      </c>
      <c r="CS58"/>
    </row>
    <row r="59" spans="1:97">
      <c r="B59" s="88" t="s">
        <v>103</v>
      </c>
      <c r="C59" s="181" t="s">
        <v>402</v>
      </c>
      <c r="D59" s="46" t="s">
        <v>6</v>
      </c>
      <c r="E59">
        <v>1</v>
      </c>
      <c r="F59">
        <f>G61</f>
        <v>6.6</v>
      </c>
      <c r="G59" s="104">
        <f>TRUNC(E59*F59,2)</f>
        <v>6.6</v>
      </c>
      <c r="CS59"/>
    </row>
    <row r="60" spans="1:97">
      <c r="B60" s="88" t="s">
        <v>134</v>
      </c>
      <c r="C60" s="181" t="s">
        <v>403</v>
      </c>
      <c r="D60" s="46" t="s">
        <v>3</v>
      </c>
      <c r="E60">
        <v>0.51500000000000001</v>
      </c>
      <c r="F60">
        <f>TRUNC(12.83,2)</f>
        <v>12.83</v>
      </c>
      <c r="G60" s="104">
        <f>TRUNC(E60*F60,2)</f>
        <v>6.6</v>
      </c>
      <c r="CS60"/>
    </row>
    <row r="61" spans="1:97">
      <c r="B61" s="88"/>
      <c r="C61" s="182"/>
      <c r="E61" t="s">
        <v>4</v>
      </c>
      <c r="G61" s="104">
        <f>TRUNC(SUM(G60:G60),2)</f>
        <v>6.6</v>
      </c>
      <c r="CS61"/>
    </row>
    <row r="62" spans="1:97" ht="15.75" thickBot="1">
      <c r="B62" s="88"/>
      <c r="C62" s="182"/>
      <c r="G62" s="104"/>
      <c r="CS62"/>
    </row>
    <row r="63" spans="1:97" ht="30.75" thickBot="1">
      <c r="A63" s="93" t="s">
        <v>58</v>
      </c>
      <c r="B63" s="94" t="s">
        <v>303</v>
      </c>
      <c r="C63" s="184" t="s">
        <v>340</v>
      </c>
      <c r="D63" s="93" t="s">
        <v>51</v>
      </c>
      <c r="E63" s="92">
        <v>466.4</v>
      </c>
      <c r="F63" s="81">
        <f>TRUNC(F64,2)</f>
        <v>3.31</v>
      </c>
      <c r="G63" s="103">
        <f>TRUNC(E63*F63,2)</f>
        <v>1543.78</v>
      </c>
      <c r="CS63"/>
    </row>
    <row r="64" spans="1:97" ht="30">
      <c r="B64" s="88" t="s">
        <v>104</v>
      </c>
      <c r="C64" s="181" t="s">
        <v>404</v>
      </c>
      <c r="D64" s="46" t="s">
        <v>51</v>
      </c>
      <c r="E64">
        <v>1</v>
      </c>
      <c r="F64">
        <f>G66</f>
        <v>3.31</v>
      </c>
      <c r="G64" s="104">
        <f>TRUNC(E64*F64,2)</f>
        <v>3.31</v>
      </c>
      <c r="CS64"/>
    </row>
    <row r="65" spans="1:97">
      <c r="B65" s="88" t="s">
        <v>39</v>
      </c>
      <c r="C65" s="181" t="s">
        <v>383</v>
      </c>
      <c r="D65" s="46" t="s">
        <v>3</v>
      </c>
      <c r="E65">
        <v>0.2</v>
      </c>
      <c r="F65">
        <f>TRUNC(16.55,2)</f>
        <v>16.55</v>
      </c>
      <c r="G65" s="104">
        <f>TRUNC(E65*F65,2)</f>
        <v>3.31</v>
      </c>
      <c r="CS65"/>
    </row>
    <row r="66" spans="1:97" ht="15.75" thickBot="1">
      <c r="B66" s="88"/>
      <c r="C66" s="182"/>
      <c r="E66" t="s">
        <v>4</v>
      </c>
      <c r="G66" s="104">
        <f>TRUNC(SUM(G65:G65),2)</f>
        <v>3.31</v>
      </c>
      <c r="CS66"/>
    </row>
    <row r="67" spans="1:97" ht="30.75" thickBot="1">
      <c r="A67" s="93" t="s">
        <v>59</v>
      </c>
      <c r="B67" s="94" t="s">
        <v>105</v>
      </c>
      <c r="C67" s="184" t="s">
        <v>341</v>
      </c>
      <c r="D67" s="93" t="s">
        <v>0</v>
      </c>
      <c r="E67" s="92">
        <v>5.25</v>
      </c>
      <c r="F67" s="81">
        <f>TRUNC(F68,2)</f>
        <v>145.65</v>
      </c>
      <c r="G67" s="103">
        <f>TRUNC(E67*F67,2)</f>
        <v>764.66</v>
      </c>
      <c r="CS67"/>
    </row>
    <row r="68" spans="1:97" ht="30">
      <c r="B68" s="88" t="s">
        <v>105</v>
      </c>
      <c r="C68" s="181" t="s">
        <v>405</v>
      </c>
      <c r="D68" s="46" t="s">
        <v>0</v>
      </c>
      <c r="E68">
        <v>1</v>
      </c>
      <c r="F68">
        <f>G71</f>
        <v>145.65</v>
      </c>
      <c r="G68" s="104">
        <f>TRUNC(E68*F68,2)</f>
        <v>145.65</v>
      </c>
      <c r="CS68"/>
    </row>
    <row r="69" spans="1:97">
      <c r="B69" s="88" t="s">
        <v>136</v>
      </c>
      <c r="C69" s="181" t="s">
        <v>406</v>
      </c>
      <c r="D69" s="46" t="s">
        <v>51</v>
      </c>
      <c r="E69">
        <v>2.85</v>
      </c>
      <c r="F69">
        <f>TRUNC(28.4101,2)</f>
        <v>28.41</v>
      </c>
      <c r="G69" s="104">
        <f>TRUNC(E69*F69,2)</f>
        <v>80.959999999999994</v>
      </c>
      <c r="CS69"/>
    </row>
    <row r="70" spans="1:97">
      <c r="B70" s="88" t="s">
        <v>137</v>
      </c>
      <c r="C70" s="181" t="s">
        <v>407</v>
      </c>
      <c r="D70" s="46" t="s">
        <v>51</v>
      </c>
      <c r="E70">
        <v>2.85</v>
      </c>
      <c r="F70">
        <f>TRUNC(22.7003,2)</f>
        <v>22.7</v>
      </c>
      <c r="G70" s="104">
        <f>TRUNC(E70*F70,2)</f>
        <v>64.69</v>
      </c>
      <c r="CS70"/>
    </row>
    <row r="71" spans="1:97">
      <c r="B71" s="88"/>
      <c r="C71" s="182"/>
      <c r="E71" t="s">
        <v>4</v>
      </c>
      <c r="G71" s="104">
        <f>TRUNC(SUM(G69:G70),2)</f>
        <v>145.65</v>
      </c>
      <c r="CS71"/>
    </row>
    <row r="72" spans="1:97" ht="15.75" thickBot="1">
      <c r="B72" s="88"/>
      <c r="C72" s="182"/>
      <c r="G72" s="104"/>
      <c r="CS72"/>
    </row>
    <row r="73" spans="1:97" ht="30.75" thickBot="1">
      <c r="A73" s="93" t="s">
        <v>60</v>
      </c>
      <c r="B73" s="94" t="s">
        <v>106</v>
      </c>
      <c r="C73" s="184" t="s">
        <v>342</v>
      </c>
      <c r="D73" s="93" t="s">
        <v>1</v>
      </c>
      <c r="E73" s="92">
        <v>15</v>
      </c>
      <c r="F73" s="81">
        <f>TRUNC(F74,2)</f>
        <v>18.75</v>
      </c>
      <c r="G73" s="103">
        <f>TRUNC(E73*F73,2)</f>
        <v>281.25</v>
      </c>
      <c r="CS73"/>
    </row>
    <row r="74" spans="1:97" ht="30">
      <c r="B74" s="88" t="s">
        <v>106</v>
      </c>
      <c r="C74" s="181" t="s">
        <v>408</v>
      </c>
      <c r="D74" s="46" t="s">
        <v>1</v>
      </c>
      <c r="E74">
        <v>1</v>
      </c>
      <c r="F74">
        <f>G76</f>
        <v>18.75</v>
      </c>
      <c r="G74" s="104">
        <f>TRUNC(E74*F74,2)</f>
        <v>18.75</v>
      </c>
      <c r="CS74"/>
    </row>
    <row r="75" spans="1:97">
      <c r="B75" s="88" t="s">
        <v>39</v>
      </c>
      <c r="C75" s="181" t="s">
        <v>383</v>
      </c>
      <c r="D75" s="46" t="s">
        <v>3</v>
      </c>
      <c r="E75">
        <v>1.1330000000000002</v>
      </c>
      <c r="F75">
        <f>TRUNC(16.55,2)</f>
        <v>16.55</v>
      </c>
      <c r="G75" s="104">
        <f>TRUNC(E75*F75,2)</f>
        <v>18.75</v>
      </c>
      <c r="CS75"/>
    </row>
    <row r="76" spans="1:97">
      <c r="B76" s="88"/>
      <c r="C76" s="182"/>
      <c r="E76" t="s">
        <v>4</v>
      </c>
      <c r="G76" s="104">
        <f>TRUNC(SUM(G75:G75),2)</f>
        <v>18.75</v>
      </c>
      <c r="CS76"/>
    </row>
    <row r="77" spans="1:97" ht="15.75" thickBot="1">
      <c r="B77" s="88"/>
      <c r="C77" s="182"/>
      <c r="G77" s="104"/>
      <c r="CS77"/>
    </row>
    <row r="78" spans="1:97" ht="15.75" thickBot="1">
      <c r="A78" s="93" t="s">
        <v>61</v>
      </c>
      <c r="B78" s="94" t="s">
        <v>107</v>
      </c>
      <c r="C78" s="184" t="s">
        <v>343</v>
      </c>
      <c r="D78" s="93" t="s">
        <v>51</v>
      </c>
      <c r="E78" s="92">
        <v>10</v>
      </c>
      <c r="F78" s="81">
        <f>TRUNC(F79,2)</f>
        <v>8.52</v>
      </c>
      <c r="G78" s="103">
        <f>TRUNC(E78*F78,2)</f>
        <v>85.2</v>
      </c>
      <c r="CS78"/>
    </row>
    <row r="79" spans="1:97" ht="30">
      <c r="B79" s="88" t="s">
        <v>107</v>
      </c>
      <c r="C79" s="181" t="s">
        <v>409</v>
      </c>
      <c r="D79" s="46" t="s">
        <v>51</v>
      </c>
      <c r="E79">
        <v>1</v>
      </c>
      <c r="F79">
        <f>G81</f>
        <v>8.52</v>
      </c>
      <c r="G79" s="104">
        <f>TRUNC(E79*F79,2)</f>
        <v>8.52</v>
      </c>
      <c r="CS79"/>
    </row>
    <row r="80" spans="1:97">
      <c r="B80" s="88" t="s">
        <v>39</v>
      </c>
      <c r="C80" s="181" t="s">
        <v>383</v>
      </c>
      <c r="D80" s="46" t="s">
        <v>3</v>
      </c>
      <c r="E80">
        <v>0.51500000000000001</v>
      </c>
      <c r="F80">
        <f>TRUNC(16.55,2)</f>
        <v>16.55</v>
      </c>
      <c r="G80" s="104">
        <f>TRUNC(E80*F80,2)</f>
        <v>8.52</v>
      </c>
      <c r="CS80"/>
    </row>
    <row r="81" spans="1:97" ht="15.75" thickBot="1">
      <c r="B81" s="88"/>
      <c r="C81" s="182"/>
      <c r="E81" t="s">
        <v>4</v>
      </c>
      <c r="G81" s="104">
        <f>TRUNC(SUM(G80:G80),2)</f>
        <v>8.52</v>
      </c>
      <c r="CS81"/>
    </row>
    <row r="82" spans="1:97" s="41" customFormat="1" ht="15.75" thickBot="1">
      <c r="A82" s="95" t="s">
        <v>33</v>
      </c>
      <c r="B82" s="96"/>
      <c r="C82" s="185"/>
      <c r="D82" s="95"/>
      <c r="E82" s="98"/>
      <c r="F82" s="98" t="s">
        <v>213</v>
      </c>
      <c r="G82" s="82">
        <f>G13+G25+G30+G35+G40+G45+G58+G63+G67+G73+G78</f>
        <v>7002.6499999999987</v>
      </c>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row>
    <row r="83" spans="1:97" s="41" customFormat="1" ht="15.75" thickBot="1">
      <c r="A83" s="95" t="s">
        <v>62</v>
      </c>
      <c r="B83" s="96"/>
      <c r="C83" s="164" t="s">
        <v>344</v>
      </c>
      <c r="D83" s="95" t="s">
        <v>49</v>
      </c>
      <c r="E83" s="98"/>
      <c r="F83" s="98"/>
      <c r="G83" s="82"/>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row>
    <row r="84" spans="1:97" ht="30.75" thickBot="1">
      <c r="A84" s="93" t="s">
        <v>64</v>
      </c>
      <c r="B84" s="94" t="s">
        <v>108</v>
      </c>
      <c r="C84" s="163" t="s">
        <v>540</v>
      </c>
      <c r="D84" s="93" t="s">
        <v>0</v>
      </c>
      <c r="E84" s="92">
        <v>0.95</v>
      </c>
      <c r="F84" s="81">
        <f>TRUNC(F85,2)</f>
        <v>2051.54</v>
      </c>
      <c r="G84" s="103">
        <f>TRUNC(E84*F84,2)</f>
        <v>1948.96</v>
      </c>
      <c r="CS84"/>
    </row>
    <row r="85" spans="1:97" ht="30">
      <c r="B85" s="88" t="s">
        <v>138</v>
      </c>
      <c r="C85" s="181" t="s">
        <v>410</v>
      </c>
      <c r="D85" s="46" t="s">
        <v>0</v>
      </c>
      <c r="E85">
        <v>1</v>
      </c>
      <c r="F85">
        <f>G112</f>
        <v>2051.54</v>
      </c>
      <c r="G85" s="104">
        <f t="shared" ref="G85:G111" si="2">TRUNC(E85*F85,2)</f>
        <v>2051.54</v>
      </c>
      <c r="CS85"/>
    </row>
    <row r="86" spans="1:97" ht="30">
      <c r="B86" s="88" t="s">
        <v>139</v>
      </c>
      <c r="C86" s="181" t="s">
        <v>411</v>
      </c>
      <c r="D86" s="46" t="s">
        <v>0</v>
      </c>
      <c r="E86">
        <v>1.103</v>
      </c>
      <c r="F86">
        <f>TRUNC(330.82,2)</f>
        <v>330.82</v>
      </c>
      <c r="G86" s="104">
        <f t="shared" si="2"/>
        <v>364.89</v>
      </c>
      <c r="CS86"/>
    </row>
    <row r="87" spans="1:97" ht="30">
      <c r="B87" s="88" t="s">
        <v>140</v>
      </c>
      <c r="C87" s="181" t="s">
        <v>412</v>
      </c>
      <c r="D87" s="46" t="s">
        <v>2</v>
      </c>
      <c r="E87">
        <v>3.85</v>
      </c>
      <c r="F87">
        <f>TRUNC(11.29,2)</f>
        <v>11.29</v>
      </c>
      <c r="G87" s="104">
        <f t="shared" si="2"/>
        <v>43.46</v>
      </c>
      <c r="CS87"/>
    </row>
    <row r="88" spans="1:97" ht="30">
      <c r="B88" s="88" t="s">
        <v>141</v>
      </c>
      <c r="C88" s="181" t="s">
        <v>413</v>
      </c>
      <c r="D88" s="46" t="s">
        <v>2</v>
      </c>
      <c r="E88">
        <v>0.62</v>
      </c>
      <c r="F88">
        <f>TRUNC(18.79,2)</f>
        <v>18.79</v>
      </c>
      <c r="G88" s="104">
        <f t="shared" si="2"/>
        <v>11.64</v>
      </c>
      <c r="CS88"/>
    </row>
    <row r="89" spans="1:97" ht="30">
      <c r="B89" s="88" t="s">
        <v>142</v>
      </c>
      <c r="C89" s="181" t="s">
        <v>414</v>
      </c>
      <c r="D89" s="46" t="s">
        <v>51</v>
      </c>
      <c r="E89">
        <v>0.84</v>
      </c>
      <c r="F89">
        <f>TRUNC(121.61,2)</f>
        <v>121.61</v>
      </c>
      <c r="G89" s="104">
        <f t="shared" si="2"/>
        <v>102.15</v>
      </c>
      <c r="CS89"/>
    </row>
    <row r="90" spans="1:97" ht="30">
      <c r="B90" s="88" t="s">
        <v>143</v>
      </c>
      <c r="C90" s="181" t="s">
        <v>415</v>
      </c>
      <c r="D90" s="46" t="s">
        <v>51</v>
      </c>
      <c r="E90">
        <v>2.74</v>
      </c>
      <c r="F90">
        <f>TRUNC(56.49,2)</f>
        <v>56.49</v>
      </c>
      <c r="G90" s="104">
        <f t="shared" si="2"/>
        <v>154.78</v>
      </c>
      <c r="CS90"/>
    </row>
    <row r="91" spans="1:97" ht="30">
      <c r="B91" s="88" t="s">
        <v>144</v>
      </c>
      <c r="C91" s="181" t="s">
        <v>416</v>
      </c>
      <c r="D91" s="46" t="s">
        <v>51</v>
      </c>
      <c r="E91">
        <v>0.56999999999999995</v>
      </c>
      <c r="F91">
        <f>TRUNC(153.91,2)</f>
        <v>153.91</v>
      </c>
      <c r="G91" s="104">
        <f t="shared" si="2"/>
        <v>87.72</v>
      </c>
      <c r="CS91"/>
    </row>
    <row r="92" spans="1:97" ht="30">
      <c r="B92" s="88" t="s">
        <v>145</v>
      </c>
      <c r="C92" s="181" t="s">
        <v>417</v>
      </c>
      <c r="D92" s="46" t="s">
        <v>51</v>
      </c>
      <c r="E92">
        <v>1.87</v>
      </c>
      <c r="F92">
        <f>TRUNC(96.73,2)</f>
        <v>96.73</v>
      </c>
      <c r="G92" s="104">
        <f t="shared" si="2"/>
        <v>180.88</v>
      </c>
      <c r="CS92"/>
    </row>
    <row r="93" spans="1:97" ht="30">
      <c r="B93" s="88" t="s">
        <v>146</v>
      </c>
      <c r="C93" s="181" t="s">
        <v>418</v>
      </c>
      <c r="D93" s="46" t="s">
        <v>51</v>
      </c>
      <c r="E93">
        <v>0.47</v>
      </c>
      <c r="F93">
        <f>TRUNC(51.09,2)</f>
        <v>51.09</v>
      </c>
      <c r="G93" s="104">
        <f t="shared" si="2"/>
        <v>24.01</v>
      </c>
      <c r="CS93"/>
    </row>
    <row r="94" spans="1:97" ht="30">
      <c r="B94" s="88" t="s">
        <v>147</v>
      </c>
      <c r="C94" s="181" t="s">
        <v>419</v>
      </c>
      <c r="D94" s="46" t="s">
        <v>51</v>
      </c>
      <c r="E94">
        <v>1.61</v>
      </c>
      <c r="F94">
        <f>TRUNC(27.16,2)</f>
        <v>27.16</v>
      </c>
      <c r="G94" s="104">
        <f t="shared" si="2"/>
        <v>43.72</v>
      </c>
      <c r="CS94"/>
    </row>
    <row r="95" spans="1:97" ht="30">
      <c r="B95" s="88" t="s">
        <v>148</v>
      </c>
      <c r="C95" s="181" t="s">
        <v>420</v>
      </c>
      <c r="D95" s="46" t="s">
        <v>2</v>
      </c>
      <c r="E95">
        <v>7.13</v>
      </c>
      <c r="F95">
        <f>TRUNC(17.55,2)</f>
        <v>17.55</v>
      </c>
      <c r="G95" s="104">
        <f t="shared" si="2"/>
        <v>125.13</v>
      </c>
      <c r="CS95"/>
    </row>
    <row r="96" spans="1:97" ht="30">
      <c r="B96" s="88" t="s">
        <v>149</v>
      </c>
      <c r="C96" s="181" t="s">
        <v>421</v>
      </c>
      <c r="D96" s="46" t="s">
        <v>2</v>
      </c>
      <c r="E96">
        <v>5.83</v>
      </c>
      <c r="F96">
        <f>TRUNC(16.63,2)</f>
        <v>16.63</v>
      </c>
      <c r="G96" s="104">
        <f t="shared" si="2"/>
        <v>96.95</v>
      </c>
      <c r="CS96"/>
    </row>
    <row r="97" spans="2:97" ht="30">
      <c r="B97" s="88" t="s">
        <v>150</v>
      </c>
      <c r="C97" s="181" t="s">
        <v>422</v>
      </c>
      <c r="D97" s="46" t="s">
        <v>2</v>
      </c>
      <c r="E97">
        <v>0.09</v>
      </c>
      <c r="F97">
        <f>TRUNC(15.69,2)</f>
        <v>15.69</v>
      </c>
      <c r="G97" s="104">
        <f t="shared" si="2"/>
        <v>1.41</v>
      </c>
      <c r="CS97"/>
    </row>
    <row r="98" spans="2:97" ht="30">
      <c r="B98" s="88" t="s">
        <v>151</v>
      </c>
      <c r="C98" s="181" t="s">
        <v>423</v>
      </c>
      <c r="D98" s="46" t="s">
        <v>2</v>
      </c>
      <c r="E98">
        <v>0.51</v>
      </c>
      <c r="F98">
        <f>TRUNC(22.7,2)</f>
        <v>22.7</v>
      </c>
      <c r="G98" s="104">
        <f t="shared" si="2"/>
        <v>11.57</v>
      </c>
      <c r="CS98"/>
    </row>
    <row r="99" spans="2:97" ht="30">
      <c r="B99" s="88" t="s">
        <v>152</v>
      </c>
      <c r="C99" s="181" t="s">
        <v>424</v>
      </c>
      <c r="D99" s="46" t="s">
        <v>2</v>
      </c>
      <c r="E99">
        <v>10.53</v>
      </c>
      <c r="F99">
        <f>TRUNC(11.83,2)</f>
        <v>11.83</v>
      </c>
      <c r="G99" s="104">
        <f t="shared" si="2"/>
        <v>124.56</v>
      </c>
      <c r="CS99"/>
    </row>
    <row r="100" spans="2:97" ht="30">
      <c r="B100" s="88" t="s">
        <v>153</v>
      </c>
      <c r="C100" s="181" t="s">
        <v>425</v>
      </c>
      <c r="D100" s="46" t="s">
        <v>2</v>
      </c>
      <c r="E100">
        <v>0.43</v>
      </c>
      <c r="F100">
        <f>TRUNC(12.74,2)</f>
        <v>12.74</v>
      </c>
      <c r="G100" s="104">
        <f t="shared" si="2"/>
        <v>5.47</v>
      </c>
      <c r="CS100"/>
    </row>
    <row r="101" spans="2:97" ht="30">
      <c r="B101" s="88" t="s">
        <v>154</v>
      </c>
      <c r="C101" s="181" t="s">
        <v>426</v>
      </c>
      <c r="D101" s="46" t="s">
        <v>2</v>
      </c>
      <c r="E101">
        <v>0.82</v>
      </c>
      <c r="F101">
        <f>TRUNC(12.45,2)</f>
        <v>12.45</v>
      </c>
      <c r="G101" s="104">
        <f t="shared" si="2"/>
        <v>10.199999999999999</v>
      </c>
      <c r="CS101"/>
    </row>
    <row r="102" spans="2:97" ht="30">
      <c r="B102" s="88" t="s">
        <v>155</v>
      </c>
      <c r="C102" s="181" t="s">
        <v>427</v>
      </c>
      <c r="D102" s="46" t="s">
        <v>2</v>
      </c>
      <c r="E102">
        <v>0.83</v>
      </c>
      <c r="F102">
        <f>TRUNC(15.99,2)</f>
        <v>15.99</v>
      </c>
      <c r="G102" s="104">
        <f t="shared" si="2"/>
        <v>13.27</v>
      </c>
      <c r="CS102"/>
    </row>
    <row r="103" spans="2:97" ht="30">
      <c r="B103" s="88" t="s">
        <v>156</v>
      </c>
      <c r="C103" s="181" t="s">
        <v>428</v>
      </c>
      <c r="D103" s="46" t="s">
        <v>2</v>
      </c>
      <c r="E103">
        <v>8.4700000000000006</v>
      </c>
      <c r="F103">
        <f>TRUNC(15.43,2)</f>
        <v>15.43</v>
      </c>
      <c r="G103" s="104">
        <f t="shared" si="2"/>
        <v>130.69</v>
      </c>
      <c r="CS103"/>
    </row>
    <row r="104" spans="2:97" ht="30">
      <c r="B104" s="88" t="s">
        <v>157</v>
      </c>
      <c r="C104" s="181" t="s">
        <v>429</v>
      </c>
      <c r="D104" s="46" t="s">
        <v>2</v>
      </c>
      <c r="E104">
        <v>10.78</v>
      </c>
      <c r="F104">
        <f>TRUNC(14.76,2)</f>
        <v>14.76</v>
      </c>
      <c r="G104" s="104">
        <f t="shared" si="2"/>
        <v>159.11000000000001</v>
      </c>
      <c r="CS104"/>
    </row>
    <row r="105" spans="2:97" ht="30">
      <c r="B105" s="88" t="s">
        <v>158</v>
      </c>
      <c r="C105" s="181" t="s">
        <v>430</v>
      </c>
      <c r="D105" s="46" t="s">
        <v>0</v>
      </c>
      <c r="E105">
        <v>1</v>
      </c>
      <c r="F105">
        <f>TRUNC(38.39,2)</f>
        <v>38.39</v>
      </c>
      <c r="G105" s="104">
        <f t="shared" si="2"/>
        <v>38.39</v>
      </c>
      <c r="CS105"/>
    </row>
    <row r="106" spans="2:97" ht="30">
      <c r="B106" s="88" t="s">
        <v>159</v>
      </c>
      <c r="C106" s="181" t="s">
        <v>431</v>
      </c>
      <c r="D106" s="46" t="s">
        <v>51</v>
      </c>
      <c r="E106">
        <v>0.33</v>
      </c>
      <c r="F106">
        <f>TRUNC(94.55,2)</f>
        <v>94.55</v>
      </c>
      <c r="G106" s="104">
        <f t="shared" si="2"/>
        <v>31.2</v>
      </c>
      <c r="CS106"/>
    </row>
    <row r="107" spans="2:97">
      <c r="B107" s="88" t="s">
        <v>160</v>
      </c>
      <c r="C107" s="181" t="s">
        <v>432</v>
      </c>
      <c r="D107" s="46" t="s">
        <v>2</v>
      </c>
      <c r="E107">
        <v>0.23</v>
      </c>
      <c r="F107">
        <f>TRUNC(20.74,2)</f>
        <v>20.74</v>
      </c>
      <c r="G107" s="104">
        <f t="shared" si="2"/>
        <v>4.7699999999999996</v>
      </c>
      <c r="CS107"/>
    </row>
    <row r="108" spans="2:97" ht="30">
      <c r="B108" s="88" t="s">
        <v>161</v>
      </c>
      <c r="C108" s="181" t="s">
        <v>433</v>
      </c>
      <c r="D108" s="46" t="s">
        <v>2</v>
      </c>
      <c r="E108">
        <v>0.16</v>
      </c>
      <c r="F108">
        <f>TRUNC(19.03,2)</f>
        <v>19.03</v>
      </c>
      <c r="G108" s="104">
        <f t="shared" si="2"/>
        <v>3.04</v>
      </c>
      <c r="CS108"/>
    </row>
    <row r="109" spans="2:97" ht="30">
      <c r="B109" s="88" t="s">
        <v>162</v>
      </c>
      <c r="C109" s="181" t="s">
        <v>434</v>
      </c>
      <c r="D109" s="46" t="s">
        <v>2</v>
      </c>
      <c r="E109">
        <v>1</v>
      </c>
      <c r="F109">
        <f>TRUNC(15.5,2)</f>
        <v>15.5</v>
      </c>
      <c r="G109" s="104">
        <f t="shared" si="2"/>
        <v>15.5</v>
      </c>
      <c r="CS109"/>
    </row>
    <row r="110" spans="2:97" ht="30">
      <c r="B110" s="88" t="s">
        <v>163</v>
      </c>
      <c r="C110" s="181" t="s">
        <v>435</v>
      </c>
      <c r="D110" s="46" t="s">
        <v>51</v>
      </c>
      <c r="E110">
        <v>0.21</v>
      </c>
      <c r="F110">
        <f>TRUNC(169.19,2)</f>
        <v>169.19</v>
      </c>
      <c r="G110" s="104">
        <f t="shared" si="2"/>
        <v>35.520000000000003</v>
      </c>
      <c r="CS110"/>
    </row>
    <row r="111" spans="2:97" ht="30">
      <c r="B111" s="88" t="s">
        <v>164</v>
      </c>
      <c r="C111" s="181" t="s">
        <v>436</v>
      </c>
      <c r="D111" s="46" t="s">
        <v>2</v>
      </c>
      <c r="E111">
        <v>16.489999999999998</v>
      </c>
      <c r="F111">
        <f>TRUNC(14.04,2)</f>
        <v>14.04</v>
      </c>
      <c r="G111" s="104">
        <f t="shared" si="2"/>
        <v>231.51</v>
      </c>
      <c r="CS111"/>
    </row>
    <row r="112" spans="2:97">
      <c r="B112" s="88"/>
      <c r="C112" s="182"/>
      <c r="E112" t="s">
        <v>4</v>
      </c>
      <c r="G112" s="104">
        <f>TRUNC(SUM(G86:G111),2)</f>
        <v>2051.54</v>
      </c>
      <c r="CS112"/>
    </row>
    <row r="113" spans="1:97" ht="15.75" thickBot="1">
      <c r="B113" s="88"/>
      <c r="C113" s="182"/>
      <c r="G113" s="104"/>
      <c r="CS113"/>
    </row>
    <row r="114" spans="1:97" s="141" customFormat="1" ht="30.75" thickBot="1">
      <c r="A114" s="136" t="s">
        <v>65</v>
      </c>
      <c r="B114" s="137" t="s">
        <v>208</v>
      </c>
      <c r="C114" s="183" t="s">
        <v>553</v>
      </c>
      <c r="D114" s="136" t="s">
        <v>1</v>
      </c>
      <c r="E114" s="138">
        <v>4</v>
      </c>
      <c r="F114" s="138">
        <f>TRUNC(F115,2)</f>
        <v>151.94999999999999</v>
      </c>
      <c r="G114" s="139">
        <f t="shared" ref="G114:G120" si="3">TRUNC(E114*F114,2)</f>
        <v>607.79999999999995</v>
      </c>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0"/>
      <c r="BX114" s="140"/>
      <c r="BY114" s="140"/>
      <c r="BZ114" s="140"/>
      <c r="CA114" s="140"/>
      <c r="CB114" s="140"/>
      <c r="CC114" s="140"/>
      <c r="CD114" s="140"/>
      <c r="CE114" s="140"/>
      <c r="CF114" s="140"/>
      <c r="CG114" s="140"/>
      <c r="CH114" s="140"/>
      <c r="CI114" s="140"/>
      <c r="CJ114" s="140"/>
      <c r="CK114" s="140"/>
      <c r="CL114" s="140"/>
      <c r="CM114" s="140"/>
      <c r="CN114" s="140"/>
      <c r="CO114" s="140"/>
      <c r="CP114" s="140"/>
      <c r="CQ114" s="140"/>
      <c r="CR114" s="140"/>
    </row>
    <row r="115" spans="1:97" ht="30">
      <c r="B115" s="88" t="s">
        <v>209</v>
      </c>
      <c r="C115" s="181" t="s">
        <v>345</v>
      </c>
      <c r="D115" s="46" t="s">
        <v>1</v>
      </c>
      <c r="E115">
        <v>1</v>
      </c>
      <c r="F115">
        <f>G121</f>
        <v>151.94999999999999</v>
      </c>
      <c r="G115" s="104">
        <f t="shared" si="3"/>
        <v>151.94999999999999</v>
      </c>
      <c r="CS115"/>
    </row>
    <row r="116" spans="1:97">
      <c r="B116" s="88" t="s">
        <v>167</v>
      </c>
      <c r="C116" s="181" t="s">
        <v>437</v>
      </c>
      <c r="D116" s="46" t="s">
        <v>3</v>
      </c>
      <c r="E116">
        <v>1.33</v>
      </c>
      <c r="F116">
        <f>TRUNC(22.56,2)</f>
        <v>22.56</v>
      </c>
      <c r="G116" s="104">
        <f t="shared" si="3"/>
        <v>30</v>
      </c>
      <c r="CS116"/>
    </row>
    <row r="117" spans="1:97">
      <c r="B117" s="88" t="s">
        <v>168</v>
      </c>
      <c r="C117" s="181" t="s">
        <v>438</v>
      </c>
      <c r="D117" s="46" t="s">
        <v>3</v>
      </c>
      <c r="E117">
        <v>1.103</v>
      </c>
      <c r="F117">
        <f>TRUNC(28.64,2)</f>
        <v>28.64</v>
      </c>
      <c r="G117" s="104">
        <f t="shared" si="3"/>
        <v>31.58</v>
      </c>
      <c r="CS117"/>
    </row>
    <row r="118" spans="1:97">
      <c r="B118" s="88" t="s">
        <v>210</v>
      </c>
      <c r="C118" s="181" t="s">
        <v>439</v>
      </c>
      <c r="D118" s="46" t="s">
        <v>2</v>
      </c>
      <c r="E118">
        <v>0.63300000000000001</v>
      </c>
      <c r="F118">
        <f>TRUNC(19.48,2)</f>
        <v>19.48</v>
      </c>
      <c r="G118" s="104">
        <f t="shared" si="3"/>
        <v>12.33</v>
      </c>
      <c r="CS118"/>
    </row>
    <row r="119" spans="1:97" ht="30">
      <c r="B119" s="88" t="s">
        <v>211</v>
      </c>
      <c r="C119" s="181" t="s">
        <v>440</v>
      </c>
      <c r="D119" s="46" t="s">
        <v>2</v>
      </c>
      <c r="E119">
        <v>3.8519999999999999</v>
      </c>
      <c r="F119">
        <f>TRUNC(12.18,2)</f>
        <v>12.18</v>
      </c>
      <c r="G119" s="104">
        <f t="shared" si="3"/>
        <v>46.91</v>
      </c>
      <c r="CS119"/>
    </row>
    <row r="120" spans="1:97" ht="30">
      <c r="B120" s="88" t="s">
        <v>212</v>
      </c>
      <c r="C120" s="181" t="s">
        <v>441</v>
      </c>
      <c r="D120" s="46" t="s">
        <v>0</v>
      </c>
      <c r="E120">
        <v>8.5999999999999993E-2</v>
      </c>
      <c r="F120">
        <f>TRUNC(362.07,2)</f>
        <v>362.07</v>
      </c>
      <c r="G120" s="104">
        <f t="shared" si="3"/>
        <v>31.13</v>
      </c>
      <c r="CS120"/>
    </row>
    <row r="121" spans="1:97" ht="15.75" thickBot="1">
      <c r="B121" s="88"/>
      <c r="C121" s="182"/>
      <c r="E121" t="s">
        <v>4</v>
      </c>
      <c r="G121" s="104">
        <f>TRUNC(SUM(G116:G120),2)</f>
        <v>151.94999999999999</v>
      </c>
      <c r="CS121"/>
    </row>
    <row r="122" spans="1:97" s="41" customFormat="1" ht="15.75" thickBot="1">
      <c r="A122" s="95" t="s">
        <v>33</v>
      </c>
      <c r="B122" s="96"/>
      <c r="C122" s="185"/>
      <c r="D122" s="95"/>
      <c r="E122" s="98"/>
      <c r="F122" s="98" t="s">
        <v>214</v>
      </c>
      <c r="G122" s="82">
        <f>G84+G114</f>
        <v>2556.7600000000002</v>
      </c>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row>
    <row r="123" spans="1:97" s="41" customFormat="1" ht="15.75" thickBot="1">
      <c r="A123" s="95" t="s">
        <v>66</v>
      </c>
      <c r="B123" s="96"/>
      <c r="C123" s="164" t="s">
        <v>346</v>
      </c>
      <c r="D123" s="95" t="s">
        <v>49</v>
      </c>
      <c r="E123" s="98"/>
      <c r="F123" s="98"/>
      <c r="G123" s="82"/>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row>
    <row r="124" spans="1:97" ht="30.75" thickBot="1">
      <c r="A124" s="93" t="s">
        <v>68</v>
      </c>
      <c r="B124" s="94" t="s">
        <v>541</v>
      </c>
      <c r="C124" s="163" t="s">
        <v>549</v>
      </c>
      <c r="D124" s="93" t="s">
        <v>51</v>
      </c>
      <c r="E124" s="92">
        <v>9.6999999999999993</v>
      </c>
      <c r="F124" s="81">
        <f>TRUNC(F125,2)</f>
        <v>99.72</v>
      </c>
      <c r="G124" s="103">
        <f t="shared" ref="G124:G131" si="4">TRUNC(E124*F124,2)</f>
        <v>967.28</v>
      </c>
      <c r="CS124"/>
    </row>
    <row r="125" spans="1:97" ht="45">
      <c r="B125" s="88" t="s">
        <v>541</v>
      </c>
      <c r="C125" s="181" t="s">
        <v>542</v>
      </c>
      <c r="D125" s="46" t="s">
        <v>51</v>
      </c>
      <c r="E125">
        <v>1</v>
      </c>
      <c r="F125" s="105">
        <f>G132</f>
        <v>99.72</v>
      </c>
      <c r="G125" s="104">
        <f t="shared" si="4"/>
        <v>99.72</v>
      </c>
      <c r="CS125"/>
    </row>
    <row r="126" spans="1:97">
      <c r="B126" s="88" t="s">
        <v>543</v>
      </c>
      <c r="C126" s="181" t="s">
        <v>544</v>
      </c>
      <c r="D126" s="46" t="s">
        <v>6</v>
      </c>
      <c r="E126">
        <v>13.35</v>
      </c>
      <c r="F126">
        <f>TRUNC(3.68,2)</f>
        <v>3.68</v>
      </c>
      <c r="G126" s="104">
        <f t="shared" si="4"/>
        <v>49.12</v>
      </c>
      <c r="CS126"/>
    </row>
    <row r="127" spans="1:97">
      <c r="B127" s="88" t="s">
        <v>165</v>
      </c>
      <c r="C127" s="181" t="s">
        <v>545</v>
      </c>
      <c r="D127" s="46" t="s">
        <v>166</v>
      </c>
      <c r="E127">
        <v>1.89E-2</v>
      </c>
      <c r="F127">
        <f>TRUNC(42.14,2)</f>
        <v>42.14</v>
      </c>
      <c r="G127" s="104">
        <f t="shared" si="4"/>
        <v>0.79</v>
      </c>
      <c r="CS127"/>
    </row>
    <row r="128" spans="1:97" ht="30">
      <c r="B128" s="88" t="s">
        <v>546</v>
      </c>
      <c r="C128" s="181" t="s">
        <v>547</v>
      </c>
      <c r="D128" s="46" t="s">
        <v>1</v>
      </c>
      <c r="E128">
        <v>0.78500000000000003</v>
      </c>
      <c r="F128">
        <f>TRUNC(5.13,2)</f>
        <v>5.13</v>
      </c>
      <c r="G128" s="104">
        <f t="shared" si="4"/>
        <v>4.0199999999999996</v>
      </c>
      <c r="CS128"/>
    </row>
    <row r="129" spans="1:97">
      <c r="B129" s="88" t="s">
        <v>167</v>
      </c>
      <c r="C129" s="181" t="s">
        <v>530</v>
      </c>
      <c r="D129" s="46" t="s">
        <v>3</v>
      </c>
      <c r="E129">
        <v>0.495</v>
      </c>
      <c r="F129">
        <f>TRUNC(22.56,2)</f>
        <v>22.56</v>
      </c>
      <c r="G129" s="104">
        <f t="shared" si="4"/>
        <v>11.16</v>
      </c>
      <c r="CS129"/>
    </row>
    <row r="130" spans="1:97">
      <c r="B130" s="88" t="s">
        <v>168</v>
      </c>
      <c r="C130" s="181" t="s">
        <v>531</v>
      </c>
      <c r="D130" s="46" t="s">
        <v>3</v>
      </c>
      <c r="E130">
        <v>0.99</v>
      </c>
      <c r="F130">
        <f>TRUNC(28.64,2)</f>
        <v>28.64</v>
      </c>
      <c r="G130" s="104">
        <f t="shared" si="4"/>
        <v>28.35</v>
      </c>
      <c r="CS130"/>
    </row>
    <row r="131" spans="1:97" ht="45">
      <c r="B131" s="88" t="s">
        <v>169</v>
      </c>
      <c r="C131" s="181" t="s">
        <v>548</v>
      </c>
      <c r="D131" s="46" t="s">
        <v>0</v>
      </c>
      <c r="E131">
        <v>1.38E-2</v>
      </c>
      <c r="F131">
        <f>TRUNC(455.32,2)</f>
        <v>455.32</v>
      </c>
      <c r="G131" s="104">
        <f t="shared" si="4"/>
        <v>6.28</v>
      </c>
      <c r="CS131"/>
    </row>
    <row r="132" spans="1:97" ht="15.75" thickBot="1">
      <c r="B132" s="88"/>
      <c r="C132" s="181"/>
      <c r="E132" t="s">
        <v>4</v>
      </c>
      <c r="G132" s="104">
        <f>TRUNC(SUM(G126:G131),2)</f>
        <v>99.72</v>
      </c>
      <c r="CS132"/>
    </row>
    <row r="133" spans="1:97" ht="30.75" thickBot="1">
      <c r="A133" s="93" t="s">
        <v>69</v>
      </c>
      <c r="B133" s="94" t="s">
        <v>109</v>
      </c>
      <c r="C133" s="184" t="s">
        <v>347</v>
      </c>
      <c r="D133" s="93" t="s">
        <v>51</v>
      </c>
      <c r="E133" s="92">
        <v>23.35</v>
      </c>
      <c r="F133" s="81">
        <f>TRUNC(F134,2)</f>
        <v>39.619999999999997</v>
      </c>
      <c r="G133" s="103">
        <f t="shared" ref="G133:G138" si="5">TRUNC(E133*F133,2)</f>
        <v>925.12</v>
      </c>
      <c r="CS133"/>
    </row>
    <row r="134" spans="1:97" ht="30">
      <c r="B134" s="88" t="s">
        <v>170</v>
      </c>
      <c r="C134" s="181" t="s">
        <v>347</v>
      </c>
      <c r="D134" s="46" t="s">
        <v>51</v>
      </c>
      <c r="E134">
        <v>1</v>
      </c>
      <c r="F134">
        <f>G139</f>
        <v>39.619999999999997</v>
      </c>
      <c r="G134" s="104">
        <f t="shared" si="5"/>
        <v>39.619999999999997</v>
      </c>
      <c r="CS134"/>
    </row>
    <row r="135" spans="1:97">
      <c r="B135" s="88" t="s">
        <v>171</v>
      </c>
      <c r="C135" s="181" t="s">
        <v>442</v>
      </c>
      <c r="D135" s="46" t="s">
        <v>51</v>
      </c>
      <c r="E135">
        <v>0.15809999999999999</v>
      </c>
      <c r="F135">
        <f>TRUNC(14.48,2)</f>
        <v>14.48</v>
      </c>
      <c r="G135" s="104">
        <f t="shared" si="5"/>
        <v>2.2799999999999998</v>
      </c>
      <c r="CS135"/>
    </row>
    <row r="136" spans="1:97">
      <c r="B136" s="88" t="s">
        <v>167</v>
      </c>
      <c r="C136" s="181" t="s">
        <v>437</v>
      </c>
      <c r="D136" s="46" t="s">
        <v>3</v>
      </c>
      <c r="E136">
        <v>0.4</v>
      </c>
      <c r="F136">
        <f>TRUNC(22.56,2)</f>
        <v>22.56</v>
      </c>
      <c r="G136" s="104">
        <f t="shared" si="5"/>
        <v>9.02</v>
      </c>
      <c r="CS136"/>
    </row>
    <row r="137" spans="1:97">
      <c r="B137" s="88" t="s">
        <v>168</v>
      </c>
      <c r="C137" s="181" t="s">
        <v>438</v>
      </c>
      <c r="D137" s="46" t="s">
        <v>3</v>
      </c>
      <c r="E137">
        <v>0.4</v>
      </c>
      <c r="F137">
        <f>TRUNC(28.64,2)</f>
        <v>28.64</v>
      </c>
      <c r="G137" s="104">
        <f t="shared" si="5"/>
        <v>11.45</v>
      </c>
      <c r="CS137"/>
    </row>
    <row r="138" spans="1:97" ht="30">
      <c r="B138" s="88" t="s">
        <v>172</v>
      </c>
      <c r="C138" s="181" t="s">
        <v>443</v>
      </c>
      <c r="D138" s="46" t="s">
        <v>0</v>
      </c>
      <c r="E138">
        <v>2.93E-2</v>
      </c>
      <c r="F138">
        <f>TRUNC(576.1,2)</f>
        <v>576.1</v>
      </c>
      <c r="G138" s="104">
        <f t="shared" si="5"/>
        <v>16.87</v>
      </c>
      <c r="CS138"/>
    </row>
    <row r="139" spans="1:97" ht="15.75" thickBot="1">
      <c r="B139" s="88"/>
      <c r="C139" s="182"/>
      <c r="E139" t="s">
        <v>4</v>
      </c>
      <c r="G139" s="104">
        <f>TRUNC(SUM(G135:G138),2)</f>
        <v>39.619999999999997</v>
      </c>
      <c r="CS139"/>
    </row>
    <row r="140" spans="1:97" s="41" customFormat="1" ht="15.75" thickBot="1">
      <c r="A140" s="95" t="s">
        <v>33</v>
      </c>
      <c r="B140" s="96"/>
      <c r="C140" s="185"/>
      <c r="D140" s="95"/>
      <c r="E140" s="98"/>
      <c r="F140" s="98" t="s">
        <v>215</v>
      </c>
      <c r="G140" s="82">
        <f>G124+G133</f>
        <v>1892.4</v>
      </c>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row>
    <row r="141" spans="1:97" s="41" customFormat="1" ht="15.75" thickBot="1">
      <c r="A141" s="95" t="s">
        <v>70</v>
      </c>
      <c r="B141" s="96"/>
      <c r="C141" s="164" t="s">
        <v>348</v>
      </c>
      <c r="D141" s="95" t="s">
        <v>49</v>
      </c>
      <c r="E141" s="98"/>
      <c r="F141" s="98"/>
      <c r="G141" s="82"/>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row>
    <row r="142" spans="1:97" ht="45.75" thickBot="1">
      <c r="A142" s="93" t="s">
        <v>71</v>
      </c>
      <c r="B142" s="94" t="s">
        <v>234</v>
      </c>
      <c r="C142" s="163" t="s">
        <v>349</v>
      </c>
      <c r="D142" s="93" t="s">
        <v>235</v>
      </c>
      <c r="E142" s="92">
        <v>126.3</v>
      </c>
      <c r="F142" s="81">
        <f>TRUNC(F143+F147,2)</f>
        <v>100.04</v>
      </c>
      <c r="G142" s="103">
        <f>TRUNC(E142*F142,2)</f>
        <v>12635.05</v>
      </c>
      <c r="CS142"/>
    </row>
    <row r="143" spans="1:97" ht="30">
      <c r="B143" s="88" t="s">
        <v>226</v>
      </c>
      <c r="C143" s="181" t="s">
        <v>444</v>
      </c>
      <c r="D143" s="46" t="s">
        <v>51</v>
      </c>
      <c r="E143">
        <v>1</v>
      </c>
      <c r="F143" s="105">
        <f>G146</f>
        <v>10.47</v>
      </c>
      <c r="G143" s="104">
        <f>TRUNC(E143*F143,2)</f>
        <v>10.47</v>
      </c>
      <c r="CS143"/>
    </row>
    <row r="144" spans="1:97">
      <c r="B144" s="88" t="s">
        <v>227</v>
      </c>
      <c r="C144" s="181" t="s">
        <v>445</v>
      </c>
      <c r="D144" s="46" t="s">
        <v>95</v>
      </c>
      <c r="E144">
        <v>5.808E-2</v>
      </c>
      <c r="F144">
        <f>TRUNC(26.5,2)</f>
        <v>26.5</v>
      </c>
      <c r="G144" s="104">
        <f>TRUNC(E144*F144,2)</f>
        <v>1.53</v>
      </c>
      <c r="CS144"/>
    </row>
    <row r="145" spans="1:97">
      <c r="B145" s="88" t="s">
        <v>39</v>
      </c>
      <c r="C145" s="181" t="s">
        <v>383</v>
      </c>
      <c r="D145" s="46" t="s">
        <v>3</v>
      </c>
      <c r="E145">
        <v>0.54075000000000006</v>
      </c>
      <c r="F145">
        <f>TRUNC(16.55,2)</f>
        <v>16.55</v>
      </c>
      <c r="G145" s="104">
        <f>TRUNC(E145*F145,2)</f>
        <v>8.94</v>
      </c>
      <c r="CS145"/>
    </row>
    <row r="146" spans="1:97">
      <c r="B146" s="88"/>
      <c r="C146" s="182"/>
      <c r="E146" t="s">
        <v>4</v>
      </c>
      <c r="G146" s="104">
        <f>TRUNC(SUM(G144:G145),2)</f>
        <v>10.47</v>
      </c>
      <c r="CS146"/>
    </row>
    <row r="147" spans="1:97" ht="30">
      <c r="B147" s="88" t="s">
        <v>228</v>
      </c>
      <c r="C147" s="181" t="s">
        <v>446</v>
      </c>
      <c r="D147" s="46" t="s">
        <v>51</v>
      </c>
      <c r="E147">
        <v>1</v>
      </c>
      <c r="F147" s="105">
        <f>G153</f>
        <v>89.57</v>
      </c>
      <c r="G147" s="104">
        <f t="shared" ref="G147:G152" si="6">TRUNC(E147*F147,2)</f>
        <v>89.57</v>
      </c>
      <c r="CS147"/>
    </row>
    <row r="148" spans="1:97">
      <c r="B148" s="88" t="s">
        <v>229</v>
      </c>
      <c r="C148" s="181" t="s">
        <v>447</v>
      </c>
      <c r="D148" s="46" t="s">
        <v>2</v>
      </c>
      <c r="E148">
        <v>0.26</v>
      </c>
      <c r="F148">
        <f>TRUNC(5.83,2)</f>
        <v>5.83</v>
      </c>
      <c r="G148" s="104">
        <f t="shared" si="6"/>
        <v>1.51</v>
      </c>
      <c r="CS148"/>
    </row>
    <row r="149" spans="1:97">
      <c r="B149" s="88" t="s">
        <v>230</v>
      </c>
      <c r="C149" s="181" t="s">
        <v>448</v>
      </c>
      <c r="D149" s="46" t="s">
        <v>51</v>
      </c>
      <c r="E149">
        <v>1.125</v>
      </c>
      <c r="F149">
        <f>TRUNC(42.49,2)</f>
        <v>42.49</v>
      </c>
      <c r="G149" s="104">
        <f t="shared" si="6"/>
        <v>47.8</v>
      </c>
      <c r="CS149"/>
    </row>
    <row r="150" spans="1:97">
      <c r="B150" s="88" t="s">
        <v>231</v>
      </c>
      <c r="C150" s="181" t="s">
        <v>449</v>
      </c>
      <c r="D150" s="46" t="s">
        <v>200</v>
      </c>
      <c r="E150">
        <v>0.61499999999999999</v>
      </c>
      <c r="F150">
        <f>TRUNC(12.88,2)</f>
        <v>12.88</v>
      </c>
      <c r="G150" s="104">
        <f t="shared" si="6"/>
        <v>7.92</v>
      </c>
      <c r="CS150"/>
    </row>
    <row r="151" spans="1:97">
      <c r="B151" s="88" t="s">
        <v>232</v>
      </c>
      <c r="C151" s="181" t="s">
        <v>450</v>
      </c>
      <c r="D151" s="46" t="s">
        <v>3</v>
      </c>
      <c r="E151">
        <v>0.94799999999999995</v>
      </c>
      <c r="F151">
        <f>TRUNC(28.64,2)</f>
        <v>28.64</v>
      </c>
      <c r="G151" s="104">
        <f t="shared" si="6"/>
        <v>27.15</v>
      </c>
      <c r="CS151"/>
    </row>
    <row r="152" spans="1:97">
      <c r="B152" s="88" t="s">
        <v>233</v>
      </c>
      <c r="C152" s="181" t="s">
        <v>451</v>
      </c>
      <c r="D152" s="46" t="s">
        <v>3</v>
      </c>
      <c r="E152">
        <v>0.192</v>
      </c>
      <c r="F152">
        <f>TRUNC(27.06,2)</f>
        <v>27.06</v>
      </c>
      <c r="G152" s="104">
        <f t="shared" si="6"/>
        <v>5.19</v>
      </c>
      <c r="CS152"/>
    </row>
    <row r="153" spans="1:97" ht="15.75" thickBot="1">
      <c r="B153" s="88"/>
      <c r="C153" s="182"/>
      <c r="E153" t="s">
        <v>4</v>
      </c>
      <c r="G153" s="104">
        <f>TRUNC(SUM(G148:G152),2)</f>
        <v>89.57</v>
      </c>
      <c r="CS153"/>
    </row>
    <row r="154" spans="1:97" ht="75.75" thickBot="1">
      <c r="A154" s="93" t="s">
        <v>224</v>
      </c>
      <c r="B154" s="94" t="s">
        <v>282</v>
      </c>
      <c r="C154" s="184" t="s">
        <v>350</v>
      </c>
      <c r="D154" s="93" t="s">
        <v>51</v>
      </c>
      <c r="E154" s="92">
        <v>421</v>
      </c>
      <c r="F154" s="81">
        <f>TRUNC(F155,2)</f>
        <v>138.80000000000001</v>
      </c>
      <c r="G154" s="103">
        <f>TRUNC(E154*F154,2)</f>
        <v>58434.8</v>
      </c>
      <c r="CS154"/>
    </row>
    <row r="155" spans="1:97" ht="75">
      <c r="B155" s="88" t="s">
        <v>282</v>
      </c>
      <c r="C155" s="181" t="s">
        <v>350</v>
      </c>
      <c r="D155" s="46" t="s">
        <v>51</v>
      </c>
      <c r="E155">
        <v>1</v>
      </c>
      <c r="F155">
        <f>G157</f>
        <v>138.80000000000001</v>
      </c>
      <c r="G155" s="104">
        <f>TRUNC(E155*F155,2)</f>
        <v>138.80000000000001</v>
      </c>
      <c r="CS155"/>
    </row>
    <row r="156" spans="1:97">
      <c r="B156" s="88" t="s">
        <v>283</v>
      </c>
      <c r="C156" s="181" t="s">
        <v>284</v>
      </c>
      <c r="D156" s="46" t="s">
        <v>51</v>
      </c>
      <c r="E156">
        <v>1</v>
      </c>
      <c r="F156">
        <v>138.80000000000001</v>
      </c>
      <c r="G156" s="104">
        <f>TRUNC(E156*F156,2)</f>
        <v>138.80000000000001</v>
      </c>
      <c r="CS156"/>
    </row>
    <row r="157" spans="1:97">
      <c r="B157" s="88"/>
      <c r="C157" s="182"/>
      <c r="E157" t="s">
        <v>4</v>
      </c>
      <c r="G157" s="104">
        <f>TRUNC(SUM(G156:G156),2)</f>
        <v>138.80000000000001</v>
      </c>
      <c r="CS157"/>
    </row>
    <row r="158" spans="1:97" ht="15.75" thickBot="1">
      <c r="B158" s="88"/>
      <c r="C158" s="182"/>
      <c r="G158" s="104"/>
      <c r="CS158"/>
    </row>
    <row r="159" spans="1:97" ht="30.75" thickBot="1">
      <c r="A159" s="93" t="s">
        <v>225</v>
      </c>
      <c r="B159" s="94" t="s">
        <v>309</v>
      </c>
      <c r="C159" s="184" t="s">
        <v>351</v>
      </c>
      <c r="D159" s="93" t="s">
        <v>51</v>
      </c>
      <c r="E159" s="92">
        <v>65.400000000000006</v>
      </c>
      <c r="F159" s="81">
        <f>TRUNC(F160,2)</f>
        <v>69.48</v>
      </c>
      <c r="G159" s="103">
        <f>TRUNC(E159*F159,2)</f>
        <v>4543.99</v>
      </c>
      <c r="CS159"/>
    </row>
    <row r="160" spans="1:97" ht="30">
      <c r="B160" s="88" t="s">
        <v>173</v>
      </c>
      <c r="C160" s="181" t="s">
        <v>452</v>
      </c>
      <c r="D160" s="46" t="s">
        <v>51</v>
      </c>
      <c r="E160">
        <v>1</v>
      </c>
      <c r="F160">
        <f>G169</f>
        <v>69.48</v>
      </c>
      <c r="G160" s="104">
        <f t="shared" ref="G160:G168" si="7">TRUNC(E160*F160,2)</f>
        <v>69.48</v>
      </c>
      <c r="CS160"/>
    </row>
    <row r="161" spans="1:97" s="41" customFormat="1" ht="30">
      <c r="A161" s="143"/>
      <c r="B161" s="144" t="s">
        <v>304</v>
      </c>
      <c r="C161" s="186" t="s">
        <v>453</v>
      </c>
      <c r="D161" s="143" t="s">
        <v>51</v>
      </c>
      <c r="E161" s="41">
        <v>1.1224000000000001</v>
      </c>
      <c r="F161" s="41">
        <v>6.75</v>
      </c>
      <c r="G161" s="145">
        <f t="shared" si="7"/>
        <v>7.57</v>
      </c>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row>
    <row r="162" spans="1:97">
      <c r="B162" s="88" t="s">
        <v>174</v>
      </c>
      <c r="C162" s="181" t="s">
        <v>454</v>
      </c>
      <c r="D162" s="46" t="s">
        <v>1</v>
      </c>
      <c r="E162">
        <v>0.2</v>
      </c>
      <c r="F162">
        <f>TRUNC(2.09,2)</f>
        <v>2.09</v>
      </c>
      <c r="G162" s="104">
        <f t="shared" si="7"/>
        <v>0.41</v>
      </c>
      <c r="CS162"/>
    </row>
    <row r="163" spans="1:97">
      <c r="B163" s="88" t="s">
        <v>175</v>
      </c>
      <c r="C163" s="181" t="s">
        <v>455</v>
      </c>
      <c r="D163" s="46" t="s">
        <v>1</v>
      </c>
      <c r="E163">
        <v>0.25</v>
      </c>
      <c r="F163">
        <f>TRUNC(5.82,2)</f>
        <v>5.82</v>
      </c>
      <c r="G163" s="104">
        <f t="shared" si="7"/>
        <v>1.45</v>
      </c>
      <c r="CS163"/>
    </row>
    <row r="164" spans="1:97" s="41" customFormat="1">
      <c r="A164" s="143"/>
      <c r="B164" s="144" t="s">
        <v>176</v>
      </c>
      <c r="C164" s="186" t="s">
        <v>456</v>
      </c>
      <c r="D164" s="143" t="s">
        <v>51</v>
      </c>
      <c r="F164" s="41">
        <f>TRUNC(1,2)</f>
        <v>1</v>
      </c>
      <c r="G164" s="145">
        <f t="shared" si="7"/>
        <v>0</v>
      </c>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row>
    <row r="165" spans="1:97">
      <c r="B165" s="88" t="s">
        <v>167</v>
      </c>
      <c r="C165" s="181" t="s">
        <v>437</v>
      </c>
      <c r="D165" s="46" t="s">
        <v>3</v>
      </c>
      <c r="E165">
        <v>0.4572</v>
      </c>
      <c r="F165">
        <f>TRUNC(22.56,2)</f>
        <v>22.56</v>
      </c>
      <c r="G165" s="104">
        <f t="shared" si="7"/>
        <v>10.31</v>
      </c>
      <c r="CS165"/>
    </row>
    <row r="166" spans="1:97">
      <c r="B166" s="88" t="s">
        <v>168</v>
      </c>
      <c r="C166" s="181" t="s">
        <v>438</v>
      </c>
      <c r="D166" s="46" t="s">
        <v>3</v>
      </c>
      <c r="E166">
        <v>0.2767</v>
      </c>
      <c r="F166">
        <f>TRUNC(28.64,2)</f>
        <v>28.64</v>
      </c>
      <c r="G166" s="104">
        <f t="shared" si="7"/>
        <v>7.92</v>
      </c>
      <c r="CS166"/>
    </row>
    <row r="167" spans="1:97">
      <c r="B167" s="88" t="s">
        <v>177</v>
      </c>
      <c r="C167" s="181" t="s">
        <v>457</v>
      </c>
      <c r="D167" s="46" t="s">
        <v>3</v>
      </c>
      <c r="E167">
        <v>0.18049999999999999</v>
      </c>
      <c r="F167">
        <f>TRUNC(28.52,2)</f>
        <v>28.52</v>
      </c>
      <c r="G167" s="104">
        <f t="shared" si="7"/>
        <v>5.14</v>
      </c>
      <c r="CS167"/>
    </row>
    <row r="168" spans="1:97" ht="30">
      <c r="B168" s="88" t="s">
        <v>178</v>
      </c>
      <c r="C168" s="181" t="s">
        <v>458</v>
      </c>
      <c r="D168" s="46" t="s">
        <v>0</v>
      </c>
      <c r="E168">
        <v>9.7000000000000003E-2</v>
      </c>
      <c r="F168">
        <f>TRUNC(378.16,2)</f>
        <v>378.16</v>
      </c>
      <c r="G168" s="104">
        <f t="shared" si="7"/>
        <v>36.68</v>
      </c>
      <c r="CS168"/>
    </row>
    <row r="169" spans="1:97">
      <c r="B169" s="88"/>
      <c r="C169" s="182"/>
      <c r="E169" t="s">
        <v>4</v>
      </c>
      <c r="G169" s="104">
        <f>TRUNC(SUM(G161:G168),2)</f>
        <v>69.48</v>
      </c>
      <c r="CS169"/>
    </row>
    <row r="170" spans="1:97" ht="15.75" thickBot="1">
      <c r="B170" s="88"/>
      <c r="C170" s="182"/>
      <c r="G170" s="104"/>
      <c r="CS170"/>
    </row>
    <row r="171" spans="1:97" ht="30.75" thickBot="1">
      <c r="A171" s="93" t="s">
        <v>305</v>
      </c>
      <c r="B171" s="94" t="s">
        <v>179</v>
      </c>
      <c r="C171" s="184" t="s">
        <v>352</v>
      </c>
      <c r="D171" s="93" t="s">
        <v>51</v>
      </c>
      <c r="E171" s="92">
        <v>6</v>
      </c>
      <c r="F171" s="81">
        <f>TRUNC(F172,2)</f>
        <v>130.97</v>
      </c>
      <c r="G171" s="103">
        <f>TRUNC(E171*F171,2)</f>
        <v>785.82</v>
      </c>
      <c r="CS171"/>
    </row>
    <row r="172" spans="1:97" ht="45">
      <c r="B172" s="88" t="s">
        <v>179</v>
      </c>
      <c r="C172" s="181" t="s">
        <v>459</v>
      </c>
      <c r="D172" s="46" t="s">
        <v>51</v>
      </c>
      <c r="E172">
        <v>1</v>
      </c>
      <c r="F172">
        <f>G180</f>
        <v>130.97</v>
      </c>
      <c r="G172" s="104">
        <f t="shared" ref="G172:G179" si="8">TRUNC(E172*F172,2)</f>
        <v>130.97</v>
      </c>
      <c r="CS172"/>
    </row>
    <row r="173" spans="1:97">
      <c r="B173" s="88" t="s">
        <v>180</v>
      </c>
      <c r="C173" s="181" t="s">
        <v>460</v>
      </c>
      <c r="D173" s="46" t="s">
        <v>51</v>
      </c>
      <c r="E173">
        <v>1.05</v>
      </c>
      <c r="F173">
        <f>TRUNC(61.8,2)</f>
        <v>61.8</v>
      </c>
      <c r="G173" s="104">
        <f t="shared" si="8"/>
        <v>64.89</v>
      </c>
      <c r="CS173"/>
    </row>
    <row r="174" spans="1:97">
      <c r="B174" s="88" t="s">
        <v>181</v>
      </c>
      <c r="C174" s="181" t="s">
        <v>461</v>
      </c>
      <c r="D174" s="46" t="s">
        <v>2</v>
      </c>
      <c r="E174">
        <v>0.1</v>
      </c>
      <c r="F174">
        <f>TRUNC(35.33,2)</f>
        <v>35.33</v>
      </c>
      <c r="G174" s="104">
        <f t="shared" si="8"/>
        <v>3.53</v>
      </c>
      <c r="CS174"/>
    </row>
    <row r="175" spans="1:97">
      <c r="B175" s="88" t="s">
        <v>182</v>
      </c>
      <c r="C175" s="181" t="s">
        <v>462</v>
      </c>
      <c r="D175" s="46" t="s">
        <v>2</v>
      </c>
      <c r="E175">
        <v>0.1</v>
      </c>
      <c r="F175">
        <f>TRUNC(1.4,2)</f>
        <v>1.4</v>
      </c>
      <c r="G175" s="104">
        <f t="shared" si="8"/>
        <v>0.14000000000000001</v>
      </c>
      <c r="CS175"/>
    </row>
    <row r="176" spans="1:97">
      <c r="B176" s="88" t="s">
        <v>39</v>
      </c>
      <c r="C176" s="181" t="s">
        <v>383</v>
      </c>
      <c r="D176" s="46" t="s">
        <v>3</v>
      </c>
      <c r="E176">
        <v>1.1330000000000002</v>
      </c>
      <c r="F176">
        <f>TRUNC(16.55,2)</f>
        <v>16.55</v>
      </c>
      <c r="G176" s="104">
        <f t="shared" si="8"/>
        <v>18.75</v>
      </c>
      <c r="CS176"/>
    </row>
    <row r="177" spans="1:97">
      <c r="B177" s="88" t="s">
        <v>183</v>
      </c>
      <c r="C177" s="181" t="s">
        <v>463</v>
      </c>
      <c r="D177" s="46" t="s">
        <v>3</v>
      </c>
      <c r="E177">
        <v>1.1330000000000002</v>
      </c>
      <c r="F177">
        <f>TRUNC(24.61,2)</f>
        <v>24.61</v>
      </c>
      <c r="G177" s="104">
        <f t="shared" si="8"/>
        <v>27.88</v>
      </c>
      <c r="CS177"/>
    </row>
    <row r="178" spans="1:97">
      <c r="B178" s="88" t="s">
        <v>184</v>
      </c>
      <c r="C178" s="181" t="s">
        <v>464</v>
      </c>
      <c r="D178" s="46" t="s">
        <v>0</v>
      </c>
      <c r="E178">
        <v>3.5000000000000003E-2</v>
      </c>
      <c r="F178">
        <f>TRUNC(408.329,2)</f>
        <v>408.32</v>
      </c>
      <c r="G178" s="104">
        <f t="shared" si="8"/>
        <v>14.29</v>
      </c>
      <c r="CS178"/>
    </row>
    <row r="179" spans="1:97">
      <c r="B179" s="88" t="s">
        <v>185</v>
      </c>
      <c r="C179" s="181" t="s">
        <v>465</v>
      </c>
      <c r="D179" s="46" t="s">
        <v>0</v>
      </c>
      <c r="E179">
        <v>2E-3</v>
      </c>
      <c r="F179">
        <f>TRUNC(745.9185,2)</f>
        <v>745.91</v>
      </c>
      <c r="G179" s="104">
        <f t="shared" si="8"/>
        <v>1.49</v>
      </c>
      <c r="CS179"/>
    </row>
    <row r="180" spans="1:97">
      <c r="B180" s="88"/>
      <c r="C180" s="182"/>
      <c r="E180" t="s">
        <v>4</v>
      </c>
      <c r="G180" s="104">
        <f>TRUNC(SUM(G173:G179),2)</f>
        <v>130.97</v>
      </c>
      <c r="CS180"/>
    </row>
    <row r="181" spans="1:97" ht="15.75" thickBot="1">
      <c r="B181" s="88"/>
      <c r="C181" s="182"/>
      <c r="G181" s="104"/>
      <c r="CS181"/>
    </row>
    <row r="182" spans="1:97" ht="30.75" thickBot="1">
      <c r="A182" s="93" t="s">
        <v>73</v>
      </c>
      <c r="B182" s="94" t="s">
        <v>110</v>
      </c>
      <c r="C182" s="184" t="s">
        <v>353</v>
      </c>
      <c r="D182" s="93" t="s">
        <v>51</v>
      </c>
      <c r="E182" s="92">
        <v>6.5</v>
      </c>
      <c r="F182" s="81">
        <f>TRUNC(F183,2)</f>
        <v>130.97</v>
      </c>
      <c r="G182" s="103">
        <f>TRUNC(E182*F182,2)</f>
        <v>851.3</v>
      </c>
      <c r="CS182"/>
    </row>
    <row r="183" spans="1:97" ht="45">
      <c r="B183" s="88" t="s">
        <v>110</v>
      </c>
      <c r="C183" s="181" t="s">
        <v>466</v>
      </c>
      <c r="D183" s="46" t="s">
        <v>51</v>
      </c>
      <c r="E183">
        <v>1</v>
      </c>
      <c r="F183">
        <f>G191</f>
        <v>130.97</v>
      </c>
      <c r="G183" s="104">
        <f t="shared" ref="G183:G190" si="9">TRUNC(E183*F183,2)</f>
        <v>130.97</v>
      </c>
      <c r="CS183"/>
    </row>
    <row r="184" spans="1:97">
      <c r="B184" s="88" t="s">
        <v>186</v>
      </c>
      <c r="C184" s="181" t="s">
        <v>467</v>
      </c>
      <c r="D184" s="46" t="s">
        <v>51</v>
      </c>
      <c r="E184">
        <v>1.05</v>
      </c>
      <c r="F184">
        <f>TRUNC(61.8,2)</f>
        <v>61.8</v>
      </c>
      <c r="G184" s="104">
        <f t="shared" si="9"/>
        <v>64.89</v>
      </c>
      <c r="CS184"/>
    </row>
    <row r="185" spans="1:97">
      <c r="B185" s="88" t="s">
        <v>181</v>
      </c>
      <c r="C185" s="181" t="s">
        <v>461</v>
      </c>
      <c r="D185" s="46" t="s">
        <v>2</v>
      </c>
      <c r="E185">
        <v>0.1</v>
      </c>
      <c r="F185">
        <f>TRUNC(35.33,2)</f>
        <v>35.33</v>
      </c>
      <c r="G185" s="104">
        <f t="shared" si="9"/>
        <v>3.53</v>
      </c>
      <c r="CS185"/>
    </row>
    <row r="186" spans="1:97">
      <c r="B186" s="88" t="s">
        <v>182</v>
      </c>
      <c r="C186" s="181" t="s">
        <v>462</v>
      </c>
      <c r="D186" s="46" t="s">
        <v>2</v>
      </c>
      <c r="E186">
        <v>0.1</v>
      </c>
      <c r="F186">
        <f>TRUNC(1.4,2)</f>
        <v>1.4</v>
      </c>
      <c r="G186" s="104">
        <f t="shared" si="9"/>
        <v>0.14000000000000001</v>
      </c>
      <c r="CS186"/>
    </row>
    <row r="187" spans="1:97">
      <c r="B187" s="88" t="s">
        <v>39</v>
      </c>
      <c r="C187" s="181" t="s">
        <v>383</v>
      </c>
      <c r="D187" s="46" t="s">
        <v>3</v>
      </c>
      <c r="E187">
        <v>1.1330000000000002</v>
      </c>
      <c r="F187">
        <f>TRUNC(16.55,2)</f>
        <v>16.55</v>
      </c>
      <c r="G187" s="104">
        <f t="shared" si="9"/>
        <v>18.75</v>
      </c>
      <c r="CS187"/>
    </row>
    <row r="188" spans="1:97">
      <c r="B188" s="88" t="s">
        <v>183</v>
      </c>
      <c r="C188" s="181" t="s">
        <v>463</v>
      </c>
      <c r="D188" s="46" t="s">
        <v>3</v>
      </c>
      <c r="E188">
        <v>1.1330000000000002</v>
      </c>
      <c r="F188">
        <f>TRUNC(24.61,2)</f>
        <v>24.61</v>
      </c>
      <c r="G188" s="104">
        <f t="shared" si="9"/>
        <v>27.88</v>
      </c>
      <c r="CS188"/>
    </row>
    <row r="189" spans="1:97">
      <c r="B189" s="88" t="s">
        <v>184</v>
      </c>
      <c r="C189" s="181" t="s">
        <v>464</v>
      </c>
      <c r="D189" s="46" t="s">
        <v>0</v>
      </c>
      <c r="E189">
        <v>3.5000000000000003E-2</v>
      </c>
      <c r="F189">
        <f>TRUNC(408.329,2)</f>
        <v>408.32</v>
      </c>
      <c r="G189" s="104">
        <f t="shared" si="9"/>
        <v>14.29</v>
      </c>
      <c r="CS189"/>
    </row>
    <row r="190" spans="1:97">
      <c r="B190" s="88" t="s">
        <v>185</v>
      </c>
      <c r="C190" s="181" t="s">
        <v>465</v>
      </c>
      <c r="D190" s="46" t="s">
        <v>0</v>
      </c>
      <c r="E190">
        <v>2E-3</v>
      </c>
      <c r="F190">
        <f>TRUNC(745.9185,2)</f>
        <v>745.91</v>
      </c>
      <c r="G190" s="104">
        <f t="shared" si="9"/>
        <v>1.49</v>
      </c>
      <c r="CS190"/>
    </row>
    <row r="191" spans="1:97">
      <c r="B191" s="88"/>
      <c r="C191" s="182"/>
      <c r="E191" t="s">
        <v>4</v>
      </c>
      <c r="G191" s="104">
        <f>TRUNC(SUM(G184:G190),2)</f>
        <v>130.97</v>
      </c>
      <c r="CS191"/>
    </row>
    <row r="192" spans="1:97" ht="15.75" thickBot="1">
      <c r="B192" s="88"/>
      <c r="C192" s="182"/>
      <c r="G192" s="104"/>
      <c r="CS192"/>
    </row>
    <row r="193" spans="1:97" ht="45.75" thickBot="1">
      <c r="A193" s="93" t="s">
        <v>306</v>
      </c>
      <c r="B193" s="94" t="s">
        <v>111</v>
      </c>
      <c r="C193" s="184" t="s">
        <v>354</v>
      </c>
      <c r="D193" s="93" t="s">
        <v>1</v>
      </c>
      <c r="E193" s="92">
        <v>15</v>
      </c>
      <c r="F193" s="81">
        <f>TRUNC(F194,2)</f>
        <v>63.14</v>
      </c>
      <c r="G193" s="103">
        <f>TRUNC(E193*F193,2)</f>
        <v>947.1</v>
      </c>
      <c r="CS193"/>
    </row>
    <row r="194" spans="1:97" ht="45">
      <c r="B194" s="88" t="s">
        <v>111</v>
      </c>
      <c r="C194" s="181" t="s">
        <v>468</v>
      </c>
      <c r="D194" s="46" t="s">
        <v>1</v>
      </c>
      <c r="E194">
        <v>1</v>
      </c>
      <c r="F194">
        <f>G202</f>
        <v>63.14</v>
      </c>
      <c r="G194" s="104">
        <f t="shared" ref="G194:G201" si="10">TRUNC(E194*F194,2)</f>
        <v>63.14</v>
      </c>
      <c r="CS194"/>
    </row>
    <row r="195" spans="1:97">
      <c r="B195" s="88" t="s">
        <v>39</v>
      </c>
      <c r="C195" s="181" t="s">
        <v>383</v>
      </c>
      <c r="D195" s="46" t="s">
        <v>3</v>
      </c>
      <c r="E195">
        <v>0.2472</v>
      </c>
      <c r="F195">
        <f>TRUNC(16.55,2)</f>
        <v>16.55</v>
      </c>
      <c r="G195" s="104">
        <f t="shared" si="10"/>
        <v>4.09</v>
      </c>
      <c r="CS195"/>
    </row>
    <row r="196" spans="1:97">
      <c r="B196" s="88" t="s">
        <v>187</v>
      </c>
      <c r="C196" s="181" t="s">
        <v>469</v>
      </c>
      <c r="D196" s="46" t="s">
        <v>3</v>
      </c>
      <c r="E196">
        <v>8.2400000000000001E-2</v>
      </c>
      <c r="F196">
        <f>TRUNC(22.86,2)</f>
        <v>22.86</v>
      </c>
      <c r="G196" s="104">
        <f t="shared" si="10"/>
        <v>1.88</v>
      </c>
      <c r="CS196"/>
    </row>
    <row r="197" spans="1:97">
      <c r="B197" s="88" t="s">
        <v>188</v>
      </c>
      <c r="C197" s="181" t="s">
        <v>470</v>
      </c>
      <c r="D197" s="46" t="s">
        <v>0</v>
      </c>
      <c r="E197">
        <v>4.2000000000000003E-2</v>
      </c>
      <c r="F197">
        <f>TRUNC(75.2877,2)</f>
        <v>75.28</v>
      </c>
      <c r="G197" s="104">
        <f t="shared" si="10"/>
        <v>3.16</v>
      </c>
      <c r="CS197"/>
    </row>
    <row r="198" spans="1:97">
      <c r="B198" s="88" t="s">
        <v>189</v>
      </c>
      <c r="C198" s="181" t="s">
        <v>471</v>
      </c>
      <c r="D198" s="46" t="s">
        <v>0</v>
      </c>
      <c r="E198">
        <v>4.2000000000000003E-2</v>
      </c>
      <c r="F198">
        <f>TRUNC(82.295,2)</f>
        <v>82.29</v>
      </c>
      <c r="G198" s="104">
        <f t="shared" si="10"/>
        <v>3.45</v>
      </c>
      <c r="CS198"/>
    </row>
    <row r="199" spans="1:97">
      <c r="B199" s="88" t="s">
        <v>190</v>
      </c>
      <c r="C199" s="181" t="s">
        <v>472</v>
      </c>
      <c r="D199" s="46" t="s">
        <v>51</v>
      </c>
      <c r="E199">
        <v>0.62</v>
      </c>
      <c r="F199">
        <f>TRUNC(62.1585,2)</f>
        <v>62.15</v>
      </c>
      <c r="G199" s="104">
        <f t="shared" si="10"/>
        <v>38.53</v>
      </c>
      <c r="CS199"/>
    </row>
    <row r="200" spans="1:97">
      <c r="B200" s="88" t="s">
        <v>191</v>
      </c>
      <c r="C200" s="181" t="s">
        <v>473</v>
      </c>
      <c r="D200" s="46" t="s">
        <v>0</v>
      </c>
      <c r="E200">
        <v>4.2000000000000003E-2</v>
      </c>
      <c r="F200">
        <f>TRUNC(266.223,2)</f>
        <v>266.22000000000003</v>
      </c>
      <c r="G200" s="104">
        <f t="shared" si="10"/>
        <v>11.18</v>
      </c>
      <c r="CS200"/>
    </row>
    <row r="201" spans="1:97">
      <c r="B201" s="88" t="s">
        <v>192</v>
      </c>
      <c r="C201" s="181" t="s">
        <v>474</v>
      </c>
      <c r="D201" s="46" t="s">
        <v>0</v>
      </c>
      <c r="E201">
        <v>2.5000000000000001E-3</v>
      </c>
      <c r="F201">
        <f>TRUNC(343.6186,2)</f>
        <v>343.61</v>
      </c>
      <c r="G201" s="104">
        <f t="shared" si="10"/>
        <v>0.85</v>
      </c>
      <c r="CS201"/>
    </row>
    <row r="202" spans="1:97" ht="15.75" thickBot="1">
      <c r="B202" s="88"/>
      <c r="C202" s="182"/>
      <c r="E202" t="s">
        <v>4</v>
      </c>
      <c r="G202" s="104">
        <f>TRUNC(SUM(G195:G201),2)</f>
        <v>63.14</v>
      </c>
      <c r="CS202"/>
    </row>
    <row r="203" spans="1:97" s="41" customFormat="1" ht="15.75" thickBot="1">
      <c r="A203" s="95" t="s">
        <v>33</v>
      </c>
      <c r="B203" s="96"/>
      <c r="C203" s="185"/>
      <c r="D203" s="95"/>
      <c r="E203" s="98"/>
      <c r="F203" s="98" t="s">
        <v>216</v>
      </c>
      <c r="G203" s="82">
        <f>G142+G154+G159+G171+G182+G193</f>
        <v>78198.060000000027</v>
      </c>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row>
    <row r="204" spans="1:97" s="41" customFormat="1" ht="15.75" thickBot="1">
      <c r="A204" s="95" t="s">
        <v>74</v>
      </c>
      <c r="B204" s="96"/>
      <c r="C204" s="164" t="s">
        <v>355</v>
      </c>
      <c r="D204" s="95" t="s">
        <v>49</v>
      </c>
      <c r="E204" s="98"/>
      <c r="F204" s="98"/>
      <c r="G204" s="82"/>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row>
    <row r="205" spans="1:97" ht="45.75" thickBot="1">
      <c r="A205" s="93" t="s">
        <v>76</v>
      </c>
      <c r="B205" s="94" t="s">
        <v>240</v>
      </c>
      <c r="C205" s="163" t="s">
        <v>555</v>
      </c>
      <c r="D205" s="93" t="s">
        <v>51</v>
      </c>
      <c r="E205" s="92">
        <f>330.2</f>
        <v>330.2</v>
      </c>
      <c r="F205" s="81">
        <f>TRUNC(F206,2)</f>
        <v>47.03</v>
      </c>
      <c r="G205" s="103">
        <f>TRUNC(E205*F205,2)</f>
        <v>15529.3</v>
      </c>
      <c r="CS205"/>
    </row>
    <row r="206" spans="1:97">
      <c r="B206" s="88" t="s">
        <v>112</v>
      </c>
      <c r="C206" s="181" t="s">
        <v>536</v>
      </c>
      <c r="D206" s="46" t="s">
        <v>51</v>
      </c>
      <c r="E206">
        <v>1</v>
      </c>
      <c r="F206" s="105">
        <f>G209</f>
        <v>47.03</v>
      </c>
      <c r="G206" s="104">
        <f>TRUNC(E206*F206,2)</f>
        <v>47.03</v>
      </c>
      <c r="CS206"/>
    </row>
    <row r="207" spans="1:97">
      <c r="B207" s="88" t="s">
        <v>537</v>
      </c>
      <c r="C207" s="181" t="s">
        <v>538</v>
      </c>
      <c r="D207" s="46" t="s">
        <v>51</v>
      </c>
      <c r="E207">
        <v>0.85</v>
      </c>
      <c r="F207">
        <f>TRUNC(43.89,2)</f>
        <v>43.89</v>
      </c>
      <c r="G207" s="104">
        <f>TRUNC(E207*F207,2)</f>
        <v>37.299999999999997</v>
      </c>
      <c r="CS207"/>
    </row>
    <row r="208" spans="1:97" s="141" customFormat="1">
      <c r="A208" s="156"/>
      <c r="B208" s="157" t="s">
        <v>287</v>
      </c>
      <c r="C208" s="180" t="s">
        <v>475</v>
      </c>
      <c r="D208" s="156" t="s">
        <v>329</v>
      </c>
      <c r="E208" s="141">
        <v>1</v>
      </c>
      <c r="F208" s="141">
        <v>9.73</v>
      </c>
      <c r="G208" s="158">
        <f>TRUNC(E208*F208,2)</f>
        <v>9.73</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0"/>
      <c r="AY208" s="140"/>
      <c r="AZ208" s="140"/>
      <c r="BA208" s="140"/>
      <c r="BB208" s="140"/>
      <c r="BC208" s="140"/>
      <c r="BD208" s="140"/>
      <c r="BE208" s="140"/>
      <c r="BF208" s="140"/>
      <c r="BG208" s="140"/>
      <c r="BH208" s="140"/>
      <c r="BI208" s="140"/>
      <c r="BJ208" s="140"/>
      <c r="BK208" s="140"/>
      <c r="BL208" s="140"/>
      <c r="BM208" s="140"/>
      <c r="BN208" s="140"/>
      <c r="BO208" s="140"/>
      <c r="BP208" s="140"/>
      <c r="BQ208" s="140"/>
      <c r="BR208" s="140"/>
      <c r="BS208" s="140"/>
      <c r="BT208" s="140"/>
      <c r="BU208" s="140"/>
      <c r="BV208" s="140"/>
      <c r="BW208" s="140"/>
      <c r="BX208" s="140"/>
      <c r="BY208" s="140"/>
      <c r="BZ208" s="140"/>
      <c r="CA208" s="140"/>
      <c r="CB208" s="140"/>
      <c r="CC208" s="140"/>
      <c r="CD208" s="140"/>
      <c r="CE208" s="140"/>
      <c r="CF208" s="140"/>
      <c r="CG208" s="140"/>
      <c r="CH208" s="140"/>
      <c r="CI208" s="140"/>
      <c r="CJ208" s="140"/>
      <c r="CK208" s="140"/>
      <c r="CL208" s="140"/>
      <c r="CM208" s="140"/>
      <c r="CN208" s="140"/>
      <c r="CO208" s="140"/>
      <c r="CP208" s="140"/>
      <c r="CQ208" s="140"/>
      <c r="CR208" s="140"/>
    </row>
    <row r="209" spans="1:97" ht="15.75" thickBot="1">
      <c r="B209" s="88"/>
      <c r="C209" s="181"/>
      <c r="E209" t="s">
        <v>4</v>
      </c>
      <c r="G209" s="104">
        <f>SUM(G207:G208)</f>
        <v>47.03</v>
      </c>
      <c r="CS209"/>
    </row>
    <row r="210" spans="1:97" ht="30.75" thickBot="1">
      <c r="A210" s="93" t="s">
        <v>236</v>
      </c>
      <c r="B210" s="94" t="s">
        <v>113</v>
      </c>
      <c r="C210" s="184" t="s">
        <v>356</v>
      </c>
      <c r="D210" s="93" t="s">
        <v>1</v>
      </c>
      <c r="E210" s="92">
        <v>9</v>
      </c>
      <c r="F210" s="81">
        <f>TRUNC(F211,2)</f>
        <v>96.77</v>
      </c>
      <c r="G210" s="103">
        <f>TRUNC(E210*F210,2)</f>
        <v>870.93</v>
      </c>
      <c r="CS210"/>
    </row>
    <row r="211" spans="1:97" ht="45">
      <c r="B211" s="88" t="s">
        <v>113</v>
      </c>
      <c r="C211" s="181" t="s">
        <v>476</v>
      </c>
      <c r="D211" s="46" t="s">
        <v>1</v>
      </c>
      <c r="E211">
        <v>1</v>
      </c>
      <c r="F211">
        <f>G215</f>
        <v>96.77</v>
      </c>
      <c r="G211" s="104">
        <f>TRUNC(E211*F211,2)</f>
        <v>96.77</v>
      </c>
      <c r="CS211"/>
    </row>
    <row r="212" spans="1:97">
      <c r="B212" s="88" t="s">
        <v>193</v>
      </c>
      <c r="C212" s="181" t="s">
        <v>477</v>
      </c>
      <c r="D212" s="46" t="s">
        <v>1</v>
      </c>
      <c r="E212">
        <v>1.2649999999999999</v>
      </c>
      <c r="F212">
        <f>TRUNC(59.75,2)</f>
        <v>59.75</v>
      </c>
      <c r="G212" s="104">
        <f>TRUNC(E212*F212,2)</f>
        <v>75.58</v>
      </c>
      <c r="CS212"/>
    </row>
    <row r="213" spans="1:97">
      <c r="B213" s="88" t="s">
        <v>194</v>
      </c>
      <c r="C213" s="181" t="s">
        <v>478</v>
      </c>
      <c r="D213" s="46" t="s">
        <v>3</v>
      </c>
      <c r="E213">
        <v>0.51500000000000001</v>
      </c>
      <c r="F213">
        <f>TRUNC(24.61,2)</f>
        <v>24.61</v>
      </c>
      <c r="G213" s="104">
        <f>TRUNC(E213*F213,2)</f>
        <v>12.67</v>
      </c>
      <c r="CS213"/>
    </row>
    <row r="214" spans="1:97">
      <c r="B214" s="88" t="s">
        <v>39</v>
      </c>
      <c r="C214" s="181" t="s">
        <v>383</v>
      </c>
      <c r="D214" s="46" t="s">
        <v>3</v>
      </c>
      <c r="E214">
        <v>0.51500000000000001</v>
      </c>
      <c r="F214">
        <f>TRUNC(16.55,2)</f>
        <v>16.55</v>
      </c>
      <c r="G214" s="104">
        <f>TRUNC(E214*F214,2)</f>
        <v>8.52</v>
      </c>
      <c r="CS214"/>
    </row>
    <row r="215" spans="1:97" ht="15.75" thickBot="1">
      <c r="B215" s="88"/>
      <c r="C215" s="182"/>
      <c r="E215" t="s">
        <v>4</v>
      </c>
      <c r="G215" s="104">
        <f>TRUNC(SUM(G212:G214),2)</f>
        <v>96.77</v>
      </c>
      <c r="CS215"/>
    </row>
    <row r="216" spans="1:97" ht="30.75" thickBot="1">
      <c r="A216" s="93" t="s">
        <v>237</v>
      </c>
      <c r="B216" s="94" t="s">
        <v>239</v>
      </c>
      <c r="C216" s="184" t="s">
        <v>357</v>
      </c>
      <c r="D216" s="93" t="s">
        <v>1</v>
      </c>
      <c r="E216" s="92">
        <v>24.2</v>
      </c>
      <c r="F216" s="81">
        <f>TRUNC(F217,2)</f>
        <v>21.19</v>
      </c>
      <c r="G216" s="103">
        <f>TRUNC(E216*F216,2)</f>
        <v>512.79</v>
      </c>
      <c r="CS216"/>
    </row>
    <row r="217" spans="1:97" ht="45">
      <c r="B217" s="88" t="s">
        <v>113</v>
      </c>
      <c r="C217" s="181" t="s">
        <v>476</v>
      </c>
      <c r="D217" s="46" t="s">
        <v>1</v>
      </c>
      <c r="E217">
        <v>1</v>
      </c>
      <c r="F217">
        <f>G221</f>
        <v>21.19</v>
      </c>
      <c r="G217" s="104">
        <f>TRUNC(E217*F217,2)</f>
        <v>21.19</v>
      </c>
      <c r="CS217"/>
    </row>
    <row r="218" spans="1:97">
      <c r="B218" s="88" t="s">
        <v>193</v>
      </c>
      <c r="C218" s="181" t="s">
        <v>477</v>
      </c>
      <c r="D218" s="46" t="s">
        <v>1</v>
      </c>
      <c r="F218">
        <f>TRUNC(59.75,2)</f>
        <v>59.75</v>
      </c>
      <c r="G218" s="104">
        <f>TRUNC(E218*F218,2)</f>
        <v>0</v>
      </c>
      <c r="CS218"/>
    </row>
    <row r="219" spans="1:97">
      <c r="B219" s="88" t="s">
        <v>194</v>
      </c>
      <c r="C219" s="181" t="s">
        <v>478</v>
      </c>
      <c r="D219" s="46" t="s">
        <v>3</v>
      </c>
      <c r="E219">
        <v>0.51500000000000001</v>
      </c>
      <c r="F219">
        <f>TRUNC(24.61,2)</f>
        <v>24.61</v>
      </c>
      <c r="G219" s="104">
        <f>TRUNC(E219*F219,2)</f>
        <v>12.67</v>
      </c>
      <c r="CS219"/>
    </row>
    <row r="220" spans="1:97">
      <c r="B220" s="88" t="s">
        <v>39</v>
      </c>
      <c r="C220" s="181" t="s">
        <v>383</v>
      </c>
      <c r="D220" s="46" t="s">
        <v>3</v>
      </c>
      <c r="E220">
        <v>0.51500000000000001</v>
      </c>
      <c r="F220">
        <f>TRUNC(16.55,2)</f>
        <v>16.55</v>
      </c>
      <c r="G220" s="104">
        <f>TRUNC(E220*F220,2)</f>
        <v>8.52</v>
      </c>
      <c r="CS220"/>
    </row>
    <row r="221" spans="1:97">
      <c r="B221" s="88"/>
      <c r="C221" s="182"/>
      <c r="E221" t="s">
        <v>4</v>
      </c>
      <c r="G221" s="104">
        <f>TRUNC(SUM(G218:G220),2)</f>
        <v>21.19</v>
      </c>
      <c r="CS221"/>
    </row>
    <row r="222" spans="1:97" ht="15.75" thickBot="1">
      <c r="B222" s="88"/>
      <c r="C222" s="182"/>
      <c r="G222" s="104"/>
      <c r="CS222"/>
    </row>
    <row r="223" spans="1:97" ht="41.25" customHeight="1" thickBot="1">
      <c r="A223" s="93" t="s">
        <v>238</v>
      </c>
      <c r="B223" s="94" t="s">
        <v>286</v>
      </c>
      <c r="C223" s="184" t="s">
        <v>358</v>
      </c>
      <c r="D223" s="93" t="s">
        <v>51</v>
      </c>
      <c r="E223" s="92">
        <v>560</v>
      </c>
      <c r="F223" s="81">
        <f>TRUNC(F224,2)</f>
        <v>16.07</v>
      </c>
      <c r="G223" s="103">
        <f t="shared" ref="G223:G228" si="11">TRUNC(E223*F223,2)</f>
        <v>8999.2000000000007</v>
      </c>
      <c r="CS223"/>
    </row>
    <row r="224" spans="1:97" ht="30">
      <c r="B224" s="88" t="s">
        <v>104</v>
      </c>
      <c r="C224" s="181" t="s">
        <v>404</v>
      </c>
      <c r="D224" s="46" t="s">
        <v>51</v>
      </c>
      <c r="E224">
        <v>1</v>
      </c>
      <c r="F224" s="105">
        <f>G229</f>
        <v>16.07</v>
      </c>
      <c r="G224" s="104">
        <f t="shared" si="11"/>
        <v>16.07</v>
      </c>
      <c r="CS224"/>
    </row>
    <row r="225" spans="1:97">
      <c r="B225" s="88" t="s">
        <v>285</v>
      </c>
      <c r="C225" s="181" t="s">
        <v>479</v>
      </c>
      <c r="D225" s="46" t="s">
        <v>1</v>
      </c>
      <c r="E225">
        <v>0.15</v>
      </c>
      <c r="F225">
        <v>3.2</v>
      </c>
      <c r="G225" s="104">
        <f t="shared" si="11"/>
        <v>0.48</v>
      </c>
      <c r="CS225"/>
    </row>
    <row r="226" spans="1:97">
      <c r="B226" s="88" t="s">
        <v>135</v>
      </c>
      <c r="C226" s="181" t="s">
        <v>480</v>
      </c>
      <c r="D226" s="46" t="s">
        <v>51</v>
      </c>
      <c r="E226">
        <v>1.05</v>
      </c>
      <c r="F226">
        <f>TRUNC(11.63,2)</f>
        <v>11.63</v>
      </c>
      <c r="G226" s="104">
        <f t="shared" si="11"/>
        <v>12.21</v>
      </c>
      <c r="CS226"/>
    </row>
    <row r="227" spans="1:97">
      <c r="B227" s="88" t="s">
        <v>39</v>
      </c>
      <c r="C227" s="181" t="s">
        <v>383</v>
      </c>
      <c r="D227" s="46" t="s">
        <v>3</v>
      </c>
      <c r="E227">
        <v>8.2400000000000001E-2</v>
      </c>
      <c r="F227">
        <f>TRUNC(16.55,2)</f>
        <v>16.55</v>
      </c>
      <c r="G227" s="104">
        <f t="shared" si="11"/>
        <v>1.36</v>
      </c>
      <c r="CS227"/>
    </row>
    <row r="228" spans="1:97">
      <c r="B228" s="88" t="s">
        <v>125</v>
      </c>
      <c r="C228" s="181" t="s">
        <v>384</v>
      </c>
      <c r="D228" s="46" t="s">
        <v>3</v>
      </c>
      <c r="E228">
        <v>8.2400000000000001E-2</v>
      </c>
      <c r="F228">
        <f>TRUNC(24.61,2)</f>
        <v>24.61</v>
      </c>
      <c r="G228" s="104">
        <f t="shared" si="11"/>
        <v>2.02</v>
      </c>
      <c r="CS228"/>
    </row>
    <row r="229" spans="1:97" ht="15.75" thickBot="1">
      <c r="B229" s="88"/>
      <c r="C229" s="182"/>
      <c r="E229" t="s">
        <v>4</v>
      </c>
      <c r="G229" s="104">
        <f>TRUNC(SUM(G225:G228),2)</f>
        <v>16.07</v>
      </c>
      <c r="CS229"/>
    </row>
    <row r="230" spans="1:97" ht="30.75" thickBot="1">
      <c r="A230" s="93" t="s">
        <v>241</v>
      </c>
      <c r="B230" s="94" t="s">
        <v>243</v>
      </c>
      <c r="C230" s="184" t="s">
        <v>595</v>
      </c>
      <c r="D230" s="93" t="s">
        <v>6</v>
      </c>
      <c r="E230" s="92">
        <v>9</v>
      </c>
      <c r="F230" s="81">
        <f>TRUNC(F231,2)</f>
        <v>49.13</v>
      </c>
      <c r="G230" s="103">
        <f>TRUNC(E230*F230,2)</f>
        <v>442.17</v>
      </c>
      <c r="CS230"/>
    </row>
    <row r="231" spans="1:97">
      <c r="B231" s="88" t="s">
        <v>243</v>
      </c>
      <c r="C231" s="181" t="s">
        <v>481</v>
      </c>
      <c r="D231" s="46" t="s">
        <v>6</v>
      </c>
      <c r="E231">
        <v>1</v>
      </c>
      <c r="F231" s="105">
        <f>G233</f>
        <v>49.13</v>
      </c>
      <c r="G231" s="104">
        <f>TRUNC(E231*F231,2)</f>
        <v>49.13</v>
      </c>
      <c r="CS231"/>
    </row>
    <row r="232" spans="1:97">
      <c r="B232" s="88" t="s">
        <v>287</v>
      </c>
      <c r="C232" s="181" t="s">
        <v>482</v>
      </c>
      <c r="D232" s="46" t="s">
        <v>6</v>
      </c>
      <c r="E232">
        <v>1</v>
      </c>
      <c r="F232">
        <f>TRUNC(49.13,2)</f>
        <v>49.13</v>
      </c>
      <c r="G232" s="104">
        <f>TRUNC(E232*F232,2)</f>
        <v>49.13</v>
      </c>
      <c r="CS232"/>
    </row>
    <row r="233" spans="1:97" ht="15.75" thickBot="1">
      <c r="B233" s="88"/>
      <c r="C233" s="182"/>
      <c r="E233" t="s">
        <v>4</v>
      </c>
      <c r="G233" s="104">
        <f>TRUNC(SUM(G232:G232),2)</f>
        <v>49.13</v>
      </c>
      <c r="CS233"/>
    </row>
    <row r="234" spans="1:97" ht="45.75" thickBot="1">
      <c r="A234" s="93" t="s">
        <v>242</v>
      </c>
      <c r="B234" s="94" t="s">
        <v>289</v>
      </c>
      <c r="C234" s="184" t="s">
        <v>483</v>
      </c>
      <c r="D234" s="93" t="s">
        <v>6</v>
      </c>
      <c r="E234" s="92">
        <v>2</v>
      </c>
      <c r="F234" s="81">
        <f>TRUNC(F235,2)</f>
        <v>176.72</v>
      </c>
      <c r="G234" s="103">
        <f>TRUNC(E234*F234,2)</f>
        <v>353.44</v>
      </c>
      <c r="CS234"/>
    </row>
    <row r="235" spans="1:97" ht="45">
      <c r="B235" s="88" t="s">
        <v>244</v>
      </c>
      <c r="C235" s="181" t="s">
        <v>484</v>
      </c>
      <c r="D235" s="46" t="s">
        <v>6</v>
      </c>
      <c r="E235">
        <v>1</v>
      </c>
      <c r="F235" s="105">
        <f>G238</f>
        <v>176.72</v>
      </c>
      <c r="G235" s="104">
        <f>TRUNC(E235*F235,2)</f>
        <v>176.72</v>
      </c>
      <c r="CS235"/>
    </row>
    <row r="236" spans="1:97" ht="30">
      <c r="B236" s="88" t="s">
        <v>245</v>
      </c>
      <c r="C236" s="181" t="s">
        <v>485</v>
      </c>
      <c r="D236" s="46" t="s">
        <v>6</v>
      </c>
      <c r="E236">
        <v>1.6</v>
      </c>
      <c r="F236">
        <f>TRUNC(109,2)</f>
        <v>109</v>
      </c>
      <c r="G236" s="104">
        <f>TRUNC(E236*F236,2)</f>
        <v>174.4</v>
      </c>
      <c r="CS236"/>
    </row>
    <row r="237" spans="1:97">
      <c r="B237" s="88" t="s">
        <v>288</v>
      </c>
      <c r="C237" s="181" t="s">
        <v>486</v>
      </c>
      <c r="D237" s="46" t="s">
        <v>6</v>
      </c>
      <c r="E237">
        <f>0.3/6</f>
        <v>4.9999999999999996E-2</v>
      </c>
      <c r="F237">
        <v>46.4893</v>
      </c>
      <c r="G237" s="104">
        <f>TRUNC(E237*F237,2)</f>
        <v>2.3199999999999998</v>
      </c>
      <c r="CS237"/>
    </row>
    <row r="238" spans="1:97" ht="15.75" thickBot="1">
      <c r="B238" s="88"/>
      <c r="C238" s="182"/>
      <c r="E238" t="s">
        <v>4</v>
      </c>
      <c r="G238" s="104">
        <f>TRUNC(SUM(G236:G237),2)</f>
        <v>176.72</v>
      </c>
      <c r="CS238"/>
    </row>
    <row r="239" spans="1:97" s="141" customFormat="1" ht="30.75" thickBot="1">
      <c r="A239" s="136" t="s">
        <v>246</v>
      </c>
      <c r="B239" s="137" t="s">
        <v>279</v>
      </c>
      <c r="C239" s="183" t="s">
        <v>487</v>
      </c>
      <c r="D239" s="136" t="s">
        <v>1</v>
      </c>
      <c r="E239" s="138">
        <v>1.6</v>
      </c>
      <c r="F239" s="138">
        <f>TRUNC(F240,2)</f>
        <v>115.07</v>
      </c>
      <c r="G239" s="139">
        <f>TRUNC(E239*F239,2)</f>
        <v>184.11</v>
      </c>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M239" s="140"/>
      <c r="AN239" s="140"/>
      <c r="AO239" s="140"/>
      <c r="AP239" s="140"/>
      <c r="AQ239" s="140"/>
      <c r="AR239" s="140"/>
      <c r="AS239" s="140"/>
      <c r="AT239" s="140"/>
      <c r="AU239" s="140"/>
      <c r="AV239" s="140"/>
      <c r="AW239" s="140"/>
      <c r="AX239" s="140"/>
      <c r="AY239" s="140"/>
      <c r="AZ239" s="140"/>
      <c r="BA239" s="140"/>
      <c r="BB239" s="140"/>
      <c r="BC239" s="140"/>
      <c r="BD239" s="140"/>
      <c r="BE239" s="140"/>
      <c r="BF239" s="140"/>
      <c r="BG239" s="140"/>
      <c r="BH239" s="140"/>
      <c r="BI239" s="140"/>
      <c r="BJ239" s="140"/>
      <c r="BK239" s="140"/>
      <c r="BL239" s="140"/>
      <c r="BM239" s="140"/>
      <c r="BN239" s="140"/>
      <c r="BO239" s="140"/>
      <c r="BP239" s="140"/>
      <c r="BQ239" s="140"/>
      <c r="BR239" s="140"/>
      <c r="BS239" s="140"/>
      <c r="BT239" s="140"/>
      <c r="BU239" s="140"/>
      <c r="BV239" s="140"/>
      <c r="BW239" s="140"/>
      <c r="BX239" s="140"/>
      <c r="BY239" s="140"/>
      <c r="BZ239" s="140"/>
      <c r="CA239" s="140"/>
      <c r="CB239" s="140"/>
      <c r="CC239" s="140"/>
      <c r="CD239" s="140"/>
      <c r="CE239" s="140"/>
      <c r="CF239" s="140"/>
      <c r="CG239" s="140"/>
      <c r="CH239" s="140"/>
      <c r="CI239" s="140"/>
      <c r="CJ239" s="140"/>
      <c r="CK239" s="140"/>
      <c r="CL239" s="140"/>
      <c r="CM239" s="140"/>
      <c r="CN239" s="140"/>
      <c r="CO239" s="140"/>
      <c r="CP239" s="140"/>
      <c r="CQ239" s="140"/>
      <c r="CR239" s="140"/>
    </row>
    <row r="240" spans="1:97" ht="45">
      <c r="B240" s="88" t="s">
        <v>277</v>
      </c>
      <c r="C240" s="181" t="s">
        <v>488</v>
      </c>
      <c r="D240" s="46" t="s">
        <v>1</v>
      </c>
      <c r="E240">
        <v>1</v>
      </c>
      <c r="F240" s="105">
        <f>G244</f>
        <v>115.07</v>
      </c>
      <c r="G240" s="104">
        <f>TRUNC(E240*F240,2)</f>
        <v>115.07</v>
      </c>
      <c r="CS240"/>
    </row>
    <row r="241" spans="1:97">
      <c r="B241" s="88" t="s">
        <v>278</v>
      </c>
      <c r="C241" s="181" t="s">
        <v>489</v>
      </c>
      <c r="D241" s="46" t="s">
        <v>1</v>
      </c>
      <c r="E241">
        <v>1.05</v>
      </c>
      <c r="F241">
        <v>90</v>
      </c>
      <c r="G241" s="104">
        <f>TRUNC(E241*F241,2)</f>
        <v>94.5</v>
      </c>
      <c r="CS241"/>
    </row>
    <row r="242" spans="1:97">
      <c r="B242" s="88" t="s">
        <v>194</v>
      </c>
      <c r="C242" s="181" t="s">
        <v>478</v>
      </c>
      <c r="D242" s="46" t="s">
        <v>3</v>
      </c>
      <c r="E242">
        <v>0.5</v>
      </c>
      <c r="F242">
        <f>TRUNC(24.61,2)</f>
        <v>24.61</v>
      </c>
      <c r="G242" s="104">
        <f>TRUNC(E242*F242,2)</f>
        <v>12.3</v>
      </c>
      <c r="CS242"/>
    </row>
    <row r="243" spans="1:97">
      <c r="B243" s="88" t="s">
        <v>39</v>
      </c>
      <c r="C243" s="181" t="s">
        <v>383</v>
      </c>
      <c r="D243" s="46" t="s">
        <v>3</v>
      </c>
      <c r="E243">
        <v>0.5</v>
      </c>
      <c r="F243">
        <f>TRUNC(16.55,2)</f>
        <v>16.55</v>
      </c>
      <c r="G243" s="104">
        <f>TRUNC(E243*F243,2)</f>
        <v>8.27</v>
      </c>
      <c r="CS243"/>
    </row>
    <row r="244" spans="1:97">
      <c r="B244" s="88"/>
      <c r="C244" s="182"/>
      <c r="E244" t="s">
        <v>4</v>
      </c>
      <c r="G244" s="104">
        <f>TRUNC(SUM(G241:G243),2)</f>
        <v>115.07</v>
      </c>
      <c r="CS244"/>
    </row>
    <row r="245" spans="1:97" ht="30">
      <c r="A245" s="93" t="s">
        <v>572</v>
      </c>
      <c r="B245" s="94" t="s">
        <v>578</v>
      </c>
      <c r="C245" s="188" t="s">
        <v>581</v>
      </c>
      <c r="D245" s="93" t="s">
        <v>577</v>
      </c>
      <c r="E245" s="92">
        <v>21</v>
      </c>
      <c r="F245" s="103">
        <f>TRUNC((F246+G251),2)</f>
        <v>25.82</v>
      </c>
      <c r="G245" s="103">
        <f>TRUNC(E245*F245,2)</f>
        <v>542.22</v>
      </c>
      <c r="CS245"/>
    </row>
    <row r="246" spans="1:97" ht="45">
      <c r="B246" s="46" t="s">
        <v>558</v>
      </c>
      <c r="C246" s="1" t="s">
        <v>559</v>
      </c>
      <c r="D246" s="46" t="s">
        <v>1</v>
      </c>
      <c r="E246">
        <v>1</v>
      </c>
      <c r="F246" s="155">
        <f>G250</f>
        <v>7.88</v>
      </c>
      <c r="G246" s="105">
        <f>TRUNC(E246*F246,2)</f>
        <v>7.88</v>
      </c>
    </row>
    <row r="247" spans="1:97">
      <c r="B247" s="46" t="s">
        <v>579</v>
      </c>
      <c r="C247" s="1" t="s">
        <v>580</v>
      </c>
      <c r="D247" s="46" t="s">
        <v>2</v>
      </c>
      <c r="E247">
        <v>1</v>
      </c>
      <c r="F247">
        <v>12.2194</v>
      </c>
      <c r="G247" s="105">
        <f>TRUNC(E247*F247,2)</f>
        <v>12.21</v>
      </c>
    </row>
    <row r="248" spans="1:97">
      <c r="B248" s="46" t="s">
        <v>39</v>
      </c>
      <c r="C248" s="1" t="s">
        <v>560</v>
      </c>
      <c r="D248" s="46" t="s">
        <v>3</v>
      </c>
      <c r="E248">
        <v>0.2</v>
      </c>
      <c r="F248" s="105">
        <f>TRUNC(16.55,2)</f>
        <v>16.55</v>
      </c>
      <c r="G248" s="105">
        <f>TRUNC(E248*F248,2)</f>
        <v>3.31</v>
      </c>
    </row>
    <row r="249" spans="1:97">
      <c r="B249" s="46" t="s">
        <v>129</v>
      </c>
      <c r="C249" s="1" t="s">
        <v>561</v>
      </c>
      <c r="D249" s="46" t="s">
        <v>3</v>
      </c>
      <c r="E249">
        <v>0.2</v>
      </c>
      <c r="F249" s="105">
        <f>TRUNC(22.86,2)</f>
        <v>22.86</v>
      </c>
      <c r="G249" s="105">
        <f>TRUNC(E249*F249,2)</f>
        <v>4.57</v>
      </c>
    </row>
    <row r="250" spans="1:97">
      <c r="E250" t="s">
        <v>4</v>
      </c>
      <c r="F250" s="105"/>
      <c r="G250" s="105">
        <f>TRUNC(SUM(G248:G249),2)</f>
        <v>7.88</v>
      </c>
    </row>
    <row r="251" spans="1:97" ht="30">
      <c r="B251" s="46" t="s">
        <v>573</v>
      </c>
      <c r="C251" s="1" t="s">
        <v>564</v>
      </c>
      <c r="D251" s="46" t="s">
        <v>6</v>
      </c>
      <c r="E251">
        <v>2</v>
      </c>
      <c r="F251" s="105">
        <f>G256</f>
        <v>8.9700000000000006</v>
      </c>
      <c r="G251" s="155">
        <f>TRUNC(E251*F251,2)</f>
        <v>17.940000000000001</v>
      </c>
    </row>
    <row r="252" spans="1:97" ht="30">
      <c r="B252" s="46" t="s">
        <v>297</v>
      </c>
      <c r="C252" s="1" t="s">
        <v>565</v>
      </c>
      <c r="D252" s="46" t="s">
        <v>2</v>
      </c>
      <c r="E252">
        <v>0.04</v>
      </c>
      <c r="F252">
        <f>TRUNC(19.61,2)</f>
        <v>19.61</v>
      </c>
      <c r="G252" s="105">
        <f>TRUNC(E252*F252,2)</f>
        <v>0.78</v>
      </c>
    </row>
    <row r="253" spans="1:97">
      <c r="B253" s="46" t="s">
        <v>132</v>
      </c>
      <c r="C253" s="1" t="s">
        <v>574</v>
      </c>
      <c r="D253" s="46" t="s">
        <v>3</v>
      </c>
      <c r="E253">
        <v>0.18540000000000001</v>
      </c>
      <c r="F253">
        <f>TRUNC(24.61,2)</f>
        <v>24.61</v>
      </c>
      <c r="G253" s="105">
        <f>TRUNC(E253*F253,2)</f>
        <v>4.5599999999999996</v>
      </c>
    </row>
    <row r="254" spans="1:97">
      <c r="B254" s="46" t="s">
        <v>133</v>
      </c>
      <c r="C254" s="1" t="s">
        <v>575</v>
      </c>
      <c r="D254" s="46" t="s">
        <v>3</v>
      </c>
      <c r="E254">
        <v>0.1545</v>
      </c>
      <c r="F254">
        <f>TRUNC(17.43,2)</f>
        <v>17.43</v>
      </c>
      <c r="G254" s="105">
        <f>TRUNC(E254*F254,2)</f>
        <v>2.69</v>
      </c>
    </row>
    <row r="255" spans="1:97">
      <c r="B255" s="46" t="s">
        <v>298</v>
      </c>
      <c r="C255" s="1" t="s">
        <v>576</v>
      </c>
      <c r="D255" s="46" t="s">
        <v>3</v>
      </c>
      <c r="E255">
        <v>0.05</v>
      </c>
      <c r="F255">
        <f>TRUNC(18.8688,2)</f>
        <v>18.86</v>
      </c>
      <c r="G255" s="105">
        <f>TRUNC(E255*F255,2)</f>
        <v>0.94</v>
      </c>
    </row>
    <row r="256" spans="1:97" ht="15.75" thickBot="1">
      <c r="E256" t="s">
        <v>4</v>
      </c>
      <c r="G256" s="105">
        <f>TRUNC(SUM(G252:G255),2)</f>
        <v>8.9700000000000006</v>
      </c>
    </row>
    <row r="257" spans="1:97" s="41" customFormat="1" ht="15.75" thickBot="1">
      <c r="A257" s="95" t="s">
        <v>33</v>
      </c>
      <c r="B257" s="96"/>
      <c r="C257" s="185"/>
      <c r="D257" s="95"/>
      <c r="E257" s="98"/>
      <c r="F257" s="98" t="s">
        <v>217</v>
      </c>
      <c r="G257" s="82">
        <f>G205+G210+G216+G223+G230+G234+G239+G245</f>
        <v>27434.16</v>
      </c>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70"/>
      <c r="CH257" s="70"/>
      <c r="CI257" s="70"/>
      <c r="CJ257" s="70"/>
      <c r="CK257" s="70"/>
      <c r="CL257" s="70"/>
      <c r="CM257" s="70"/>
      <c r="CN257" s="70"/>
      <c r="CO257" s="70"/>
      <c r="CP257" s="70"/>
      <c r="CQ257" s="70"/>
      <c r="CR257" s="70"/>
    </row>
    <row r="258" spans="1:97" s="41" customFormat="1" ht="15.75" thickBot="1">
      <c r="A258" s="95" t="s">
        <v>77</v>
      </c>
      <c r="B258" s="96"/>
      <c r="C258" s="164" t="s">
        <v>361</v>
      </c>
      <c r="D258" s="95" t="s">
        <v>49</v>
      </c>
      <c r="E258" s="98"/>
      <c r="F258" s="98"/>
      <c r="G258" s="82"/>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c r="BZ258" s="70"/>
      <c r="CA258" s="70"/>
      <c r="CB258" s="70"/>
      <c r="CC258" s="70"/>
      <c r="CD258" s="70"/>
      <c r="CE258" s="70"/>
      <c r="CF258" s="70"/>
      <c r="CG258" s="70"/>
      <c r="CH258" s="70"/>
      <c r="CI258" s="70"/>
      <c r="CJ258" s="70"/>
      <c r="CK258" s="70"/>
      <c r="CL258" s="70"/>
      <c r="CM258" s="70"/>
      <c r="CN258" s="70"/>
      <c r="CO258" s="70"/>
      <c r="CP258" s="70"/>
      <c r="CQ258" s="70"/>
      <c r="CR258" s="70"/>
    </row>
    <row r="259" spans="1:97" ht="15.75" thickBot="1">
      <c r="A259" s="93" t="s">
        <v>79</v>
      </c>
      <c r="B259" s="94" t="s">
        <v>594</v>
      </c>
      <c r="C259" s="163" t="s">
        <v>596</v>
      </c>
      <c r="D259" s="93" t="s">
        <v>6</v>
      </c>
      <c r="E259" s="92">
        <v>8</v>
      </c>
      <c r="F259" s="142">
        <f>TRUNC(F260,2)</f>
        <v>355.72</v>
      </c>
      <c r="G259" s="103">
        <f t="shared" ref="G259:G265" si="12">TRUNC(E259*F259,2)</f>
        <v>2845.76</v>
      </c>
      <c r="CS259"/>
    </row>
    <row r="260" spans="1:97" ht="30">
      <c r="B260" s="88" t="s">
        <v>582</v>
      </c>
      <c r="C260" s="182" t="s">
        <v>583</v>
      </c>
      <c r="D260" s="46" t="s">
        <v>6</v>
      </c>
      <c r="E260">
        <v>1</v>
      </c>
      <c r="F260" s="105">
        <f>G266</f>
        <v>355.72</v>
      </c>
      <c r="G260" s="104">
        <f t="shared" si="12"/>
        <v>355.72</v>
      </c>
      <c r="CS260"/>
    </row>
    <row r="261" spans="1:97">
      <c r="B261" s="88" t="s">
        <v>287</v>
      </c>
      <c r="C261" s="182" t="s">
        <v>584</v>
      </c>
      <c r="D261" s="46" t="s">
        <v>6</v>
      </c>
      <c r="E261">
        <v>1</v>
      </c>
      <c r="F261">
        <v>300</v>
      </c>
      <c r="G261" s="104">
        <f t="shared" si="12"/>
        <v>300</v>
      </c>
      <c r="CS261"/>
    </row>
    <row r="262" spans="1:97">
      <c r="B262" s="88" t="s">
        <v>585</v>
      </c>
      <c r="C262" s="182" t="s">
        <v>586</v>
      </c>
      <c r="D262" s="46" t="s">
        <v>6</v>
      </c>
      <c r="E262">
        <v>1.4E-2</v>
      </c>
      <c r="F262">
        <f>TRUNC(7.35,2)</f>
        <v>7.35</v>
      </c>
      <c r="G262" s="104">
        <f t="shared" si="12"/>
        <v>0.1</v>
      </c>
      <c r="CS262"/>
    </row>
    <row r="263" spans="1:97">
      <c r="B263" s="88" t="s">
        <v>587</v>
      </c>
      <c r="C263" s="182" t="s">
        <v>588</v>
      </c>
      <c r="D263" s="46" t="s">
        <v>3</v>
      </c>
      <c r="E263">
        <v>0.23810000000000001</v>
      </c>
      <c r="F263">
        <f>TRUNC(30.08,2)</f>
        <v>30.08</v>
      </c>
      <c r="G263" s="104">
        <f t="shared" si="12"/>
        <v>7.16</v>
      </c>
      <c r="CS263"/>
    </row>
    <row r="264" spans="1:97">
      <c r="B264" s="88" t="s">
        <v>589</v>
      </c>
      <c r="C264" s="182" t="s">
        <v>590</v>
      </c>
      <c r="D264" s="46" t="s">
        <v>3</v>
      </c>
      <c r="E264">
        <v>0.23810000000000001</v>
      </c>
      <c r="F264">
        <f>TRUNC(23.24,2)</f>
        <v>23.24</v>
      </c>
      <c r="G264" s="104">
        <f t="shared" si="12"/>
        <v>5.53</v>
      </c>
      <c r="CS264"/>
    </row>
    <row r="265" spans="1:97" ht="45">
      <c r="B265" s="88" t="s">
        <v>591</v>
      </c>
      <c r="C265" s="182" t="s">
        <v>592</v>
      </c>
      <c r="D265" s="46" t="s">
        <v>593</v>
      </c>
      <c r="E265">
        <v>0.23880000000000001</v>
      </c>
      <c r="F265">
        <f>TRUNC(179.79,2)</f>
        <v>179.79</v>
      </c>
      <c r="G265" s="104">
        <f t="shared" si="12"/>
        <v>42.93</v>
      </c>
      <c r="CS265"/>
    </row>
    <row r="266" spans="1:97" ht="15.75" thickBot="1">
      <c r="B266" s="88"/>
      <c r="C266" s="182"/>
      <c r="E266" t="s">
        <v>4</v>
      </c>
      <c r="G266" s="104">
        <f>TRUNC(SUM(G261:G265),2)</f>
        <v>355.72</v>
      </c>
      <c r="CS266"/>
    </row>
    <row r="267" spans="1:97" ht="30.75" thickBot="1">
      <c r="A267" s="93" t="s">
        <v>80</v>
      </c>
      <c r="B267" s="94" t="s">
        <v>290</v>
      </c>
      <c r="C267" s="184" t="s">
        <v>362</v>
      </c>
      <c r="D267" s="93" t="s">
        <v>6</v>
      </c>
      <c r="E267" s="92">
        <v>4</v>
      </c>
      <c r="F267" s="81">
        <f>TRUNC(F268,2)</f>
        <v>96.38</v>
      </c>
      <c r="G267" s="103">
        <f t="shared" ref="G267:G273" si="13">TRUNC(E267*F267,2)</f>
        <v>385.52</v>
      </c>
      <c r="CS267"/>
    </row>
    <row r="268" spans="1:97" ht="30">
      <c r="B268" s="88" t="s">
        <v>290</v>
      </c>
      <c r="C268" s="181" t="s">
        <v>362</v>
      </c>
      <c r="D268" s="46" t="s">
        <v>6</v>
      </c>
      <c r="E268">
        <v>1</v>
      </c>
      <c r="F268" s="105">
        <f>G274</f>
        <v>96.38</v>
      </c>
      <c r="G268" s="104">
        <f t="shared" si="13"/>
        <v>96.38</v>
      </c>
      <c r="CS268"/>
    </row>
    <row r="269" spans="1:97">
      <c r="B269" s="88" t="s">
        <v>291</v>
      </c>
      <c r="C269" s="181" t="s">
        <v>491</v>
      </c>
      <c r="D269" s="46" t="s">
        <v>6</v>
      </c>
      <c r="E269">
        <v>1</v>
      </c>
      <c r="F269">
        <f>TRUNC(52.68,2)</f>
        <v>52.68</v>
      </c>
      <c r="G269" s="104">
        <f t="shared" si="13"/>
        <v>52.68</v>
      </c>
      <c r="CS269"/>
    </row>
    <row r="270" spans="1:97">
      <c r="B270" s="88" t="s">
        <v>167</v>
      </c>
      <c r="C270" s="181" t="s">
        <v>437</v>
      </c>
      <c r="D270" s="46" t="s">
        <v>3</v>
      </c>
      <c r="E270">
        <v>5.9499999999999997E-2</v>
      </c>
      <c r="F270">
        <f>TRUNC(22.56,2)</f>
        <v>22.56</v>
      </c>
      <c r="G270" s="104">
        <f t="shared" si="13"/>
        <v>1.34</v>
      </c>
      <c r="CS270"/>
    </row>
    <row r="271" spans="1:97">
      <c r="B271" s="88" t="s">
        <v>168</v>
      </c>
      <c r="C271" s="181" t="s">
        <v>438</v>
      </c>
      <c r="D271" s="46" t="s">
        <v>3</v>
      </c>
      <c r="E271">
        <v>5.9499999999999997E-2</v>
      </c>
      <c r="F271">
        <f>TRUNC(28.64,2)</f>
        <v>28.64</v>
      </c>
      <c r="G271" s="104">
        <f t="shared" si="13"/>
        <v>1.7</v>
      </c>
      <c r="CS271"/>
    </row>
    <row r="272" spans="1:97" ht="30">
      <c r="B272" s="88" t="s">
        <v>197</v>
      </c>
      <c r="C272" s="181" t="s">
        <v>492</v>
      </c>
      <c r="D272" s="46" t="s">
        <v>0</v>
      </c>
      <c r="E272">
        <v>3.5999999999999997E-2</v>
      </c>
      <c r="F272">
        <f>TRUNC(243.36,2)</f>
        <v>243.36</v>
      </c>
      <c r="G272" s="104">
        <f t="shared" si="13"/>
        <v>8.76</v>
      </c>
      <c r="CS272"/>
    </row>
    <row r="273" spans="1:97" ht="30">
      <c r="B273" s="88" t="s">
        <v>292</v>
      </c>
      <c r="C273" s="181" t="s">
        <v>493</v>
      </c>
      <c r="D273" s="46" t="s">
        <v>0</v>
      </c>
      <c r="E273">
        <v>9.1000000000000004E-3</v>
      </c>
      <c r="F273">
        <f>TRUNC(3506.28,2)</f>
        <v>3506.28</v>
      </c>
      <c r="G273" s="104">
        <f t="shared" si="13"/>
        <v>31.9</v>
      </c>
      <c r="CS273"/>
    </row>
    <row r="274" spans="1:97" ht="15.75" thickBot="1">
      <c r="B274" s="88"/>
      <c r="C274" s="182"/>
      <c r="E274" t="s">
        <v>4</v>
      </c>
      <c r="G274" s="104">
        <f>TRUNC(SUM(G269:G273),2)</f>
        <v>96.38</v>
      </c>
      <c r="CS274"/>
    </row>
    <row r="275" spans="1:97" s="154" customFormat="1" ht="94.5" thickBot="1">
      <c r="A275" s="150" t="s">
        <v>310</v>
      </c>
      <c r="B275" s="151" t="s">
        <v>534</v>
      </c>
      <c r="C275" s="187" t="s">
        <v>535</v>
      </c>
      <c r="D275" s="150" t="s">
        <v>320</v>
      </c>
      <c r="E275" s="152">
        <v>4</v>
      </c>
      <c r="F275" s="153">
        <f>TRUNC(G276+G282+G287,2)</f>
        <v>40.53</v>
      </c>
      <c r="G275" s="153">
        <f t="shared" ref="G275:G280" si="14">TRUNC(E275*F275,2)</f>
        <v>162.12</v>
      </c>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row>
    <row r="276" spans="1:97">
      <c r="B276" s="88" t="s">
        <v>526</v>
      </c>
      <c r="C276" s="181" t="s">
        <v>527</v>
      </c>
      <c r="D276" s="46" t="s">
        <v>6</v>
      </c>
      <c r="E276">
        <v>1</v>
      </c>
      <c r="F276" s="105">
        <f>TRUNC(28.295298,2)</f>
        <v>28.29</v>
      </c>
      <c r="G276" s="104">
        <f t="shared" si="14"/>
        <v>28.29</v>
      </c>
      <c r="CS276"/>
    </row>
    <row r="277" spans="1:97">
      <c r="B277" s="88" t="s">
        <v>528</v>
      </c>
      <c r="C277" s="181" t="s">
        <v>529</v>
      </c>
      <c r="D277" s="46" t="s">
        <v>6</v>
      </c>
      <c r="E277">
        <v>1</v>
      </c>
      <c r="F277" s="105">
        <f>TRUNC(16.72,2)</f>
        <v>16.72</v>
      </c>
      <c r="G277" s="104">
        <f t="shared" si="14"/>
        <v>16.72</v>
      </c>
      <c r="CS277"/>
    </row>
    <row r="278" spans="1:97">
      <c r="B278" s="88" t="s">
        <v>167</v>
      </c>
      <c r="C278" s="181" t="s">
        <v>530</v>
      </c>
      <c r="D278" s="46" t="s">
        <v>3</v>
      </c>
      <c r="E278">
        <v>0.16930000000000001</v>
      </c>
      <c r="F278" s="105">
        <f>TRUNC(22.56,2)</f>
        <v>22.56</v>
      </c>
      <c r="G278" s="104">
        <f t="shared" si="14"/>
        <v>3.81</v>
      </c>
      <c r="CS278"/>
    </row>
    <row r="279" spans="1:97">
      <c r="B279" s="88" t="s">
        <v>168</v>
      </c>
      <c r="C279" s="181" t="s">
        <v>531</v>
      </c>
      <c r="D279" s="46" t="s">
        <v>3</v>
      </c>
      <c r="E279">
        <v>0.16930000000000001</v>
      </c>
      <c r="F279" s="105">
        <f>TRUNC(28.64,2)</f>
        <v>28.64</v>
      </c>
      <c r="G279" s="104">
        <f t="shared" si="14"/>
        <v>4.84</v>
      </c>
      <c r="CS279"/>
    </row>
    <row r="280" spans="1:97" ht="30">
      <c r="B280" s="88" t="s">
        <v>532</v>
      </c>
      <c r="C280" s="181" t="s">
        <v>533</v>
      </c>
      <c r="D280" s="46" t="s">
        <v>0</v>
      </c>
      <c r="E280">
        <v>1.41E-2</v>
      </c>
      <c r="F280" s="105">
        <f>TRUNC(206.18,2)</f>
        <v>206.18</v>
      </c>
      <c r="G280" s="104">
        <f t="shared" si="14"/>
        <v>2.9</v>
      </c>
      <c r="CS280"/>
    </row>
    <row r="281" spans="1:97">
      <c r="B281" s="88"/>
      <c r="C281" s="181"/>
      <c r="E281" t="s">
        <v>4</v>
      </c>
      <c r="F281" s="105"/>
      <c r="G281" s="104">
        <f>TRUNC(SUM(G277:G280),2)</f>
        <v>28.27</v>
      </c>
      <c r="CS281"/>
    </row>
    <row r="282" spans="1:97" ht="30">
      <c r="A282" s="46" t="s">
        <v>301</v>
      </c>
      <c r="B282" s="88" t="s">
        <v>318</v>
      </c>
      <c r="C282" s="181" t="s">
        <v>494</v>
      </c>
      <c r="D282" s="46" t="s">
        <v>1</v>
      </c>
      <c r="E282">
        <v>1</v>
      </c>
      <c r="F282" s="105">
        <f>G286</f>
        <v>8.1999999999999993</v>
      </c>
      <c r="G282" s="104">
        <f>TRUNC(E282*F282,2)</f>
        <v>8.1999999999999993</v>
      </c>
      <c r="CS282"/>
    </row>
    <row r="283" spans="1:97">
      <c r="B283" s="88" t="s">
        <v>319</v>
      </c>
      <c r="C283" s="181" t="s">
        <v>495</v>
      </c>
      <c r="D283" s="46" t="s">
        <v>6</v>
      </c>
      <c r="E283">
        <v>0.38500000000000001</v>
      </c>
      <c r="F283" s="105">
        <f>TRUNC(8.7,2)</f>
        <v>8.6999999999999993</v>
      </c>
      <c r="G283" s="104">
        <f>TRUNC(E283*F283,2)</f>
        <v>3.34</v>
      </c>
      <c r="CS283"/>
    </row>
    <row r="284" spans="1:97">
      <c r="B284" s="88" t="s">
        <v>39</v>
      </c>
      <c r="C284" s="181" t="s">
        <v>383</v>
      </c>
      <c r="D284" s="46" t="s">
        <v>3</v>
      </c>
      <c r="E284">
        <v>0.1236</v>
      </c>
      <c r="F284" s="105">
        <f>TRUNC(16.55,2)</f>
        <v>16.55</v>
      </c>
      <c r="G284" s="104">
        <f>TRUNC(E284*F284,2)</f>
        <v>2.04</v>
      </c>
      <c r="CS284"/>
    </row>
    <row r="285" spans="1:97">
      <c r="B285" s="88" t="s">
        <v>40</v>
      </c>
      <c r="C285" s="181" t="s">
        <v>490</v>
      </c>
      <c r="D285" s="46" t="s">
        <v>3</v>
      </c>
      <c r="E285">
        <v>0.1236</v>
      </c>
      <c r="F285" s="105">
        <f>TRUNC(22.86,2)</f>
        <v>22.86</v>
      </c>
      <c r="G285" s="104">
        <f>TRUNC(E285*F285,2)</f>
        <v>2.82</v>
      </c>
      <c r="CS285"/>
    </row>
    <row r="286" spans="1:97">
      <c r="B286" s="88"/>
      <c r="C286" s="182"/>
      <c r="E286" t="s">
        <v>4</v>
      </c>
      <c r="F286" s="105"/>
      <c r="G286" s="104">
        <f>TRUNC(SUM(G283:G285),2)</f>
        <v>8.1999999999999993</v>
      </c>
      <c r="CS286"/>
    </row>
    <row r="287" spans="1:97" ht="30">
      <c r="A287" s="46" t="s">
        <v>324</v>
      </c>
      <c r="B287" s="88" t="s">
        <v>321</v>
      </c>
      <c r="C287" s="181" t="s">
        <v>496</v>
      </c>
      <c r="D287" s="46" t="s">
        <v>1</v>
      </c>
      <c r="E287">
        <v>2</v>
      </c>
      <c r="F287" s="105">
        <f>G292</f>
        <v>2.02</v>
      </c>
      <c r="G287" s="104">
        <f>TRUNC(E287*F287,2)</f>
        <v>4.04</v>
      </c>
      <c r="CS287"/>
    </row>
    <row r="288" spans="1:97" s="41" customFormat="1">
      <c r="A288" s="143"/>
      <c r="B288" s="144" t="s">
        <v>322</v>
      </c>
      <c r="C288" s="186" t="s">
        <v>497</v>
      </c>
      <c r="D288" s="143" t="s">
        <v>1</v>
      </c>
      <c r="F288" s="155">
        <f>TRUNC(1.5723,2)</f>
        <v>1.57</v>
      </c>
      <c r="G288" s="145">
        <f>TRUNC(E288*F288,2)</f>
        <v>0</v>
      </c>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70"/>
      <c r="CH288" s="70"/>
      <c r="CI288" s="70"/>
      <c r="CJ288" s="70"/>
      <c r="CK288" s="70"/>
      <c r="CL288" s="70"/>
      <c r="CM288" s="70"/>
      <c r="CN288" s="70"/>
      <c r="CO288" s="70"/>
      <c r="CP288" s="70"/>
      <c r="CQ288" s="70"/>
      <c r="CR288" s="70"/>
    </row>
    <row r="289" spans="1:97">
      <c r="B289" s="88" t="s">
        <v>323</v>
      </c>
      <c r="C289" s="181" t="s">
        <v>498</v>
      </c>
      <c r="D289" s="46" t="s">
        <v>6</v>
      </c>
      <c r="E289">
        <v>1.4E-3</v>
      </c>
      <c r="F289" s="105">
        <f>TRUNC(4.22,2)</f>
        <v>4.22</v>
      </c>
      <c r="G289" s="104">
        <f>TRUNC(E289*F289,2)</f>
        <v>0</v>
      </c>
      <c r="CS289"/>
    </row>
    <row r="290" spans="1:97">
      <c r="B290" s="88" t="s">
        <v>39</v>
      </c>
      <c r="C290" s="181" t="s">
        <v>383</v>
      </c>
      <c r="D290" s="46" t="s">
        <v>3</v>
      </c>
      <c r="E290">
        <v>5.1500000000000004E-2</v>
      </c>
      <c r="F290" s="105">
        <f>TRUNC(16.55,2)</f>
        <v>16.55</v>
      </c>
      <c r="G290" s="104">
        <f>TRUNC(E290*F290,2)</f>
        <v>0.85</v>
      </c>
      <c r="CS290"/>
    </row>
    <row r="291" spans="1:97">
      <c r="B291" s="88" t="s">
        <v>40</v>
      </c>
      <c r="C291" s="181" t="s">
        <v>490</v>
      </c>
      <c r="D291" s="46" t="s">
        <v>3</v>
      </c>
      <c r="E291">
        <v>5.1500000000000004E-2</v>
      </c>
      <c r="F291" s="105">
        <f>TRUNC(22.86,2)</f>
        <v>22.86</v>
      </c>
      <c r="G291" s="104">
        <f>TRUNC(E291*F291,2)</f>
        <v>1.17</v>
      </c>
      <c r="CS291"/>
    </row>
    <row r="292" spans="1:97" ht="15.75" thickBot="1">
      <c r="B292" s="88"/>
      <c r="C292" s="182"/>
      <c r="E292" t="s">
        <v>4</v>
      </c>
      <c r="F292" s="105"/>
      <c r="G292" s="104">
        <f>TRUNC(SUM(G288:G291),2)</f>
        <v>2.02</v>
      </c>
      <c r="CS292"/>
    </row>
    <row r="293" spans="1:97" s="154" customFormat="1" ht="19.5" thickBot="1">
      <c r="A293" s="150" t="s">
        <v>311</v>
      </c>
      <c r="B293" s="151" t="s">
        <v>327</v>
      </c>
      <c r="C293" s="187" t="s">
        <v>328</v>
      </c>
      <c r="D293" s="150" t="s">
        <v>320</v>
      </c>
      <c r="E293" s="152">
        <v>4</v>
      </c>
      <c r="F293" s="153">
        <f>TRUNC(F294,2)</f>
        <v>11.2</v>
      </c>
      <c r="G293" s="153">
        <f>TRUNC(E293*F293,2)</f>
        <v>44.8</v>
      </c>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row>
    <row r="294" spans="1:97" ht="30">
      <c r="B294" s="88" t="s">
        <v>325</v>
      </c>
      <c r="C294" s="181" t="s">
        <v>499</v>
      </c>
      <c r="D294" s="46" t="s">
        <v>6</v>
      </c>
      <c r="E294">
        <v>1</v>
      </c>
      <c r="F294" s="105">
        <f>TRUNC(11.20846,2)</f>
        <v>11.2</v>
      </c>
      <c r="G294" s="104">
        <f>TRUNC(E294*F294,2)</f>
        <v>11.2</v>
      </c>
      <c r="CS294"/>
    </row>
    <row r="295" spans="1:97">
      <c r="B295" s="88" t="s">
        <v>326</v>
      </c>
      <c r="C295" s="181" t="s">
        <v>500</v>
      </c>
      <c r="D295" s="46" t="s">
        <v>6</v>
      </c>
      <c r="E295">
        <v>1</v>
      </c>
      <c r="F295" s="105">
        <f>TRUNC(3.09,2)</f>
        <v>3.09</v>
      </c>
      <c r="G295" s="104">
        <f>TRUNC(E295*F295,2)</f>
        <v>3.09</v>
      </c>
      <c r="CS295"/>
    </row>
    <row r="296" spans="1:97">
      <c r="B296" s="88" t="s">
        <v>39</v>
      </c>
      <c r="C296" s="181" t="s">
        <v>383</v>
      </c>
      <c r="D296" s="46" t="s">
        <v>3</v>
      </c>
      <c r="E296">
        <v>0.20600000000000002</v>
      </c>
      <c r="F296" s="105">
        <f>TRUNC(16.55,2)</f>
        <v>16.55</v>
      </c>
      <c r="G296" s="104">
        <f>TRUNC(E296*F296,2)</f>
        <v>3.4</v>
      </c>
      <c r="CS296"/>
    </row>
    <row r="297" spans="1:97">
      <c r="B297" s="88" t="s">
        <v>40</v>
      </c>
      <c r="C297" s="181" t="s">
        <v>490</v>
      </c>
      <c r="D297" s="46" t="s">
        <v>3</v>
      </c>
      <c r="E297">
        <v>0.20600000000000002</v>
      </c>
      <c r="F297" s="105">
        <f>TRUNC(22.86,2)</f>
        <v>22.86</v>
      </c>
      <c r="G297" s="104">
        <f>TRUNC(E297*F297,2)</f>
        <v>4.7</v>
      </c>
      <c r="CS297"/>
    </row>
    <row r="298" spans="1:97" ht="15.75" thickBot="1">
      <c r="B298" s="88"/>
      <c r="C298" s="182"/>
      <c r="E298" t="s">
        <v>4</v>
      </c>
      <c r="F298" s="105"/>
      <c r="G298" s="104">
        <f>TRUNC(SUM(G295:G297),2)</f>
        <v>11.19</v>
      </c>
      <c r="CS298"/>
    </row>
    <row r="299" spans="1:97" s="41" customFormat="1" ht="15.75" thickBot="1">
      <c r="A299" s="95" t="s">
        <v>33</v>
      </c>
      <c r="B299" s="96"/>
      <c r="C299" s="185"/>
      <c r="D299" s="95"/>
      <c r="E299" s="98"/>
      <c r="F299" s="98" t="s">
        <v>218</v>
      </c>
      <c r="G299" s="82">
        <f>G259+G267+G275+G293</f>
        <v>3438.2000000000003</v>
      </c>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c r="AP299" s="70"/>
      <c r="AQ299" s="70"/>
      <c r="AR299" s="70"/>
      <c r="AS299" s="70"/>
      <c r="AT299" s="70"/>
      <c r="AU299" s="70"/>
      <c r="AV299" s="70"/>
      <c r="AW299" s="70"/>
      <c r="AX299" s="70"/>
      <c r="AY299" s="70"/>
      <c r="AZ299" s="70"/>
      <c r="BA299" s="70"/>
      <c r="BB299" s="70"/>
      <c r="BC299" s="70"/>
      <c r="BD299" s="70"/>
      <c r="BE299" s="70"/>
      <c r="BF299" s="70"/>
      <c r="BG299" s="70"/>
      <c r="BH299" s="70"/>
      <c r="BI299" s="70"/>
      <c r="BJ299" s="70"/>
      <c r="BK299" s="70"/>
      <c r="BL299" s="70"/>
      <c r="BM299" s="70"/>
      <c r="BN299" s="70"/>
      <c r="BO299" s="70"/>
      <c r="BP299" s="70"/>
      <c r="BQ299" s="70"/>
      <c r="BR299" s="70"/>
      <c r="BS299" s="70"/>
      <c r="BT299" s="70"/>
      <c r="BU299" s="70"/>
      <c r="BV299" s="70"/>
      <c r="BW299" s="70"/>
      <c r="BX299" s="70"/>
      <c r="BY299" s="70"/>
      <c r="BZ299" s="70"/>
      <c r="CA299" s="70"/>
      <c r="CB299" s="70"/>
      <c r="CC299" s="70"/>
      <c r="CD299" s="70"/>
      <c r="CE299" s="70"/>
      <c r="CF299" s="70"/>
      <c r="CG299" s="70"/>
      <c r="CH299" s="70"/>
      <c r="CI299" s="70"/>
      <c r="CJ299" s="70"/>
      <c r="CK299" s="70"/>
      <c r="CL299" s="70"/>
      <c r="CM299" s="70"/>
      <c r="CN299" s="70"/>
      <c r="CO299" s="70"/>
      <c r="CP299" s="70"/>
      <c r="CQ299" s="70"/>
      <c r="CR299" s="70"/>
    </row>
    <row r="300" spans="1:97" s="41" customFormat="1" ht="15.75" thickBot="1">
      <c r="A300" s="95" t="s">
        <v>81</v>
      </c>
      <c r="B300" s="96"/>
      <c r="C300" s="164" t="s">
        <v>363</v>
      </c>
      <c r="D300" s="95" t="s">
        <v>49</v>
      </c>
      <c r="E300" s="98"/>
      <c r="F300" s="98"/>
      <c r="G300" s="82"/>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c r="BZ300" s="70"/>
      <c r="CA300" s="70"/>
      <c r="CB300" s="70"/>
      <c r="CC300" s="70"/>
      <c r="CD300" s="70"/>
      <c r="CE300" s="70"/>
      <c r="CF300" s="70"/>
      <c r="CG300" s="70"/>
      <c r="CH300" s="70"/>
      <c r="CI300" s="70"/>
      <c r="CJ300" s="70"/>
      <c r="CK300" s="70"/>
      <c r="CL300" s="70"/>
      <c r="CM300" s="70"/>
      <c r="CN300" s="70"/>
      <c r="CO300" s="70"/>
      <c r="CP300" s="70"/>
      <c r="CQ300" s="70"/>
      <c r="CR300" s="70"/>
    </row>
    <row r="301" spans="1:97" ht="30.75" thickBot="1">
      <c r="A301" s="93" t="s">
        <v>83</v>
      </c>
      <c r="B301" s="94" t="s">
        <v>293</v>
      </c>
      <c r="C301" s="163" t="s">
        <v>597</v>
      </c>
      <c r="D301" s="93" t="s">
        <v>84</v>
      </c>
      <c r="E301" s="92">
        <v>1</v>
      </c>
      <c r="F301" s="81">
        <f>TRUNC(F302,2)</f>
        <v>2422.56</v>
      </c>
      <c r="G301" s="103">
        <f>TRUNC(E301*F301,2)</f>
        <v>2422.56</v>
      </c>
      <c r="CS301"/>
    </row>
    <row r="302" spans="1:97">
      <c r="B302" s="88" t="s">
        <v>114</v>
      </c>
      <c r="C302" s="181" t="s">
        <v>501</v>
      </c>
      <c r="D302" s="46" t="s">
        <v>84</v>
      </c>
      <c r="E302">
        <v>1</v>
      </c>
      <c r="F302">
        <f>G304</f>
        <v>2422.56</v>
      </c>
      <c r="G302" s="104">
        <f>TRUNC(E302*F302,2)</f>
        <v>2422.56</v>
      </c>
      <c r="CS302"/>
    </row>
    <row r="303" spans="1:97">
      <c r="B303" s="88" t="s">
        <v>195</v>
      </c>
      <c r="C303" s="181" t="s">
        <v>502</v>
      </c>
      <c r="D303" s="46" t="s">
        <v>6</v>
      </c>
      <c r="E303">
        <v>1</v>
      </c>
      <c r="F303">
        <f>TRUNC(2422.56,2)</f>
        <v>2422.56</v>
      </c>
      <c r="G303" s="104">
        <f>TRUNC(E303*F303,2)</f>
        <v>2422.56</v>
      </c>
      <c r="CS303"/>
    </row>
    <row r="304" spans="1:97">
      <c r="B304" s="88"/>
      <c r="C304" s="182"/>
      <c r="E304" t="s">
        <v>4</v>
      </c>
      <c r="G304" s="104">
        <f>TRUNC(SUM(G303:G303),2)</f>
        <v>2422.56</v>
      </c>
      <c r="CS304"/>
    </row>
    <row r="305" spans="1:97" ht="15.75" thickBot="1">
      <c r="B305" s="88"/>
      <c r="C305" s="182"/>
      <c r="G305" s="104"/>
      <c r="CS305"/>
    </row>
    <row r="306" spans="1:97" ht="15.75" thickBot="1">
      <c r="A306" s="93" t="s">
        <v>85</v>
      </c>
      <c r="B306" s="94" t="s">
        <v>115</v>
      </c>
      <c r="C306" s="184" t="s">
        <v>364</v>
      </c>
      <c r="D306" s="93" t="s">
        <v>84</v>
      </c>
      <c r="E306" s="92">
        <v>1</v>
      </c>
      <c r="F306" s="81">
        <f>TRUNC(F307,2)</f>
        <v>108.15</v>
      </c>
      <c r="G306" s="103">
        <f>TRUNC(E306*F306,2)</f>
        <v>108.15</v>
      </c>
      <c r="CS306"/>
    </row>
    <row r="307" spans="1:97">
      <c r="B307" s="88" t="s">
        <v>115</v>
      </c>
      <c r="C307" s="181" t="s">
        <v>364</v>
      </c>
      <c r="D307" s="46" t="s">
        <v>84</v>
      </c>
      <c r="E307">
        <v>1</v>
      </c>
      <c r="F307">
        <f>G309</f>
        <v>108.15</v>
      </c>
      <c r="G307" s="104">
        <f>TRUNC(E307*F307,2)</f>
        <v>108.15</v>
      </c>
      <c r="CS307"/>
    </row>
    <row r="308" spans="1:97">
      <c r="B308" s="88" t="s">
        <v>196</v>
      </c>
      <c r="C308" s="181" t="s">
        <v>503</v>
      </c>
      <c r="D308" s="46" t="s">
        <v>6</v>
      </c>
      <c r="E308">
        <v>1</v>
      </c>
      <c r="F308">
        <f>TRUNC(108.15,2)</f>
        <v>108.15</v>
      </c>
      <c r="G308" s="104">
        <f>TRUNC(E308*F308,2)</f>
        <v>108.15</v>
      </c>
      <c r="CS308"/>
    </row>
    <row r="309" spans="1:97" ht="15.75" thickBot="1">
      <c r="B309" s="88"/>
      <c r="C309" s="182"/>
      <c r="E309" t="s">
        <v>4</v>
      </c>
      <c r="G309" s="104">
        <f>TRUNC(SUM(G308:G308),2)</f>
        <v>108.15</v>
      </c>
      <c r="CS309"/>
    </row>
    <row r="310" spans="1:97" s="41" customFormat="1" ht="15.75" thickBot="1">
      <c r="A310" s="95" t="s">
        <v>33</v>
      </c>
      <c r="B310" s="96"/>
      <c r="C310" s="185"/>
      <c r="D310" s="95"/>
      <c r="E310" s="98"/>
      <c r="F310" s="98" t="s">
        <v>219</v>
      </c>
      <c r="G310" s="82">
        <f>G301+G306</f>
        <v>2530.71</v>
      </c>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c r="AP310" s="70"/>
      <c r="AQ310" s="70"/>
      <c r="AR310" s="70"/>
      <c r="AS310" s="70"/>
      <c r="AT310" s="70"/>
      <c r="AU310" s="70"/>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70"/>
      <c r="CD310" s="70"/>
      <c r="CE310" s="70"/>
      <c r="CF310" s="70"/>
      <c r="CG310" s="70"/>
      <c r="CH310" s="70"/>
      <c r="CI310" s="70"/>
      <c r="CJ310" s="70"/>
      <c r="CK310" s="70"/>
      <c r="CL310" s="70"/>
      <c r="CM310" s="70"/>
      <c r="CN310" s="70"/>
      <c r="CO310" s="70"/>
      <c r="CP310" s="70"/>
      <c r="CQ310" s="70"/>
      <c r="CR310" s="70"/>
    </row>
    <row r="311" spans="1:97" s="41" customFormat="1" ht="15.75" thickBot="1">
      <c r="A311" s="95" t="s">
        <v>86</v>
      </c>
      <c r="B311" s="96"/>
      <c r="C311" s="164" t="s">
        <v>365</v>
      </c>
      <c r="D311" s="95" t="s">
        <v>49</v>
      </c>
      <c r="E311" s="98"/>
      <c r="F311" s="98"/>
      <c r="G311" s="82"/>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70"/>
      <c r="AR311" s="70"/>
      <c r="AS311" s="70"/>
      <c r="AT311" s="70"/>
      <c r="AU311" s="70"/>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70"/>
      <c r="CD311" s="70"/>
      <c r="CE311" s="70"/>
      <c r="CF311" s="70"/>
      <c r="CG311" s="70"/>
      <c r="CH311" s="70"/>
      <c r="CI311" s="70"/>
      <c r="CJ311" s="70"/>
      <c r="CK311" s="70"/>
      <c r="CL311" s="70"/>
      <c r="CM311" s="70"/>
      <c r="CN311" s="70"/>
      <c r="CO311" s="70"/>
      <c r="CP311" s="70"/>
      <c r="CQ311" s="70"/>
      <c r="CR311" s="70"/>
    </row>
    <row r="312" spans="1:97" ht="30.75" thickBot="1">
      <c r="A312" s="93" t="s">
        <v>88</v>
      </c>
      <c r="B312" s="94" t="s">
        <v>313</v>
      </c>
      <c r="C312" s="163" t="s">
        <v>554</v>
      </c>
      <c r="D312" s="93" t="s">
        <v>51</v>
      </c>
      <c r="E312" s="92">
        <v>145.5</v>
      </c>
      <c r="F312" s="81">
        <f>TRUNC(F313,2)</f>
        <v>5.79</v>
      </c>
      <c r="G312" s="103">
        <f t="shared" ref="G312:G317" si="15">TRUNC(E312*F312,2)</f>
        <v>842.44</v>
      </c>
      <c r="CS312"/>
    </row>
    <row r="313" spans="1:97">
      <c r="B313" s="88" t="s">
        <v>198</v>
      </c>
      <c r="C313" s="181" t="s">
        <v>504</v>
      </c>
      <c r="D313" s="46" t="s">
        <v>51</v>
      </c>
      <c r="E313">
        <v>1</v>
      </c>
      <c r="F313">
        <f>G318</f>
        <v>5.79</v>
      </c>
      <c r="G313" s="104">
        <f t="shared" si="15"/>
        <v>5.79</v>
      </c>
      <c r="CS313"/>
    </row>
    <row r="314" spans="1:97">
      <c r="B314" s="88" t="s">
        <v>199</v>
      </c>
      <c r="C314" s="181" t="s">
        <v>505</v>
      </c>
      <c r="D314" s="46" t="s">
        <v>200</v>
      </c>
      <c r="E314">
        <v>0.16</v>
      </c>
      <c r="F314">
        <f>TRUNC(8.33,2)</f>
        <v>8.33</v>
      </c>
      <c r="G314" s="104">
        <f t="shared" si="15"/>
        <v>1.33</v>
      </c>
      <c r="CS314"/>
    </row>
    <row r="315" spans="1:97">
      <c r="B315" s="88" t="s">
        <v>312</v>
      </c>
      <c r="C315" s="181" t="s">
        <v>506</v>
      </c>
      <c r="D315" s="46" t="s">
        <v>6</v>
      </c>
      <c r="E315">
        <v>1</v>
      </c>
      <c r="F315">
        <f>TRUNC(0.64,2)</f>
        <v>0.64</v>
      </c>
      <c r="G315" s="104">
        <f t="shared" si="15"/>
        <v>0.64</v>
      </c>
      <c r="CS315"/>
    </row>
    <row r="316" spans="1:97">
      <c r="B316" s="88" t="s">
        <v>167</v>
      </c>
      <c r="C316" s="181" t="s">
        <v>437</v>
      </c>
      <c r="D316" s="46" t="s">
        <v>3</v>
      </c>
      <c r="E316">
        <f>0.014*2</f>
        <v>2.8000000000000001E-2</v>
      </c>
      <c r="F316">
        <f>TRUNC(22.56,2)</f>
        <v>22.56</v>
      </c>
      <c r="G316" s="104">
        <f t="shared" si="15"/>
        <v>0.63</v>
      </c>
      <c r="CS316"/>
    </row>
    <row r="317" spans="1:97">
      <c r="B317" s="88" t="s">
        <v>201</v>
      </c>
      <c r="C317" s="181" t="s">
        <v>507</v>
      </c>
      <c r="D317" s="46" t="s">
        <v>3</v>
      </c>
      <c r="E317">
        <f>0.054*2</f>
        <v>0.108</v>
      </c>
      <c r="F317">
        <f>TRUNC(29.61,2)</f>
        <v>29.61</v>
      </c>
      <c r="G317" s="104">
        <f t="shared" si="15"/>
        <v>3.19</v>
      </c>
      <c r="CS317"/>
    </row>
    <row r="318" spans="1:97" ht="15.75" thickBot="1">
      <c r="B318" s="88"/>
      <c r="C318" s="182"/>
      <c r="E318" t="s">
        <v>4</v>
      </c>
      <c r="G318" s="104">
        <f>TRUNC(SUM(G314:G317),2)</f>
        <v>5.79</v>
      </c>
      <c r="CS318"/>
    </row>
    <row r="319" spans="1:97" ht="15.75" thickBot="1">
      <c r="A319" s="93" t="s">
        <v>89</v>
      </c>
      <c r="B319" s="94" t="s">
        <v>116</v>
      </c>
      <c r="C319" s="184" t="s">
        <v>552</v>
      </c>
      <c r="D319" s="93" t="s">
        <v>51</v>
      </c>
      <c r="E319" s="92">
        <v>145.5</v>
      </c>
      <c r="F319" s="81">
        <f>TRUNC(F320,2)</f>
        <v>14.29</v>
      </c>
      <c r="G319" s="103">
        <f>TRUNC(E319*F319,2)</f>
        <v>2079.19</v>
      </c>
      <c r="CS319"/>
    </row>
    <row r="320" spans="1:97">
      <c r="B320" s="88" t="s">
        <v>202</v>
      </c>
      <c r="C320" s="181" t="s">
        <v>508</v>
      </c>
      <c r="D320" s="46" t="s">
        <v>51</v>
      </c>
      <c r="E320">
        <v>1</v>
      </c>
      <c r="F320">
        <f>G324</f>
        <v>14.29</v>
      </c>
      <c r="G320" s="104">
        <f>TRUNC(E320*F320,2)</f>
        <v>14.29</v>
      </c>
      <c r="CS320"/>
    </row>
    <row r="321" spans="1:97">
      <c r="B321" s="88" t="s">
        <v>203</v>
      </c>
      <c r="C321" s="181" t="s">
        <v>509</v>
      </c>
      <c r="D321" s="46" t="s">
        <v>200</v>
      </c>
      <c r="E321">
        <v>0.33</v>
      </c>
      <c r="F321">
        <f>TRUNC(21.85,2)</f>
        <v>21.85</v>
      </c>
      <c r="G321" s="104">
        <f>TRUNC(E321*F321,2)</f>
        <v>7.21</v>
      </c>
      <c r="CS321"/>
    </row>
    <row r="322" spans="1:97">
      <c r="B322" s="88" t="s">
        <v>167</v>
      </c>
      <c r="C322" s="181" t="s">
        <v>437</v>
      </c>
      <c r="D322" s="46" t="s">
        <v>3</v>
      </c>
      <c r="E322">
        <v>6.9000000000000006E-2</v>
      </c>
      <c r="F322">
        <f>TRUNC(22.56,2)</f>
        <v>22.56</v>
      </c>
      <c r="G322" s="104">
        <f>TRUNC(E322*F322,2)</f>
        <v>1.55</v>
      </c>
      <c r="CS322"/>
    </row>
    <row r="323" spans="1:97">
      <c r="B323" s="88" t="s">
        <v>201</v>
      </c>
      <c r="C323" s="181" t="s">
        <v>507</v>
      </c>
      <c r="D323" s="46" t="s">
        <v>3</v>
      </c>
      <c r="E323">
        <v>0.187</v>
      </c>
      <c r="F323">
        <f>TRUNC(29.61,2)</f>
        <v>29.61</v>
      </c>
      <c r="G323" s="104">
        <f>TRUNC(E323*F323,2)</f>
        <v>5.53</v>
      </c>
      <c r="CS323"/>
    </row>
    <row r="324" spans="1:97" ht="15.75" thickBot="1">
      <c r="B324" s="88"/>
      <c r="C324" s="182"/>
      <c r="E324" t="s">
        <v>4</v>
      </c>
      <c r="G324" s="104">
        <f>TRUNC(SUM(G321:G323),2)</f>
        <v>14.29</v>
      </c>
      <c r="CS324"/>
    </row>
    <row r="325" spans="1:97" ht="45.75" thickBot="1">
      <c r="A325" s="93" t="s">
        <v>90</v>
      </c>
      <c r="B325" s="94" t="s">
        <v>315</v>
      </c>
      <c r="C325" s="184" t="s">
        <v>551</v>
      </c>
      <c r="D325" s="93" t="s">
        <v>51</v>
      </c>
      <c r="E325" s="92">
        <v>130</v>
      </c>
      <c r="F325" s="81">
        <f>TRUNC(F326,2)</f>
        <v>22.44</v>
      </c>
      <c r="G325" s="103">
        <f t="shared" ref="G325:G332" si="16">TRUNC(E325*F325,2)</f>
        <v>2917.2</v>
      </c>
      <c r="CS325"/>
    </row>
    <row r="326" spans="1:97" ht="45">
      <c r="B326" s="88" t="s">
        <v>315</v>
      </c>
      <c r="C326" s="181" t="s">
        <v>510</v>
      </c>
      <c r="D326" s="46" t="s">
        <v>51</v>
      </c>
      <c r="E326">
        <v>1</v>
      </c>
      <c r="F326" s="105">
        <f>G333</f>
        <v>22.44</v>
      </c>
      <c r="G326" s="104">
        <f t="shared" si="16"/>
        <v>22.44</v>
      </c>
      <c r="CS326"/>
    </row>
    <row r="327" spans="1:97">
      <c r="B327" s="88" t="s">
        <v>316</v>
      </c>
      <c r="C327" s="181" t="s">
        <v>511</v>
      </c>
      <c r="D327" s="46" t="s">
        <v>123</v>
      </c>
      <c r="E327">
        <v>3.5000000000000003E-2</v>
      </c>
      <c r="F327">
        <f>TRUNC(158.44,2)</f>
        <v>158.44</v>
      </c>
      <c r="G327" s="104">
        <f t="shared" si="16"/>
        <v>5.54</v>
      </c>
      <c r="CS327"/>
    </row>
    <row r="328" spans="1:97">
      <c r="B328" s="88" t="s">
        <v>317</v>
      </c>
      <c r="C328" s="181" t="s">
        <v>512</v>
      </c>
      <c r="D328" s="46" t="s">
        <v>2</v>
      </c>
      <c r="E328">
        <v>2.5000000000000001E-2</v>
      </c>
      <c r="F328">
        <f>TRUNC(17.81,2)</f>
        <v>17.809999999999999</v>
      </c>
      <c r="G328" s="104">
        <f t="shared" si="16"/>
        <v>0.44</v>
      </c>
      <c r="CS328"/>
    </row>
    <row r="329" spans="1:97" ht="30">
      <c r="B329" s="88" t="s">
        <v>294</v>
      </c>
      <c r="C329" s="181" t="s">
        <v>513</v>
      </c>
      <c r="D329" s="46" t="s">
        <v>6</v>
      </c>
      <c r="E329">
        <v>0.05</v>
      </c>
      <c r="F329">
        <v>87.59</v>
      </c>
      <c r="G329" s="104">
        <f t="shared" si="16"/>
        <v>4.37</v>
      </c>
      <c r="CS329"/>
    </row>
    <row r="330" spans="1:97">
      <c r="B330" s="88" t="s">
        <v>314</v>
      </c>
      <c r="C330" s="181" t="s">
        <v>514</v>
      </c>
      <c r="D330" s="46" t="s">
        <v>123</v>
      </c>
      <c r="E330">
        <v>0.05</v>
      </c>
      <c r="F330">
        <f>TRUNC(81.69,2)</f>
        <v>81.69</v>
      </c>
      <c r="G330" s="104">
        <f t="shared" si="16"/>
        <v>4.08</v>
      </c>
      <c r="CS330"/>
    </row>
    <row r="331" spans="1:97">
      <c r="B331" s="88" t="s">
        <v>39</v>
      </c>
      <c r="C331" s="181" t="s">
        <v>383</v>
      </c>
      <c r="D331" s="46" t="s">
        <v>3</v>
      </c>
      <c r="E331">
        <v>0.12875</v>
      </c>
      <c r="F331">
        <f>TRUNC(16.55,2)</f>
        <v>16.55</v>
      </c>
      <c r="G331" s="104">
        <f t="shared" si="16"/>
        <v>2.13</v>
      </c>
      <c r="CS331"/>
    </row>
    <row r="332" spans="1:97">
      <c r="B332" s="88" t="s">
        <v>126</v>
      </c>
      <c r="C332" s="181" t="s">
        <v>385</v>
      </c>
      <c r="D332" s="46" t="s">
        <v>3</v>
      </c>
      <c r="E332">
        <v>0.25750000000000001</v>
      </c>
      <c r="F332">
        <f>TRUNC(22.86,2)</f>
        <v>22.86</v>
      </c>
      <c r="G332" s="104">
        <f t="shared" si="16"/>
        <v>5.88</v>
      </c>
      <c r="CS332"/>
    </row>
    <row r="333" spans="1:97" ht="15.75" thickBot="1">
      <c r="B333" s="88"/>
      <c r="C333" s="182"/>
      <c r="E333" t="s">
        <v>4</v>
      </c>
      <c r="G333" s="104">
        <f>TRUNC(SUM(G327:G332),2)</f>
        <v>22.44</v>
      </c>
      <c r="CS333"/>
    </row>
    <row r="334" spans="1:97" s="41" customFormat="1" ht="15.75" thickBot="1">
      <c r="A334" s="95" t="s">
        <v>33</v>
      </c>
      <c r="B334" s="96"/>
      <c r="C334" s="185"/>
      <c r="D334" s="95"/>
      <c r="E334" s="98"/>
      <c r="F334" s="98" t="s">
        <v>220</v>
      </c>
      <c r="G334" s="82">
        <f>G312+G319+G325</f>
        <v>5838.83</v>
      </c>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row>
    <row r="335" spans="1:97" s="41" customFormat="1" ht="15.75" thickBot="1">
      <c r="A335" s="95" t="s">
        <v>91</v>
      </c>
      <c r="B335" s="96"/>
      <c r="C335" s="164" t="s">
        <v>366</v>
      </c>
      <c r="D335" s="95" t="s">
        <v>49</v>
      </c>
      <c r="E335" s="98"/>
      <c r="F335" s="98"/>
      <c r="G335" s="82"/>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row>
    <row r="336" spans="1:97" ht="30.75" thickBot="1">
      <c r="A336" s="93" t="s">
        <v>92</v>
      </c>
      <c r="B336" s="94" t="s">
        <v>204</v>
      </c>
      <c r="C336" s="163" t="s">
        <v>367</v>
      </c>
      <c r="D336" s="93" t="s">
        <v>0</v>
      </c>
      <c r="E336" s="92">
        <v>40</v>
      </c>
      <c r="F336" s="81">
        <f>TRUNC(F337,2)</f>
        <v>23.86</v>
      </c>
      <c r="G336" s="103">
        <f>TRUNC(E336*F336,2)</f>
        <v>954.4</v>
      </c>
      <c r="CS336"/>
    </row>
    <row r="337" spans="1:97" ht="30">
      <c r="B337" s="88" t="s">
        <v>204</v>
      </c>
      <c r="C337" s="181" t="s">
        <v>367</v>
      </c>
      <c r="D337" s="46" t="s">
        <v>0</v>
      </c>
      <c r="E337">
        <v>1</v>
      </c>
      <c r="F337">
        <f>G339</f>
        <v>23.86</v>
      </c>
      <c r="G337" s="104">
        <f>TRUNC(E337*F337,2)</f>
        <v>23.86</v>
      </c>
      <c r="CS337"/>
    </row>
    <row r="338" spans="1:97">
      <c r="B338" s="88" t="s">
        <v>39</v>
      </c>
      <c r="C338" s="181" t="s">
        <v>383</v>
      </c>
      <c r="D338" s="46" t="s">
        <v>3</v>
      </c>
      <c r="E338">
        <v>1.4419999999999999</v>
      </c>
      <c r="F338">
        <f>TRUNC(16.55,2)</f>
        <v>16.55</v>
      </c>
      <c r="G338" s="104">
        <f>TRUNC(E338*F338,2)</f>
        <v>23.86</v>
      </c>
      <c r="CS338"/>
    </row>
    <row r="339" spans="1:97" ht="15.75" thickBot="1">
      <c r="B339" s="88"/>
      <c r="C339" s="182"/>
      <c r="E339" t="s">
        <v>4</v>
      </c>
      <c r="G339" s="104">
        <f>TRUNC(SUM(G338:G338),2)</f>
        <v>23.86</v>
      </c>
      <c r="CS339"/>
    </row>
    <row r="340" spans="1:97" ht="30.75" thickBot="1">
      <c r="A340" s="93" t="s">
        <v>93</v>
      </c>
      <c r="B340" s="94" t="s">
        <v>295</v>
      </c>
      <c r="C340" s="184" t="s">
        <v>368</v>
      </c>
      <c r="D340" s="93" t="s">
        <v>6</v>
      </c>
      <c r="E340" s="92">
        <v>8</v>
      </c>
      <c r="F340" s="81">
        <f>TRUNC(F341,2)</f>
        <v>240</v>
      </c>
      <c r="G340" s="103">
        <f>TRUNC(E340*F340,2)</f>
        <v>1920</v>
      </c>
      <c r="CS340"/>
    </row>
    <row r="341" spans="1:97" ht="45">
      <c r="B341" s="88" t="s">
        <v>117</v>
      </c>
      <c r="C341" s="181" t="s">
        <v>515</v>
      </c>
      <c r="D341" s="46" t="s">
        <v>6</v>
      </c>
      <c r="E341">
        <v>1</v>
      </c>
      <c r="F341">
        <f>G344</f>
        <v>240</v>
      </c>
      <c r="G341" s="104">
        <f>TRUNC(E341*F341,2)</f>
        <v>240</v>
      </c>
      <c r="CS341"/>
    </row>
    <row r="342" spans="1:97" s="41" customFormat="1">
      <c r="A342" s="143"/>
      <c r="B342" s="144" t="s">
        <v>39</v>
      </c>
      <c r="C342" s="186" t="s">
        <v>383</v>
      </c>
      <c r="D342" s="143" t="s">
        <v>3</v>
      </c>
      <c r="F342" s="41">
        <f>TRUNC(16.55,2)</f>
        <v>16.55</v>
      </c>
      <c r="G342" s="145">
        <f>TRUNC(E342*F342,2)</f>
        <v>0</v>
      </c>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c r="CO342" s="70"/>
      <c r="CP342" s="70"/>
      <c r="CQ342" s="70"/>
      <c r="CR342" s="70"/>
    </row>
    <row r="343" spans="1:97" ht="30">
      <c r="B343" s="88" t="s">
        <v>205</v>
      </c>
      <c r="C343" s="181" t="s">
        <v>516</v>
      </c>
      <c r="D343" s="46" t="s">
        <v>6</v>
      </c>
      <c r="E343">
        <v>1</v>
      </c>
      <c r="F343">
        <f>TRUNC(240,2)</f>
        <v>240</v>
      </c>
      <c r="G343" s="104">
        <f>TRUNC(E343*F343,2)</f>
        <v>240</v>
      </c>
      <c r="CS343"/>
    </row>
    <row r="344" spans="1:97">
      <c r="B344" s="88"/>
      <c r="C344" s="182"/>
      <c r="E344" t="s">
        <v>4</v>
      </c>
      <c r="G344" s="104">
        <f>TRUNC(SUM(G342:G343),2)</f>
        <v>240</v>
      </c>
      <c r="CS344"/>
    </row>
    <row r="345" spans="1:97" ht="15.75" thickBot="1">
      <c r="B345" s="88"/>
      <c r="C345" s="182"/>
      <c r="G345" s="104"/>
      <c r="CS345"/>
    </row>
    <row r="346" spans="1:97" ht="45.75" thickBot="1">
      <c r="A346" s="93" t="s">
        <v>94</v>
      </c>
      <c r="B346" s="94" t="s">
        <v>118</v>
      </c>
      <c r="C346" s="184" t="s">
        <v>369</v>
      </c>
      <c r="D346" s="93" t="s">
        <v>95</v>
      </c>
      <c r="E346" s="92">
        <v>7.5</v>
      </c>
      <c r="F346" s="81">
        <f>TRUNC(F347,2)</f>
        <v>84.5</v>
      </c>
      <c r="G346" s="103">
        <f>TRUNC(E346*F346,2)</f>
        <v>633.75</v>
      </c>
      <c r="CS346"/>
    </row>
    <row r="347" spans="1:97" ht="45">
      <c r="B347" s="88" t="s">
        <v>118</v>
      </c>
      <c r="C347" s="181" t="s">
        <v>517</v>
      </c>
      <c r="D347" s="46" t="s">
        <v>95</v>
      </c>
      <c r="E347">
        <v>1</v>
      </c>
      <c r="F347">
        <f>G351</f>
        <v>84.5</v>
      </c>
      <c r="G347" s="104">
        <f>TRUNC(E347*F347,2)</f>
        <v>84.5</v>
      </c>
      <c r="CS347"/>
    </row>
    <row r="348" spans="1:97">
      <c r="B348" s="88" t="s">
        <v>39</v>
      </c>
      <c r="C348" s="181" t="s">
        <v>383</v>
      </c>
      <c r="D348" s="46" t="s">
        <v>3</v>
      </c>
      <c r="E348">
        <v>3.09</v>
      </c>
      <c r="F348">
        <f>TRUNC(16.55,2)</f>
        <v>16.55</v>
      </c>
      <c r="G348" s="104">
        <f>TRUNC(E348*F348,2)</f>
        <v>51.13</v>
      </c>
      <c r="CS348"/>
    </row>
    <row r="349" spans="1:97">
      <c r="B349" s="88" t="s">
        <v>206</v>
      </c>
      <c r="C349" s="181" t="s">
        <v>518</v>
      </c>
      <c r="D349" s="46" t="s">
        <v>3</v>
      </c>
      <c r="E349">
        <v>0.75</v>
      </c>
      <c r="F349">
        <f>TRUNC(43.8067,2)</f>
        <v>43.8</v>
      </c>
      <c r="G349" s="104">
        <f>TRUNC(E349*F349,2)</f>
        <v>32.85</v>
      </c>
      <c r="CS349"/>
    </row>
    <row r="350" spans="1:97">
      <c r="B350" s="88" t="s">
        <v>207</v>
      </c>
      <c r="C350" s="181" t="s">
        <v>519</v>
      </c>
      <c r="D350" s="46" t="s">
        <v>3</v>
      </c>
      <c r="E350">
        <v>4.0000000000000001E-3</v>
      </c>
      <c r="F350">
        <f>TRUNC(132.0902,2)</f>
        <v>132.09</v>
      </c>
      <c r="G350" s="104">
        <f>TRUNC(E350*F350,2)</f>
        <v>0.52</v>
      </c>
      <c r="CS350"/>
    </row>
    <row r="351" spans="1:97">
      <c r="B351" s="88"/>
      <c r="C351" s="182"/>
      <c r="E351" t="s">
        <v>4</v>
      </c>
      <c r="G351" s="104">
        <f>TRUNC(SUM(G348:G350),2)</f>
        <v>84.5</v>
      </c>
      <c r="CS351"/>
    </row>
    <row r="352" spans="1:97" ht="15.75" thickBot="1">
      <c r="B352" s="88"/>
      <c r="C352" s="182"/>
      <c r="G352" s="104"/>
      <c r="CS352"/>
    </row>
    <row r="353" spans="1:97" ht="45.75" thickBot="1">
      <c r="A353" s="93" t="s">
        <v>96</v>
      </c>
      <c r="B353" s="94" t="s">
        <v>119</v>
      </c>
      <c r="C353" s="184" t="s">
        <v>520</v>
      </c>
      <c r="D353" s="93" t="s">
        <v>97</v>
      </c>
      <c r="E353" s="92">
        <f>E346*7.8</f>
        <v>58.5</v>
      </c>
      <c r="F353" s="81">
        <f>TRUNC(F354,2)</f>
        <v>0.88</v>
      </c>
      <c r="G353" s="103">
        <f>TRUNC(E353*F353,2)</f>
        <v>51.48</v>
      </c>
      <c r="CS353"/>
    </row>
    <row r="354" spans="1:97" ht="45">
      <c r="B354" s="46" t="s">
        <v>119</v>
      </c>
      <c r="C354" s="181" t="s">
        <v>521</v>
      </c>
      <c r="D354" s="46" t="s">
        <v>97</v>
      </c>
      <c r="E354">
        <v>1</v>
      </c>
      <c r="F354">
        <f>G356</f>
        <v>0.88</v>
      </c>
      <c r="G354" s="105">
        <f>TRUNC(E354*F354,2)</f>
        <v>0.88</v>
      </c>
    </row>
    <row r="355" spans="1:97">
      <c r="B355" s="46" t="s">
        <v>207</v>
      </c>
      <c r="C355" s="181" t="s">
        <v>519</v>
      </c>
      <c r="D355" s="46" t="s">
        <v>3</v>
      </c>
      <c r="E355">
        <v>6.7000000000000002E-3</v>
      </c>
      <c r="F355">
        <f>TRUNC(132.0902,2)</f>
        <v>132.09</v>
      </c>
      <c r="G355" s="105">
        <f>TRUNC(E355*F355,2)</f>
        <v>0.88</v>
      </c>
    </row>
    <row r="356" spans="1:97" ht="15.75" thickBot="1">
      <c r="C356" s="182"/>
      <c r="E356" t="s">
        <v>4</v>
      </c>
      <c r="G356" s="105">
        <f>TRUNC(SUM(G355:G355),2)</f>
        <v>0.88</v>
      </c>
    </row>
    <row r="357" spans="1:97" s="41" customFormat="1" ht="15.75" thickBot="1">
      <c r="A357" s="95" t="s">
        <v>33</v>
      </c>
      <c r="B357" s="96"/>
      <c r="C357" s="185"/>
      <c r="D357" s="95"/>
      <c r="E357" s="98"/>
      <c r="F357" s="98" t="s">
        <v>221</v>
      </c>
      <c r="G357" s="82">
        <f>G336+G340+G346+G353</f>
        <v>3559.63</v>
      </c>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c r="BV357" s="70"/>
      <c r="BW357" s="70"/>
      <c r="BX357" s="70"/>
      <c r="BY357" s="70"/>
      <c r="BZ357" s="70"/>
      <c r="CA357" s="70"/>
      <c r="CB357" s="70"/>
      <c r="CC357" s="70"/>
      <c r="CD357" s="70"/>
      <c r="CE357" s="70"/>
      <c r="CF357" s="70"/>
      <c r="CG357" s="70"/>
      <c r="CH357" s="70"/>
      <c r="CI357" s="70"/>
      <c r="CJ357" s="70"/>
      <c r="CK357" s="70"/>
      <c r="CL357" s="70"/>
      <c r="CM357" s="70"/>
      <c r="CN357" s="70"/>
      <c r="CO357" s="70"/>
      <c r="CP357" s="70"/>
      <c r="CQ357" s="70"/>
      <c r="CR357" s="70"/>
    </row>
    <row r="358" spans="1:97" s="41" customFormat="1" ht="15.75" thickBot="1">
      <c r="A358" s="95" t="s">
        <v>247</v>
      </c>
      <c r="B358" s="96"/>
      <c r="C358" s="164" t="s">
        <v>371</v>
      </c>
      <c r="D358" s="95" t="s">
        <v>49</v>
      </c>
      <c r="E358" s="98"/>
      <c r="F358" s="98"/>
      <c r="G358" s="82"/>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c r="BV358" s="70"/>
      <c r="BW358" s="70"/>
      <c r="BX358" s="70"/>
      <c r="BY358" s="70"/>
      <c r="BZ358" s="70"/>
      <c r="CA358" s="70"/>
      <c r="CB358" s="70"/>
      <c r="CC358" s="70"/>
      <c r="CD358" s="70"/>
      <c r="CE358" s="70"/>
      <c r="CF358" s="70"/>
      <c r="CG358" s="70"/>
      <c r="CH358" s="70"/>
      <c r="CI358" s="70"/>
      <c r="CJ358" s="70"/>
      <c r="CK358" s="70"/>
      <c r="CL358" s="70"/>
      <c r="CM358" s="70"/>
      <c r="CN358" s="70"/>
      <c r="CO358" s="70"/>
      <c r="CP358" s="70"/>
      <c r="CQ358" s="70"/>
      <c r="CR358" s="70"/>
    </row>
    <row r="359" spans="1:97" ht="45.75" thickBot="1">
      <c r="A359" s="93" t="s">
        <v>249</v>
      </c>
      <c r="B359" s="94" t="s">
        <v>254</v>
      </c>
      <c r="C359" s="163" t="s">
        <v>372</v>
      </c>
      <c r="D359" s="93" t="s">
        <v>255</v>
      </c>
      <c r="E359" s="92">
        <v>80.849999999999994</v>
      </c>
      <c r="F359" s="81">
        <f>TRUNC(F360,2)</f>
        <v>12</v>
      </c>
      <c r="G359" s="103">
        <f>TRUNC(E359*F359,2)</f>
        <v>970.2</v>
      </c>
      <c r="CS359"/>
    </row>
    <row r="360" spans="1:97" ht="45">
      <c r="B360" s="88" t="s">
        <v>254</v>
      </c>
      <c r="C360" s="181" t="s">
        <v>372</v>
      </c>
      <c r="D360" s="46" t="s">
        <v>255</v>
      </c>
      <c r="E360">
        <v>1</v>
      </c>
      <c r="F360">
        <f>TRUNC(12,2)</f>
        <v>12</v>
      </c>
      <c r="G360" s="104">
        <f>TRUNC(E360*F360,2)</f>
        <v>12</v>
      </c>
      <c r="CS360"/>
    </row>
    <row r="361" spans="1:97" ht="30">
      <c r="B361" s="88" t="s">
        <v>256</v>
      </c>
      <c r="C361" s="181" t="s">
        <v>522</v>
      </c>
      <c r="D361" s="46" t="s">
        <v>255</v>
      </c>
      <c r="E361">
        <v>1</v>
      </c>
      <c r="F361">
        <f>TRUNC(12,2)</f>
        <v>12</v>
      </c>
      <c r="G361" s="104">
        <f>TRUNC(E361*F361,2)</f>
        <v>12</v>
      </c>
      <c r="CS361"/>
    </row>
    <row r="362" spans="1:97" ht="15.75" thickBot="1">
      <c r="B362" s="88"/>
      <c r="C362" s="182"/>
      <c r="E362" t="s">
        <v>4</v>
      </c>
      <c r="G362" s="104">
        <f>TRUNC(SUM(G361:G361),2)</f>
        <v>12</v>
      </c>
      <c r="CS362"/>
    </row>
    <row r="363" spans="1:97" ht="30.75" thickBot="1">
      <c r="A363" s="93" t="s">
        <v>250</v>
      </c>
      <c r="B363" s="94" t="s">
        <v>257</v>
      </c>
      <c r="C363" s="184" t="s">
        <v>373</v>
      </c>
      <c r="D363" s="93" t="s">
        <v>51</v>
      </c>
      <c r="E363" s="92">
        <v>26.95</v>
      </c>
      <c r="F363" s="81">
        <f>TRUNC(F364,2)</f>
        <v>6.81</v>
      </c>
      <c r="G363" s="103">
        <f>TRUNC(E363*F363,2)</f>
        <v>183.52</v>
      </c>
      <c r="CS363"/>
    </row>
    <row r="364" spans="1:97" ht="30">
      <c r="B364" s="88" t="s">
        <v>257</v>
      </c>
      <c r="C364" s="181" t="s">
        <v>373</v>
      </c>
      <c r="D364" s="46" t="s">
        <v>51</v>
      </c>
      <c r="E364">
        <v>1</v>
      </c>
      <c r="F364">
        <f>TRUNC(6.8186,2)</f>
        <v>6.81</v>
      </c>
      <c r="G364" s="104">
        <f>TRUNC(E364*F364,2)</f>
        <v>6.81</v>
      </c>
      <c r="CS364"/>
    </row>
    <row r="365" spans="1:97">
      <c r="B365" s="88" t="s">
        <v>39</v>
      </c>
      <c r="C365" s="181" t="s">
        <v>383</v>
      </c>
      <c r="D365" s="46" t="s">
        <v>3</v>
      </c>
      <c r="E365">
        <v>0.41200000000000003</v>
      </c>
      <c r="F365">
        <f>TRUNC(16.55,2)</f>
        <v>16.55</v>
      </c>
      <c r="G365" s="104">
        <f>TRUNC(E365*F365,2)</f>
        <v>6.81</v>
      </c>
      <c r="CS365"/>
    </row>
    <row r="366" spans="1:97" ht="15.75" thickBot="1">
      <c r="B366" s="88"/>
      <c r="C366" s="182"/>
      <c r="E366" t="s">
        <v>4</v>
      </c>
      <c r="G366" s="104">
        <f>TRUNC(SUM(G365:G365),2)</f>
        <v>6.81</v>
      </c>
      <c r="CS366"/>
    </row>
    <row r="367" spans="1:97" ht="30.75" thickBot="1">
      <c r="A367" s="93" t="s">
        <v>251</v>
      </c>
      <c r="B367" s="94" t="s">
        <v>258</v>
      </c>
      <c r="C367" s="184" t="s">
        <v>374</v>
      </c>
      <c r="D367" s="93" t="s">
        <v>259</v>
      </c>
      <c r="E367" s="92">
        <f>E359*5</f>
        <v>404.25</v>
      </c>
      <c r="F367" s="81">
        <f>TRUNC(F368,2)</f>
        <v>0.13</v>
      </c>
      <c r="G367" s="103">
        <f>TRUNC(E367*F367,2)</f>
        <v>52.55</v>
      </c>
      <c r="CS367"/>
    </row>
    <row r="368" spans="1:97" ht="30">
      <c r="B368" s="88" t="s">
        <v>258</v>
      </c>
      <c r="C368" s="181" t="s">
        <v>374</v>
      </c>
      <c r="D368" s="46" t="s">
        <v>259</v>
      </c>
      <c r="E368">
        <v>1</v>
      </c>
      <c r="F368">
        <f>TRUNC(0.135585824,2)</f>
        <v>0.13</v>
      </c>
      <c r="G368" s="104">
        <f>TRUNC(E368*F368,2)</f>
        <v>0.13</v>
      </c>
      <c r="CS368"/>
    </row>
    <row r="369" spans="1:97">
      <c r="B369" s="88" t="s">
        <v>127</v>
      </c>
      <c r="C369" s="181" t="s">
        <v>386</v>
      </c>
      <c r="D369" s="46" t="s">
        <v>3</v>
      </c>
      <c r="E369">
        <v>1.2099999999999999E-3</v>
      </c>
      <c r="F369">
        <f>TRUNC(112.0544,2)</f>
        <v>112.05</v>
      </c>
      <c r="G369" s="104">
        <f>TRUNC(E369*F369,2)</f>
        <v>0.13</v>
      </c>
      <c r="CS369"/>
    </row>
    <row r="370" spans="1:97" ht="15.75" thickBot="1">
      <c r="B370" s="88"/>
      <c r="C370" s="182"/>
      <c r="E370" t="s">
        <v>4</v>
      </c>
      <c r="G370" s="104">
        <f>TRUNC(SUM(G369:G369),2)</f>
        <v>0.13</v>
      </c>
      <c r="CS370"/>
    </row>
    <row r="371" spans="1:97" ht="30.75" thickBot="1">
      <c r="A371" s="93" t="s">
        <v>252</v>
      </c>
      <c r="B371" s="94" t="s">
        <v>331</v>
      </c>
      <c r="C371" s="184" t="s">
        <v>375</v>
      </c>
      <c r="D371" s="93" t="s">
        <v>51</v>
      </c>
      <c r="E371" s="92">
        <f>1*7.7</f>
        <v>7.7</v>
      </c>
      <c r="F371" s="142">
        <f>TRUNC(F372+F375,2)</f>
        <v>3.53</v>
      </c>
      <c r="G371" s="103">
        <f>TRUNC(E371*F371,2)</f>
        <v>27.18</v>
      </c>
      <c r="CS371"/>
    </row>
    <row r="372" spans="1:97" ht="30">
      <c r="B372" s="46" t="s">
        <v>260</v>
      </c>
      <c r="C372" s="181" t="s">
        <v>523</v>
      </c>
      <c r="D372" s="46" t="s">
        <v>51</v>
      </c>
      <c r="E372">
        <v>1</v>
      </c>
      <c r="F372">
        <f>TRUNC(2.975,2)</f>
        <v>2.97</v>
      </c>
      <c r="G372" s="105">
        <f>TRUNC(E372*F372,2)</f>
        <v>2.97</v>
      </c>
    </row>
    <row r="373" spans="1:97">
      <c r="B373" s="46" t="s">
        <v>261</v>
      </c>
      <c r="C373" s="181" t="s">
        <v>524</v>
      </c>
      <c r="D373" s="46" t="s">
        <v>1</v>
      </c>
      <c r="E373">
        <v>0.05</v>
      </c>
      <c r="F373">
        <f>TRUNC(59.5,2)</f>
        <v>59.5</v>
      </c>
      <c r="G373" s="105">
        <f>TRUNC(E373*F373,2)</f>
        <v>2.97</v>
      </c>
    </row>
    <row r="374" spans="1:97">
      <c r="C374" s="182"/>
      <c r="E374" t="s">
        <v>4</v>
      </c>
      <c r="G374" s="105">
        <f>TRUNC(SUM(G373:G373),2)</f>
        <v>2.97</v>
      </c>
    </row>
    <row r="375" spans="1:97">
      <c r="B375" s="46" t="s">
        <v>330</v>
      </c>
      <c r="C375" s="181" t="s">
        <v>525</v>
      </c>
      <c r="D375" s="46" t="s">
        <v>51</v>
      </c>
      <c r="E375">
        <v>1</v>
      </c>
      <c r="F375" s="105">
        <f>G377</f>
        <v>0.56000000000000005</v>
      </c>
      <c r="G375" s="105">
        <f>TRUNC(E375*F375,2)</f>
        <v>0.56000000000000005</v>
      </c>
    </row>
    <row r="376" spans="1:97">
      <c r="B376" s="46" t="s">
        <v>39</v>
      </c>
      <c r="C376" s="181" t="s">
        <v>383</v>
      </c>
      <c r="D376" s="46" t="s">
        <v>3</v>
      </c>
      <c r="E376">
        <v>3.3989999999999999E-2</v>
      </c>
      <c r="F376">
        <f>TRUNC(16.55,2)</f>
        <v>16.55</v>
      </c>
      <c r="G376" s="105">
        <f>TRUNC(E376*F376,2)</f>
        <v>0.56000000000000005</v>
      </c>
    </row>
    <row r="377" spans="1:97" ht="15.75" thickBot="1">
      <c r="C377" s="182"/>
      <c r="E377" t="s">
        <v>4</v>
      </c>
      <c r="G377" s="105">
        <f>TRUNC(SUM(G376:G376),2)</f>
        <v>0.56000000000000005</v>
      </c>
    </row>
    <row r="378" spans="1:97" ht="30.75" thickBot="1">
      <c r="A378" s="93" t="s">
        <v>262</v>
      </c>
      <c r="B378" s="94" t="s">
        <v>263</v>
      </c>
      <c r="C378" s="184" t="s">
        <v>376</v>
      </c>
      <c r="D378" s="93" t="s">
        <v>1</v>
      </c>
      <c r="E378" s="149">
        <v>76.099999999999994</v>
      </c>
      <c r="F378" s="81">
        <f>TRUNC(F379,2)</f>
        <v>0.17</v>
      </c>
      <c r="G378" s="103">
        <f>TRUNC(E378*F378,2)</f>
        <v>12.93</v>
      </c>
      <c r="CS378"/>
    </row>
    <row r="379" spans="1:97" ht="30">
      <c r="B379" s="46" t="s">
        <v>263</v>
      </c>
      <c r="C379" s="181" t="s">
        <v>376</v>
      </c>
      <c r="D379" s="46" t="s">
        <v>1</v>
      </c>
      <c r="E379">
        <v>1</v>
      </c>
      <c r="F379">
        <f>TRUNC(0.170465,2)</f>
        <v>0.17</v>
      </c>
      <c r="G379" s="105">
        <f>TRUNC(E379*F379,2)</f>
        <v>0.17</v>
      </c>
    </row>
    <row r="380" spans="1:97">
      <c r="B380" s="46" t="s">
        <v>39</v>
      </c>
      <c r="C380" s="181" t="s">
        <v>383</v>
      </c>
      <c r="D380" s="46" t="s">
        <v>3</v>
      </c>
      <c r="E380">
        <v>1.03E-2</v>
      </c>
      <c r="F380">
        <f>TRUNC(16.55,2)</f>
        <v>16.55</v>
      </c>
      <c r="G380" s="105">
        <f>TRUNC(E380*F380,2)</f>
        <v>0.17</v>
      </c>
    </row>
    <row r="381" spans="1:97" ht="15.75" thickBot="1">
      <c r="C381" s="182"/>
      <c r="E381" t="s">
        <v>4</v>
      </c>
      <c r="G381" s="105">
        <f>TRUNC(SUM(G380:G380),2)</f>
        <v>0.17</v>
      </c>
    </row>
    <row r="382" spans="1:97" s="41" customFormat="1" ht="15.75" thickBot="1">
      <c r="A382" s="95" t="s">
        <v>33</v>
      </c>
      <c r="B382" s="96"/>
      <c r="C382" s="185"/>
      <c r="D382" s="95"/>
      <c r="E382" s="98"/>
      <c r="F382" s="98" t="s">
        <v>253</v>
      </c>
      <c r="G382" s="82">
        <f>G359+G363+G367+G371</f>
        <v>1233.45</v>
      </c>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c r="BV382" s="70"/>
      <c r="BW382" s="70"/>
      <c r="BX382" s="70"/>
      <c r="BY382" s="70"/>
      <c r="BZ382" s="70"/>
      <c r="CA382" s="70"/>
      <c r="CB382" s="70"/>
      <c r="CC382" s="70"/>
      <c r="CD382" s="70"/>
      <c r="CE382" s="70"/>
      <c r="CF382" s="70"/>
      <c r="CG382" s="70"/>
      <c r="CH382" s="70"/>
      <c r="CI382" s="70"/>
      <c r="CJ382" s="70"/>
      <c r="CK382" s="70"/>
      <c r="CL382" s="70"/>
      <c r="CM382" s="70"/>
      <c r="CN382" s="70"/>
      <c r="CO382" s="70"/>
      <c r="CP382" s="70"/>
      <c r="CQ382" s="70"/>
      <c r="CR382" s="70"/>
    </row>
    <row r="383" spans="1:97" s="41" customFormat="1" ht="15.75" thickBot="1">
      <c r="A383" s="95" t="s">
        <v>33</v>
      </c>
      <c r="B383" s="96"/>
      <c r="C383" s="164"/>
      <c r="D383" s="95"/>
      <c r="E383" s="98"/>
      <c r="F383" s="98" t="s">
        <v>34</v>
      </c>
      <c r="G383" s="82">
        <f>G82+G122+G140+G203+G257+G299+G310+G334+G357+G382</f>
        <v>133684.85000000003</v>
      </c>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c r="BV383" s="70"/>
      <c r="BW383" s="70"/>
      <c r="BX383" s="70"/>
      <c r="BY383" s="70"/>
      <c r="BZ383" s="70"/>
      <c r="CA383" s="70"/>
      <c r="CB383" s="70"/>
      <c r="CC383" s="70"/>
      <c r="CD383" s="70"/>
      <c r="CE383" s="70"/>
      <c r="CF383" s="70"/>
      <c r="CG383" s="70"/>
      <c r="CH383" s="70"/>
      <c r="CI383" s="70"/>
      <c r="CJ383" s="70"/>
      <c r="CK383" s="70"/>
      <c r="CL383" s="70"/>
      <c r="CM383" s="70"/>
      <c r="CN383" s="70"/>
      <c r="CO383" s="70"/>
      <c r="CP383" s="70"/>
      <c r="CQ383" s="70"/>
      <c r="CR383" s="70"/>
    </row>
    <row r="389" spans="2:7" ht="45">
      <c r="B389" s="46" t="s">
        <v>558</v>
      </c>
      <c r="C389" s="1" t="s">
        <v>559</v>
      </c>
      <c r="D389" s="46" t="s">
        <v>1</v>
      </c>
      <c r="E389">
        <v>1</v>
      </c>
      <c r="F389" s="105">
        <f>G393</f>
        <v>26.32</v>
      </c>
      <c r="G389" s="105">
        <f>TRUNC(E389*F389,2)</f>
        <v>26.32</v>
      </c>
    </row>
    <row r="390" spans="2:7">
      <c r="B390" s="46" t="s">
        <v>556</v>
      </c>
      <c r="C390" s="1" t="s">
        <v>557</v>
      </c>
      <c r="D390" s="46" t="s">
        <v>1</v>
      </c>
      <c r="E390">
        <v>1.1550000000000002</v>
      </c>
      <c r="F390">
        <v>14.59</v>
      </c>
      <c r="G390" s="105">
        <f>TRUNC(E390*F390,2)</f>
        <v>16.850000000000001</v>
      </c>
    </row>
    <row r="391" spans="2:7">
      <c r="B391" s="46" t="s">
        <v>39</v>
      </c>
      <c r="C391" s="1" t="s">
        <v>560</v>
      </c>
      <c r="D391" s="46" t="s">
        <v>3</v>
      </c>
      <c r="E391">
        <v>0.14420000000000002</v>
      </c>
      <c r="F391">
        <f>TRUNC(16.55,2)</f>
        <v>16.55</v>
      </c>
      <c r="G391" s="105">
        <f>TRUNC(E391*F391,2)</f>
        <v>2.38</v>
      </c>
    </row>
    <row r="392" spans="2:7">
      <c r="B392" s="46" t="s">
        <v>194</v>
      </c>
      <c r="C392" s="1" t="s">
        <v>562</v>
      </c>
      <c r="D392" s="46" t="s">
        <v>3</v>
      </c>
      <c r="E392">
        <f>E391*2</f>
        <v>0.28840000000000005</v>
      </c>
      <c r="F392">
        <f>TRUNC(24.61,2)</f>
        <v>24.61</v>
      </c>
      <c r="G392" s="105">
        <f>TRUNC(E392*F392,2)</f>
        <v>7.09</v>
      </c>
    </row>
    <row r="393" spans="2:7">
      <c r="E393" t="s">
        <v>4</v>
      </c>
      <c r="G393" s="105">
        <f>TRUNC(SUM(G390:G392),2)</f>
        <v>26.32</v>
      </c>
    </row>
    <row r="394" spans="2:7" ht="30">
      <c r="B394" s="46" t="s">
        <v>563</v>
      </c>
      <c r="C394" s="1" t="s">
        <v>564</v>
      </c>
      <c r="D394" s="46" t="s">
        <v>6</v>
      </c>
      <c r="E394">
        <v>1</v>
      </c>
      <c r="F394">
        <f>TRUNC(8.016917,2)</f>
        <v>8.01</v>
      </c>
      <c r="G394" s="105">
        <f>TRUNC(E394*F394,2)</f>
        <v>8.01</v>
      </c>
    </row>
    <row r="395" spans="2:7" ht="30">
      <c r="B395" s="46" t="s">
        <v>297</v>
      </c>
      <c r="C395" s="1" t="s">
        <v>565</v>
      </c>
      <c r="D395" s="46" t="s">
        <v>2</v>
      </c>
      <c r="E395">
        <v>0.04</v>
      </c>
      <c r="F395">
        <f>TRUNC(19.61,2)</f>
        <v>19.61</v>
      </c>
      <c r="G395" s="105">
        <f>TRUNC(E395*F395,2)</f>
        <v>0.78</v>
      </c>
    </row>
    <row r="396" spans="2:7">
      <c r="B396" s="46" t="s">
        <v>566</v>
      </c>
      <c r="C396" s="1" t="s">
        <v>567</v>
      </c>
      <c r="D396" s="46" t="s">
        <v>3</v>
      </c>
      <c r="E396">
        <v>0.18540000000000001</v>
      </c>
      <c r="F396">
        <f>TRUNC(21.33,2)</f>
        <v>21.33</v>
      </c>
      <c r="G396" s="105">
        <f>TRUNC(E396*F396,2)</f>
        <v>3.95</v>
      </c>
    </row>
    <row r="397" spans="2:7">
      <c r="B397" s="46" t="s">
        <v>568</v>
      </c>
      <c r="C397" s="1" t="s">
        <v>569</v>
      </c>
      <c r="D397" s="46" t="s">
        <v>3</v>
      </c>
      <c r="E397">
        <v>0.1545</v>
      </c>
      <c r="F397">
        <f>TRUNC(15.11,2)</f>
        <v>15.11</v>
      </c>
      <c r="G397" s="105">
        <f>TRUNC(E397*F397,2)</f>
        <v>2.33</v>
      </c>
    </row>
    <row r="398" spans="2:7">
      <c r="B398" s="46" t="s">
        <v>570</v>
      </c>
      <c r="C398" s="1" t="s">
        <v>571</v>
      </c>
      <c r="D398" s="46" t="s">
        <v>3</v>
      </c>
      <c r="E398">
        <v>0.05</v>
      </c>
      <c r="F398">
        <f>TRUNC(18.8688,2)</f>
        <v>18.86</v>
      </c>
      <c r="G398" s="105">
        <f>TRUNC(E398*F398,2)</f>
        <v>0.94</v>
      </c>
    </row>
    <row r="399" spans="2:7">
      <c r="E399" t="s">
        <v>4</v>
      </c>
      <c r="G399" s="105">
        <f>TRUNC(SUM(G395:G398),2)</f>
        <v>8</v>
      </c>
    </row>
    <row r="418" spans="2:6">
      <c r="B418" s="46" t="s">
        <v>556</v>
      </c>
      <c r="C418" s="1" t="s">
        <v>557</v>
      </c>
      <c r="D418" s="46" t="s">
        <v>1</v>
      </c>
      <c r="F418">
        <v>14.59</v>
      </c>
    </row>
  </sheetData>
  <mergeCells count="13">
    <mergeCell ref="D3:G3"/>
    <mergeCell ref="D4:G4"/>
    <mergeCell ref="D5:G5"/>
    <mergeCell ref="D6:G6"/>
    <mergeCell ref="D7:G7"/>
    <mergeCell ref="D8:G8"/>
    <mergeCell ref="A9:G9"/>
    <mergeCell ref="A10:A11"/>
    <mergeCell ref="B10:B11"/>
    <mergeCell ref="C10:C11"/>
    <mergeCell ref="D10:D11"/>
    <mergeCell ref="E10:E11"/>
    <mergeCell ref="F10:G10"/>
  </mergeCells>
  <pageMargins left="0.51181102362204722" right="0.51181102362204722" top="0.78740157480314965" bottom="0.78740157480314965" header="0.31496062992125984" footer="0.31496062992125984"/>
  <pageSetup paperSize="9" scale="46" orientation="portrait" horizontalDpi="4294967293" r:id="rId1"/>
  <headerFooter>
    <oddFooter>&amp;C&amp;A&amp;RPágina &amp;P de &amp;N</oddFooter>
  </headerFooter>
  <drawing r:id="rId2"/>
</worksheet>
</file>

<file path=xl/worksheets/sheet2.xml><?xml version="1.0" encoding="utf-8"?>
<worksheet xmlns="http://schemas.openxmlformats.org/spreadsheetml/2006/main" xmlns:r="http://schemas.openxmlformats.org/officeDocument/2006/relationships">
  <dimension ref="A1:CS79"/>
  <sheetViews>
    <sheetView view="pageBreakPreview" topLeftCell="A54" zoomScale="80" zoomScaleNormal="100" zoomScaleSheetLayoutView="80" workbookViewId="0">
      <selection activeCell="C58" sqref="C58"/>
    </sheetView>
  </sheetViews>
  <sheetFormatPr defaultRowHeight="15"/>
  <cols>
    <col min="1" max="1" width="9.140625" style="46" customWidth="1"/>
    <col min="2" max="2" width="23.7109375" style="46" customWidth="1"/>
    <col min="3" max="3" width="104" style="1" customWidth="1"/>
    <col min="4" max="4" width="11.140625" style="46" customWidth="1"/>
    <col min="5" max="5" width="11.7109375" customWidth="1"/>
    <col min="6" max="6" width="17.5703125" bestFit="1" customWidth="1"/>
    <col min="7" max="7" width="21.42578125" style="105" bestFit="1" customWidth="1"/>
    <col min="8" max="97" width="9.140625" style="69" customWidth="1"/>
  </cols>
  <sheetData>
    <row r="1" spans="1:97" ht="15.75">
      <c r="A1" s="2"/>
      <c r="B1" s="85"/>
      <c r="C1" s="4" t="s">
        <v>8</v>
      </c>
      <c r="D1" s="89"/>
      <c r="E1" s="6"/>
      <c r="F1" s="7"/>
      <c r="G1" s="99"/>
    </row>
    <row r="2" spans="1:97" ht="15.75">
      <c r="A2" s="8"/>
      <c r="B2" s="86"/>
      <c r="C2" s="10" t="s">
        <v>9</v>
      </c>
      <c r="D2" s="90"/>
      <c r="E2" s="12"/>
      <c r="F2" s="13"/>
      <c r="G2" s="100"/>
    </row>
    <row r="3" spans="1:97" ht="15.75">
      <c r="A3" s="8"/>
      <c r="B3" s="86"/>
      <c r="C3" s="10" t="s">
        <v>10</v>
      </c>
      <c r="D3" s="198" t="s">
        <v>45</v>
      </c>
      <c r="E3" s="199"/>
      <c r="F3" s="199"/>
      <c r="G3" s="200"/>
    </row>
    <row r="4" spans="1:97" ht="15.75">
      <c r="A4" s="8"/>
      <c r="B4" s="86"/>
      <c r="C4" s="14" t="s">
        <v>43</v>
      </c>
      <c r="D4" s="201" t="s">
        <v>38</v>
      </c>
      <c r="E4" s="202"/>
      <c r="F4" s="202"/>
      <c r="G4" s="203"/>
    </row>
    <row r="5" spans="1:97" ht="15.75">
      <c r="A5" s="8"/>
      <c r="B5" s="86"/>
      <c r="C5" s="43" t="s">
        <v>44</v>
      </c>
      <c r="D5" s="204" t="s">
        <v>47</v>
      </c>
      <c r="E5" s="205"/>
      <c r="F5" s="205"/>
      <c r="G5" s="206"/>
    </row>
    <row r="6" spans="1:97" ht="15.75">
      <c r="A6" s="8"/>
      <c r="B6" s="86"/>
      <c r="C6" s="15" t="s">
        <v>41</v>
      </c>
      <c r="D6" s="207" t="s">
        <v>46</v>
      </c>
      <c r="E6" s="208"/>
      <c r="F6" s="208"/>
      <c r="G6" s="209"/>
    </row>
    <row r="7" spans="1:97" ht="15.75">
      <c r="A7" s="8"/>
      <c r="B7" s="86"/>
      <c r="C7" s="44"/>
      <c r="D7" s="207" t="s">
        <v>18</v>
      </c>
      <c r="E7" s="208"/>
      <c r="F7" s="208"/>
      <c r="G7" s="209"/>
    </row>
    <row r="8" spans="1:97" ht="15.75">
      <c r="A8" s="16"/>
      <c r="B8" s="17"/>
      <c r="C8" s="18"/>
      <c r="D8" s="210" t="s">
        <v>35</v>
      </c>
      <c r="E8" s="211"/>
      <c r="F8" s="211"/>
      <c r="G8" s="212"/>
    </row>
    <row r="9" spans="1:97">
      <c r="A9" s="189" t="s">
        <v>11</v>
      </c>
      <c r="B9" s="190"/>
      <c r="C9" s="190"/>
      <c r="D9" s="190"/>
      <c r="E9" s="190"/>
      <c r="F9" s="190"/>
      <c r="G9" s="190"/>
    </row>
    <row r="10" spans="1:97" ht="15.75">
      <c r="A10" s="191" t="s">
        <v>12</v>
      </c>
      <c r="B10" s="193" t="s">
        <v>13</v>
      </c>
      <c r="C10" s="195" t="s">
        <v>14</v>
      </c>
      <c r="D10" s="191" t="s">
        <v>6</v>
      </c>
      <c r="E10" s="196" t="s">
        <v>15</v>
      </c>
      <c r="F10" s="196" t="s">
        <v>16</v>
      </c>
      <c r="G10" s="196"/>
    </row>
    <row r="11" spans="1:97" ht="15.75">
      <c r="A11" s="192"/>
      <c r="B11" s="194"/>
      <c r="C11" s="193"/>
      <c r="D11" s="192"/>
      <c r="E11" s="197"/>
      <c r="F11" s="19" t="s">
        <v>17</v>
      </c>
      <c r="G11" s="101" t="s">
        <v>4</v>
      </c>
    </row>
    <row r="12" spans="1:97" s="41" customFormat="1" ht="15.75">
      <c r="A12" s="57" t="s">
        <v>5</v>
      </c>
      <c r="B12" s="165"/>
      <c r="C12" s="176" t="s">
        <v>48</v>
      </c>
      <c r="D12" s="170"/>
      <c r="E12" s="58"/>
      <c r="F12" s="58"/>
      <c r="G12" s="102"/>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row>
    <row r="13" spans="1:97" ht="30">
      <c r="A13" s="80" t="s">
        <v>50</v>
      </c>
      <c r="B13" s="166" t="s">
        <v>98</v>
      </c>
      <c r="C13" s="177" t="s">
        <v>333</v>
      </c>
      <c r="D13" s="171" t="s">
        <v>51</v>
      </c>
      <c r="E13" s="81">
        <f>'MEMÓRIA ONERADA'!E13</f>
        <v>6</v>
      </c>
      <c r="F13" s="81">
        <f>TRUNC('MEMÓRIA ONERADA'!F13,2)</f>
        <v>383.21</v>
      </c>
      <c r="G13" s="103">
        <f t="shared" ref="G13:G23" si="0">TRUNC(E13*F13,2)</f>
        <v>2299.2600000000002</v>
      </c>
      <c r="CS13"/>
    </row>
    <row r="14" spans="1:97">
      <c r="A14" s="80" t="s">
        <v>52</v>
      </c>
      <c r="B14" s="166" t="s">
        <v>99</v>
      </c>
      <c r="C14" s="177" t="s">
        <v>334</v>
      </c>
      <c r="D14" s="171" t="s">
        <v>51</v>
      </c>
      <c r="E14" s="81">
        <f>'MEMÓRIA ONERADA'!E25</f>
        <v>421</v>
      </c>
      <c r="F14" s="81">
        <f>TRUNC('MEMÓRIA ONERADA'!F25,2)</f>
        <v>1.3</v>
      </c>
      <c r="G14" s="103">
        <f t="shared" si="0"/>
        <v>547.29999999999995</v>
      </c>
      <c r="CS14"/>
    </row>
    <row r="15" spans="1:97">
      <c r="A15" s="80" t="s">
        <v>53</v>
      </c>
      <c r="B15" s="166" t="s">
        <v>222</v>
      </c>
      <c r="C15" s="177" t="s">
        <v>335</v>
      </c>
      <c r="D15" s="171" t="s">
        <v>51</v>
      </c>
      <c r="E15" s="81">
        <f>'MEMÓRIA ONERADA'!E30</f>
        <v>343</v>
      </c>
      <c r="F15" s="81">
        <f>TRUNC('MEMÓRIA ONERADA'!F30,2)</f>
        <v>3.31</v>
      </c>
      <c r="G15" s="103">
        <f t="shared" si="0"/>
        <v>1135.33</v>
      </c>
      <c r="CS15"/>
    </row>
    <row r="16" spans="1:97" ht="30">
      <c r="A16" s="93" t="s">
        <v>54</v>
      </c>
      <c r="B16" s="167" t="s">
        <v>101</v>
      </c>
      <c r="C16" s="177" t="s">
        <v>336</v>
      </c>
      <c r="D16" s="172" t="s">
        <v>1</v>
      </c>
      <c r="E16" s="92">
        <f>'MEMÓRIA ONERADA'!E35</f>
        <v>25.7</v>
      </c>
      <c r="F16" s="81">
        <f>TRUNC('MEMÓRIA ONERADA'!F35,2)</f>
        <v>5.88</v>
      </c>
      <c r="G16" s="103">
        <f t="shared" si="0"/>
        <v>151.11000000000001</v>
      </c>
      <c r="CS16"/>
    </row>
    <row r="17" spans="1:97" ht="30">
      <c r="A17" s="93" t="s">
        <v>55</v>
      </c>
      <c r="B17" s="167" t="s">
        <v>101</v>
      </c>
      <c r="C17" s="177" t="s">
        <v>337</v>
      </c>
      <c r="D17" s="172" t="s">
        <v>1</v>
      </c>
      <c r="E17" s="92">
        <f>'MEMÓRIA ONERADA'!E40</f>
        <v>18</v>
      </c>
      <c r="F17" s="81">
        <f>TRUNC('MEMÓRIA ONERADA'!F40,2)</f>
        <v>2.2799999999999998</v>
      </c>
      <c r="G17" s="103">
        <f t="shared" si="0"/>
        <v>41.04</v>
      </c>
      <c r="CS17"/>
    </row>
    <row r="18" spans="1:97" ht="30">
      <c r="A18" s="93" t="s">
        <v>56</v>
      </c>
      <c r="B18" s="167" t="s">
        <v>302</v>
      </c>
      <c r="C18" s="177" t="s">
        <v>338</v>
      </c>
      <c r="D18" s="172" t="s">
        <v>299</v>
      </c>
      <c r="E18" s="92">
        <v>2</v>
      </c>
      <c r="F18" s="81">
        <f>TRUNC('MEMÓRIA ONERADA'!F45,2)</f>
        <v>63.66</v>
      </c>
      <c r="G18" s="103">
        <f t="shared" si="0"/>
        <v>127.32</v>
      </c>
      <c r="CS18"/>
    </row>
    <row r="19" spans="1:97">
      <c r="A19" s="93" t="s">
        <v>57</v>
      </c>
      <c r="B19" s="167" t="s">
        <v>103</v>
      </c>
      <c r="C19" s="177" t="s">
        <v>339</v>
      </c>
      <c r="D19" s="172" t="s">
        <v>6</v>
      </c>
      <c r="E19" s="92">
        <f>'MEMÓRIA ONERADA'!E58</f>
        <v>4</v>
      </c>
      <c r="F19" s="81">
        <f>TRUNC('MEMÓRIA ONERADA'!F58,2)</f>
        <v>6.6</v>
      </c>
      <c r="G19" s="103">
        <f t="shared" si="0"/>
        <v>26.4</v>
      </c>
      <c r="CS19"/>
    </row>
    <row r="20" spans="1:97" ht="30">
      <c r="A20" s="93" t="s">
        <v>58</v>
      </c>
      <c r="B20" s="167" t="s">
        <v>223</v>
      </c>
      <c r="C20" s="177" t="s">
        <v>340</v>
      </c>
      <c r="D20" s="172" t="s">
        <v>51</v>
      </c>
      <c r="E20" s="92">
        <f>'MEMÓRIA ONERADA'!E63</f>
        <v>466.4</v>
      </c>
      <c r="F20" s="81">
        <f>TRUNC('MEMÓRIA ONERADA'!F63,2)</f>
        <v>3.31</v>
      </c>
      <c r="G20" s="103">
        <f t="shared" si="0"/>
        <v>1543.78</v>
      </c>
      <c r="CS20"/>
    </row>
    <row r="21" spans="1:97" ht="30">
      <c r="A21" s="93" t="s">
        <v>59</v>
      </c>
      <c r="B21" s="167" t="s">
        <v>105</v>
      </c>
      <c r="C21" s="177" t="s">
        <v>341</v>
      </c>
      <c r="D21" s="172" t="s">
        <v>0</v>
      </c>
      <c r="E21" s="92">
        <f>'MEMÓRIA ONERADA'!E67</f>
        <v>5.25</v>
      </c>
      <c r="F21" s="81">
        <f>TRUNC('MEMÓRIA ONERADA'!F67,2)</f>
        <v>145.65</v>
      </c>
      <c r="G21" s="103">
        <f t="shared" si="0"/>
        <v>764.66</v>
      </c>
      <c r="CS21"/>
    </row>
    <row r="22" spans="1:97" ht="30">
      <c r="A22" s="93" t="s">
        <v>280</v>
      </c>
      <c r="B22" s="167" t="s">
        <v>106</v>
      </c>
      <c r="C22" s="177" t="s">
        <v>342</v>
      </c>
      <c r="D22" s="172" t="s">
        <v>1</v>
      </c>
      <c r="E22" s="92">
        <f>'MEMÓRIA ONERADA'!E73</f>
        <v>15</v>
      </c>
      <c r="F22" s="81">
        <f>TRUNC('MEMÓRIA ONERADA'!F73,2)</f>
        <v>18.75</v>
      </c>
      <c r="G22" s="103">
        <f t="shared" si="0"/>
        <v>281.25</v>
      </c>
      <c r="CS22"/>
    </row>
    <row r="23" spans="1:97">
      <c r="A23" s="93" t="s">
        <v>281</v>
      </c>
      <c r="B23" s="167" t="s">
        <v>107</v>
      </c>
      <c r="C23" s="177" t="s">
        <v>343</v>
      </c>
      <c r="D23" s="172" t="s">
        <v>51</v>
      </c>
      <c r="E23" s="92">
        <f>'MEMÓRIA ONERADA'!E78</f>
        <v>10</v>
      </c>
      <c r="F23" s="81">
        <f>TRUNC('MEMÓRIA ONERADA'!F78,2)</f>
        <v>8.52</v>
      </c>
      <c r="G23" s="103">
        <f t="shared" si="0"/>
        <v>85.2</v>
      </c>
      <c r="CS23"/>
    </row>
    <row r="24" spans="1:97" s="41" customFormat="1">
      <c r="A24" s="95" t="s">
        <v>33</v>
      </c>
      <c r="B24" s="168"/>
      <c r="C24" s="178"/>
      <c r="D24" s="173"/>
      <c r="E24" s="98"/>
      <c r="F24" s="98" t="s">
        <v>213</v>
      </c>
      <c r="G24" s="82">
        <f>G13+G14+G15+G16+G17+G18+G19+G20+G21+G22+G23</f>
        <v>7002.6499999999987</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row>
    <row r="25" spans="1:97" s="41" customFormat="1">
      <c r="A25" s="95" t="s">
        <v>62</v>
      </c>
      <c r="B25" s="168"/>
      <c r="C25" s="178" t="s">
        <v>63</v>
      </c>
      <c r="D25" s="173" t="s">
        <v>49</v>
      </c>
      <c r="E25" s="98"/>
      <c r="F25" s="98"/>
      <c r="G25" s="82"/>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row>
    <row r="26" spans="1:97" ht="30">
      <c r="A26" s="93" t="s">
        <v>64</v>
      </c>
      <c r="B26" s="167" t="s">
        <v>108</v>
      </c>
      <c r="C26" s="177" t="s">
        <v>550</v>
      </c>
      <c r="D26" s="172" t="s">
        <v>0</v>
      </c>
      <c r="E26" s="92">
        <f>'MEMÓRIA ONERADA'!E84</f>
        <v>0.95</v>
      </c>
      <c r="F26" s="81">
        <f>TRUNC('MEMÓRIA ONERADA'!F84,2)</f>
        <v>2051.54</v>
      </c>
      <c r="G26" s="103">
        <f>TRUNC(E26*F26,2)</f>
        <v>1948.96</v>
      </c>
      <c r="CS26"/>
    </row>
    <row r="27" spans="1:97" s="141" customFormat="1" ht="30">
      <c r="A27" s="136" t="s">
        <v>65</v>
      </c>
      <c r="B27" s="169" t="s">
        <v>208</v>
      </c>
      <c r="C27" s="179" t="s">
        <v>553</v>
      </c>
      <c r="D27" s="174" t="s">
        <v>1</v>
      </c>
      <c r="E27" s="138">
        <f>'MEMÓRIA ONERADA'!E114</f>
        <v>4</v>
      </c>
      <c r="F27" s="138">
        <f>TRUNC('MEMÓRIA ONERADA'!F114,2)</f>
        <v>151.94999999999999</v>
      </c>
      <c r="G27" s="139">
        <f>TRUNC(E27*F27,2)</f>
        <v>607.79999999999995</v>
      </c>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row>
    <row r="28" spans="1:97" s="41" customFormat="1">
      <c r="A28" s="95" t="s">
        <v>33</v>
      </c>
      <c r="B28" s="168"/>
      <c r="C28" s="178"/>
      <c r="D28" s="173"/>
      <c r="E28" s="98"/>
      <c r="F28" s="98" t="s">
        <v>214</v>
      </c>
      <c r="G28" s="82">
        <f>G26+G27</f>
        <v>2556.7600000000002</v>
      </c>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row>
    <row r="29" spans="1:97" s="41" customFormat="1">
      <c r="A29" s="95" t="s">
        <v>66</v>
      </c>
      <c r="B29" s="168"/>
      <c r="C29" s="178" t="s">
        <v>67</v>
      </c>
      <c r="D29" s="173" t="s">
        <v>49</v>
      </c>
      <c r="E29" s="98"/>
      <c r="F29" s="98"/>
      <c r="G29" s="82"/>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row>
    <row r="30" spans="1:97" ht="45.75" customHeight="1">
      <c r="A30" s="93" t="s">
        <v>68</v>
      </c>
      <c r="B30" s="167" t="s">
        <v>541</v>
      </c>
      <c r="C30" s="177" t="s">
        <v>549</v>
      </c>
      <c r="D30" s="172" t="s">
        <v>51</v>
      </c>
      <c r="E30" s="92">
        <f>'MEMÓRIA ONERADA'!E124</f>
        <v>9.6999999999999993</v>
      </c>
      <c r="F30" s="81">
        <f>TRUNC('MEMÓRIA ONERADA'!F124,2)</f>
        <v>99.72</v>
      </c>
      <c r="G30" s="103">
        <f>TRUNC(E30*F30,2)</f>
        <v>967.28</v>
      </c>
      <c r="CS30"/>
    </row>
    <row r="31" spans="1:97" ht="30">
      <c r="A31" s="93" t="s">
        <v>69</v>
      </c>
      <c r="B31" s="167" t="s">
        <v>109</v>
      </c>
      <c r="C31" s="177" t="s">
        <v>347</v>
      </c>
      <c r="D31" s="172" t="s">
        <v>51</v>
      </c>
      <c r="E31" s="92">
        <f>'MEMÓRIA ONERADA'!E133</f>
        <v>23.35</v>
      </c>
      <c r="F31" s="81">
        <f>TRUNC('MEMÓRIA ONERADA'!F133,2)</f>
        <v>39.619999999999997</v>
      </c>
      <c r="G31" s="103">
        <f>TRUNC(E31*F31,2)</f>
        <v>925.12</v>
      </c>
      <c r="CS31"/>
    </row>
    <row r="32" spans="1:97" s="41" customFormat="1">
      <c r="A32" s="95" t="s">
        <v>33</v>
      </c>
      <c r="B32" s="168"/>
      <c r="C32" s="178"/>
      <c r="D32" s="173"/>
      <c r="E32" s="98"/>
      <c r="F32" s="98" t="s">
        <v>215</v>
      </c>
      <c r="G32" s="82">
        <f>G30+G31</f>
        <v>1892.4</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row>
    <row r="33" spans="1:97" s="41" customFormat="1">
      <c r="A33" s="95" t="s">
        <v>70</v>
      </c>
      <c r="B33" s="168"/>
      <c r="C33" s="178" t="s">
        <v>377</v>
      </c>
      <c r="D33" s="173" t="s">
        <v>49</v>
      </c>
      <c r="E33" s="98"/>
      <c r="F33" s="98"/>
      <c r="G33" s="82"/>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row>
    <row r="34" spans="1:97" ht="45">
      <c r="A34" s="93" t="s">
        <v>71</v>
      </c>
      <c r="B34" s="167" t="s">
        <v>234</v>
      </c>
      <c r="C34" s="177" t="s">
        <v>349</v>
      </c>
      <c r="D34" s="172" t="s">
        <v>235</v>
      </c>
      <c r="E34" s="92">
        <f>'MEMÓRIA ONERADA'!E142</f>
        <v>126.3</v>
      </c>
      <c r="F34" s="81">
        <f>TRUNC('MEMÓRIA ONERADA'!F142,2)</f>
        <v>100.04</v>
      </c>
      <c r="G34" s="103">
        <f t="shared" ref="G34:G39" si="1">TRUNC(E34*F34,2)</f>
        <v>12635.05</v>
      </c>
      <c r="CS34"/>
    </row>
    <row r="35" spans="1:97" ht="75">
      <c r="A35" s="93" t="s">
        <v>224</v>
      </c>
      <c r="B35" s="167" t="s">
        <v>282</v>
      </c>
      <c r="C35" s="177" t="s">
        <v>350</v>
      </c>
      <c r="D35" s="172" t="s">
        <v>51</v>
      </c>
      <c r="E35" s="92">
        <f>'MEMÓRIA ONERADA'!E154</f>
        <v>421</v>
      </c>
      <c r="F35" s="81">
        <f>TRUNC('MEMÓRIA ONERADA'!F154,2)</f>
        <v>138.80000000000001</v>
      </c>
      <c r="G35" s="103">
        <f t="shared" si="1"/>
        <v>58434.8</v>
      </c>
      <c r="CS35"/>
    </row>
    <row r="36" spans="1:97" ht="30">
      <c r="A36" s="93" t="s">
        <v>225</v>
      </c>
      <c r="B36" s="167" t="s">
        <v>309</v>
      </c>
      <c r="C36" s="177" t="s">
        <v>351</v>
      </c>
      <c r="D36" s="172" t="s">
        <v>51</v>
      </c>
      <c r="E36" s="92">
        <f>'MEMÓRIA ONERADA'!E159</f>
        <v>65.400000000000006</v>
      </c>
      <c r="F36" s="81">
        <f>TRUNC('MEMÓRIA ONERADA'!F159,2)</f>
        <v>69.48</v>
      </c>
      <c r="G36" s="103">
        <f t="shared" si="1"/>
        <v>4543.99</v>
      </c>
      <c r="CS36"/>
    </row>
    <row r="37" spans="1:97" ht="30">
      <c r="A37" s="93" t="s">
        <v>72</v>
      </c>
      <c r="B37" s="167" t="s">
        <v>179</v>
      </c>
      <c r="C37" s="177" t="s">
        <v>352</v>
      </c>
      <c r="D37" s="172" t="s">
        <v>51</v>
      </c>
      <c r="E37" s="92">
        <f>'MEMÓRIA ONERADA'!E171</f>
        <v>6</v>
      </c>
      <c r="F37" s="81">
        <f>TRUNC('MEMÓRIA ONERADA'!F171,2)</f>
        <v>130.97</v>
      </c>
      <c r="G37" s="103">
        <f t="shared" si="1"/>
        <v>785.82</v>
      </c>
      <c r="CS37"/>
    </row>
    <row r="38" spans="1:97" ht="30">
      <c r="A38" s="93" t="s">
        <v>307</v>
      </c>
      <c r="B38" s="167" t="s">
        <v>110</v>
      </c>
      <c r="C38" s="177" t="s">
        <v>353</v>
      </c>
      <c r="D38" s="172" t="s">
        <v>51</v>
      </c>
      <c r="E38" s="92">
        <f>'MEMÓRIA ONERADA'!E182</f>
        <v>6.5</v>
      </c>
      <c r="F38" s="81">
        <f>TRUNC('MEMÓRIA ONERADA'!F182,2)</f>
        <v>130.97</v>
      </c>
      <c r="G38" s="103">
        <f t="shared" si="1"/>
        <v>851.3</v>
      </c>
      <c r="CS38"/>
    </row>
    <row r="39" spans="1:97" ht="45">
      <c r="A39" s="93" t="s">
        <v>308</v>
      </c>
      <c r="B39" s="167" t="s">
        <v>111</v>
      </c>
      <c r="C39" s="177" t="s">
        <v>354</v>
      </c>
      <c r="D39" s="172" t="s">
        <v>1</v>
      </c>
      <c r="E39" s="92">
        <f>'MEMÓRIA ONERADA'!E193</f>
        <v>15</v>
      </c>
      <c r="F39" s="81">
        <f>TRUNC('MEMÓRIA ONERADA'!F193,2)</f>
        <v>63.14</v>
      </c>
      <c r="G39" s="103">
        <f t="shared" si="1"/>
        <v>947.1</v>
      </c>
      <c r="CS39"/>
    </row>
    <row r="40" spans="1:97" s="41" customFormat="1">
      <c r="A40" s="95" t="s">
        <v>33</v>
      </c>
      <c r="B40" s="168"/>
      <c r="C40" s="178"/>
      <c r="D40" s="173"/>
      <c r="E40" s="98"/>
      <c r="F40" s="98" t="s">
        <v>216</v>
      </c>
      <c r="G40" s="82">
        <f>G34+G35+G36+G37+G38+G39</f>
        <v>78198.060000000027</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row>
    <row r="41" spans="1:97" s="41" customFormat="1">
      <c r="A41" s="95" t="s">
        <v>74</v>
      </c>
      <c r="B41" s="168"/>
      <c r="C41" s="178" t="s">
        <v>75</v>
      </c>
      <c r="D41" s="173" t="s">
        <v>49</v>
      </c>
      <c r="E41" s="98"/>
      <c r="F41" s="98"/>
      <c r="G41" s="82"/>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row>
    <row r="42" spans="1:97" ht="45.75" thickBot="1">
      <c r="A42" s="93" t="s">
        <v>76</v>
      </c>
      <c r="B42" s="167" t="s">
        <v>240</v>
      </c>
      <c r="C42" s="163" t="s">
        <v>555</v>
      </c>
      <c r="D42" s="172" t="s">
        <v>51</v>
      </c>
      <c r="E42" s="92">
        <f>'MEMÓRIA ONERADA'!E205</f>
        <v>330.2</v>
      </c>
      <c r="F42" s="81">
        <f>TRUNC('MEMÓRIA ONERADA'!F205,2)</f>
        <v>47.03</v>
      </c>
      <c r="G42" s="103">
        <f t="shared" ref="G42:G47" si="2">TRUNC(E42*F42,2)</f>
        <v>15529.3</v>
      </c>
      <c r="CS42"/>
    </row>
    <row r="43" spans="1:97" ht="30">
      <c r="A43" s="93" t="s">
        <v>236</v>
      </c>
      <c r="B43" s="167" t="s">
        <v>113</v>
      </c>
      <c r="C43" s="177" t="s">
        <v>356</v>
      </c>
      <c r="D43" s="172" t="s">
        <v>1</v>
      </c>
      <c r="E43" s="92">
        <f>'MEMÓRIA ONERADA'!E210</f>
        <v>9</v>
      </c>
      <c r="F43" s="81">
        <f>TRUNC('MEMÓRIA ONERADA'!F210,2)</f>
        <v>96.77</v>
      </c>
      <c r="G43" s="103">
        <f t="shared" si="2"/>
        <v>870.93</v>
      </c>
      <c r="CS43"/>
    </row>
    <row r="44" spans="1:97" ht="30">
      <c r="A44" s="93" t="s">
        <v>237</v>
      </c>
      <c r="B44" s="167" t="s">
        <v>239</v>
      </c>
      <c r="C44" s="177" t="s">
        <v>357</v>
      </c>
      <c r="D44" s="172" t="s">
        <v>1</v>
      </c>
      <c r="E44" s="92">
        <f>'MEMÓRIA ONERADA'!E216</f>
        <v>24.2</v>
      </c>
      <c r="F44" s="81">
        <f>TRUNC('MEMÓRIA ONERADA'!F216,2)</f>
        <v>21.19</v>
      </c>
      <c r="G44" s="103">
        <f t="shared" si="2"/>
        <v>512.79</v>
      </c>
      <c r="CS44"/>
    </row>
    <row r="45" spans="1:97" ht="30">
      <c r="A45" s="93" t="s">
        <v>238</v>
      </c>
      <c r="B45" s="167" t="s">
        <v>286</v>
      </c>
      <c r="C45" s="177" t="s">
        <v>358</v>
      </c>
      <c r="D45" s="172" t="s">
        <v>51</v>
      </c>
      <c r="E45" s="92">
        <f>'MEMÓRIA ONERADA'!E223</f>
        <v>560</v>
      </c>
      <c r="F45" s="81">
        <f>TRUNC('MEMÓRIA ONERADA'!F223,2)</f>
        <v>16.07</v>
      </c>
      <c r="G45" s="103">
        <f t="shared" si="2"/>
        <v>8999.2000000000007</v>
      </c>
      <c r="CS45"/>
    </row>
    <row r="46" spans="1:97" ht="30">
      <c r="A46" s="93" t="s">
        <v>241</v>
      </c>
      <c r="B46" s="167" t="s">
        <v>243</v>
      </c>
      <c r="C46" s="177" t="s">
        <v>595</v>
      </c>
      <c r="D46" s="172" t="s">
        <v>6</v>
      </c>
      <c r="E46" s="92">
        <f>'MEMÓRIA ONERADA'!E230</f>
        <v>9</v>
      </c>
      <c r="F46" s="81">
        <f>TRUNC('MEMÓRIA ONERADA'!F230,2)</f>
        <v>49.13</v>
      </c>
      <c r="G46" s="103">
        <f t="shared" si="2"/>
        <v>442.17</v>
      </c>
      <c r="CS46"/>
    </row>
    <row r="47" spans="1:97" ht="45">
      <c r="A47" s="93" t="s">
        <v>242</v>
      </c>
      <c r="B47" s="167" t="s">
        <v>289</v>
      </c>
      <c r="C47" s="177" t="s">
        <v>359</v>
      </c>
      <c r="D47" s="172" t="s">
        <v>6</v>
      </c>
      <c r="E47" s="92">
        <f>'MEMÓRIA ONERADA'!E234</f>
        <v>2</v>
      </c>
      <c r="F47" s="81">
        <f>TRUNC('MEMÓRIA ONERADA'!F234,2)</f>
        <v>176.72</v>
      </c>
      <c r="G47" s="103">
        <f t="shared" si="2"/>
        <v>353.44</v>
      </c>
      <c r="CS47"/>
    </row>
    <row r="48" spans="1:97" ht="30">
      <c r="A48" s="93" t="s">
        <v>246</v>
      </c>
      <c r="B48" s="167" t="s">
        <v>279</v>
      </c>
      <c r="C48" s="177" t="s">
        <v>360</v>
      </c>
      <c r="D48" s="172" t="s">
        <v>1</v>
      </c>
      <c r="E48" s="92">
        <v>1.6</v>
      </c>
      <c r="F48" s="81">
        <f>TRUNC('MEMÓRIA ONERADA'!F239,2)</f>
        <v>115.07</v>
      </c>
      <c r="G48" s="103">
        <f>TRUNC(E48*F48,2)</f>
        <v>184.11</v>
      </c>
      <c r="CS48"/>
    </row>
    <row r="49" spans="1:97" ht="30">
      <c r="A49" s="93" t="s">
        <v>572</v>
      </c>
      <c r="B49" s="94" t="s">
        <v>578</v>
      </c>
      <c r="C49" s="188" t="s">
        <v>581</v>
      </c>
      <c r="D49" s="93" t="s">
        <v>577</v>
      </c>
      <c r="E49" s="92">
        <v>21</v>
      </c>
      <c r="F49" s="81">
        <f>TRUNC('MEMÓRIA ONERADA'!F245,2)</f>
        <v>25.82</v>
      </c>
      <c r="G49" s="103">
        <f>TRUNC(E49*F49,2)</f>
        <v>542.22</v>
      </c>
      <c r="CS49"/>
    </row>
    <row r="50" spans="1:97" s="41" customFormat="1">
      <c r="A50" s="95" t="s">
        <v>33</v>
      </c>
      <c r="B50" s="168"/>
      <c r="C50" s="178"/>
      <c r="D50" s="173"/>
      <c r="E50" s="98"/>
      <c r="F50" s="98" t="s">
        <v>217</v>
      </c>
      <c r="G50" s="82">
        <f>G42+G43+G44+G45+G46+G47+G48+G49</f>
        <v>27434.16</v>
      </c>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row>
    <row r="51" spans="1:97" s="41" customFormat="1">
      <c r="A51" s="95" t="s">
        <v>77</v>
      </c>
      <c r="B51" s="168"/>
      <c r="C51" s="178" t="s">
        <v>78</v>
      </c>
      <c r="D51" s="173" t="s">
        <v>49</v>
      </c>
      <c r="E51" s="98"/>
      <c r="F51" s="98"/>
      <c r="G51" s="82"/>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row>
    <row r="52" spans="1:97" ht="40.5" customHeight="1">
      <c r="A52" s="93" t="s">
        <v>79</v>
      </c>
      <c r="B52" s="167" t="s">
        <v>594</v>
      </c>
      <c r="C52" s="177" t="s">
        <v>596</v>
      </c>
      <c r="D52" s="172" t="s">
        <v>6</v>
      </c>
      <c r="E52" s="92">
        <f>'MEMÓRIA ONERADA'!E259</f>
        <v>8</v>
      </c>
      <c r="F52" s="81">
        <f>TRUNC('MEMÓRIA ONERADA'!F259,2)</f>
        <v>355.72</v>
      </c>
      <c r="G52" s="103">
        <f>TRUNC(E52*F52,2)</f>
        <v>2845.76</v>
      </c>
      <c r="CS52"/>
    </row>
    <row r="53" spans="1:97" ht="30">
      <c r="A53" s="93" t="s">
        <v>80</v>
      </c>
      <c r="B53" s="167" t="s">
        <v>290</v>
      </c>
      <c r="C53" s="177" t="s">
        <v>362</v>
      </c>
      <c r="D53" s="172" t="s">
        <v>6</v>
      </c>
      <c r="E53" s="92">
        <f>'MEMÓRIA ONERADA'!E267</f>
        <v>4</v>
      </c>
      <c r="F53" s="81">
        <f>TRUNC('MEMÓRIA ONERADA'!F267,2)</f>
        <v>96.38</v>
      </c>
      <c r="G53" s="103">
        <f>TRUNC(E53*F53,2)</f>
        <v>385.52</v>
      </c>
      <c r="CS53"/>
    </row>
    <row r="54" spans="1:97" ht="60">
      <c r="A54" s="93" t="s">
        <v>310</v>
      </c>
      <c r="B54" s="167" t="s">
        <v>534</v>
      </c>
      <c r="C54" s="177" t="s">
        <v>535</v>
      </c>
      <c r="D54" s="172" t="s">
        <v>320</v>
      </c>
      <c r="E54" s="92">
        <v>1</v>
      </c>
      <c r="F54" s="92">
        <f>'MEMÓRIA ONERADA'!F275</f>
        <v>40.53</v>
      </c>
      <c r="G54" s="103">
        <f>TRUNC(E54*F54,2)</f>
        <v>40.53</v>
      </c>
      <c r="CS54"/>
    </row>
    <row r="55" spans="1:97">
      <c r="A55" s="93" t="s">
        <v>311</v>
      </c>
      <c r="B55" s="167" t="s">
        <v>327</v>
      </c>
      <c r="C55" s="177" t="s">
        <v>328</v>
      </c>
      <c r="D55" s="172" t="s">
        <v>320</v>
      </c>
      <c r="E55" s="92">
        <v>4</v>
      </c>
      <c r="F55" s="92">
        <f>'MEMÓRIA ONERADA'!F293</f>
        <v>11.2</v>
      </c>
      <c r="G55" s="103">
        <f>TRUNC(E55*F55,2)</f>
        <v>44.8</v>
      </c>
      <c r="CS55"/>
    </row>
    <row r="56" spans="1:97" s="41" customFormat="1">
      <c r="A56" s="95" t="s">
        <v>33</v>
      </c>
      <c r="B56" s="168"/>
      <c r="C56" s="178"/>
      <c r="D56" s="173"/>
      <c r="E56" s="98"/>
      <c r="F56" s="98" t="s">
        <v>218</v>
      </c>
      <c r="G56" s="82">
        <f>G52+G53+G54+G55</f>
        <v>3316.6100000000006</v>
      </c>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row>
    <row r="57" spans="1:97" s="41" customFormat="1">
      <c r="A57" s="95" t="s">
        <v>81</v>
      </c>
      <c r="B57" s="168"/>
      <c r="C57" s="178" t="s">
        <v>82</v>
      </c>
      <c r="D57" s="173" t="s">
        <v>49</v>
      </c>
      <c r="E57" s="98"/>
      <c r="F57" s="98"/>
      <c r="G57" s="82"/>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row>
    <row r="58" spans="1:97" ht="30">
      <c r="A58" s="93" t="s">
        <v>83</v>
      </c>
      <c r="B58" s="167" t="s">
        <v>293</v>
      </c>
      <c r="C58" s="177" t="s">
        <v>597</v>
      </c>
      <c r="D58" s="172" t="s">
        <v>84</v>
      </c>
      <c r="E58" s="92">
        <f>'MEMÓRIA ONERADA'!E301</f>
        <v>1</v>
      </c>
      <c r="F58" s="81">
        <f>TRUNC('MEMÓRIA ONERADA'!F301,2)</f>
        <v>2422.56</v>
      </c>
      <c r="G58" s="103">
        <f>TRUNC(E58*F58,2)</f>
        <v>2422.56</v>
      </c>
      <c r="CS58"/>
    </row>
    <row r="59" spans="1:97">
      <c r="A59" s="93" t="s">
        <v>85</v>
      </c>
      <c r="B59" s="167" t="s">
        <v>115</v>
      </c>
      <c r="C59" s="177" t="s">
        <v>364</v>
      </c>
      <c r="D59" s="172" t="s">
        <v>84</v>
      </c>
      <c r="E59" s="92">
        <f>'MEMÓRIA ONERADA'!E306</f>
        <v>1</v>
      </c>
      <c r="F59" s="81">
        <f>TRUNC('MEMÓRIA ONERADA'!F306,2)</f>
        <v>108.15</v>
      </c>
      <c r="G59" s="103">
        <f>TRUNC(E59*F59,2)</f>
        <v>108.15</v>
      </c>
      <c r="CS59"/>
    </row>
    <row r="60" spans="1:97" s="41" customFormat="1">
      <c r="A60" s="95" t="s">
        <v>33</v>
      </c>
      <c r="B60" s="168"/>
      <c r="C60" s="178"/>
      <c r="D60" s="173"/>
      <c r="E60" s="98"/>
      <c r="F60" s="98" t="s">
        <v>219</v>
      </c>
      <c r="G60" s="82">
        <f>G58+G59</f>
        <v>2530.71</v>
      </c>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row>
    <row r="61" spans="1:97" s="41" customFormat="1">
      <c r="A61" s="95" t="s">
        <v>86</v>
      </c>
      <c r="B61" s="168"/>
      <c r="C61" s="178" t="s">
        <v>87</v>
      </c>
      <c r="D61" s="173" t="s">
        <v>49</v>
      </c>
      <c r="E61" s="98"/>
      <c r="F61" s="98"/>
      <c r="G61" s="82"/>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row>
    <row r="62" spans="1:97" ht="30">
      <c r="A62" s="93" t="s">
        <v>88</v>
      </c>
      <c r="B62" s="167" t="s">
        <v>313</v>
      </c>
      <c r="C62" s="177" t="s">
        <v>554</v>
      </c>
      <c r="D62" s="172" t="s">
        <v>51</v>
      </c>
      <c r="E62" s="92">
        <f>'MEMÓRIA ONERADA'!E312</f>
        <v>145.5</v>
      </c>
      <c r="F62" s="81">
        <f>TRUNC('MEMÓRIA ONERADA'!F312,2)</f>
        <v>5.79</v>
      </c>
      <c r="G62" s="103">
        <f>TRUNC(E62*F62,2)</f>
        <v>842.44</v>
      </c>
      <c r="CS62"/>
    </row>
    <row r="63" spans="1:97" ht="33.75" customHeight="1">
      <c r="A63" s="93" t="s">
        <v>89</v>
      </c>
      <c r="B63" s="167" t="s">
        <v>116</v>
      </c>
      <c r="C63" s="177" t="s">
        <v>552</v>
      </c>
      <c r="D63" s="172" t="s">
        <v>51</v>
      </c>
      <c r="E63" s="92">
        <f>'MEMÓRIA ONERADA'!E319</f>
        <v>145.5</v>
      </c>
      <c r="F63" s="81">
        <f>TRUNC('MEMÓRIA ONERADA'!F319,2)</f>
        <v>14.29</v>
      </c>
      <c r="G63" s="103">
        <f>TRUNC(E63*F63,2)</f>
        <v>2079.19</v>
      </c>
      <c r="CS63"/>
    </row>
    <row r="64" spans="1:97" ht="45">
      <c r="A64" s="93" t="s">
        <v>90</v>
      </c>
      <c r="B64" s="167" t="s">
        <v>315</v>
      </c>
      <c r="C64" s="177" t="s">
        <v>551</v>
      </c>
      <c r="D64" s="172" t="s">
        <v>51</v>
      </c>
      <c r="E64" s="92">
        <f>'MEMÓRIA ONERADA'!E325</f>
        <v>130</v>
      </c>
      <c r="F64" s="81">
        <f>TRUNC('MEMÓRIA ONERADA'!F325,2)</f>
        <v>22.44</v>
      </c>
      <c r="G64" s="103">
        <f>TRUNC(E64*F64,2)</f>
        <v>2917.2</v>
      </c>
      <c r="CS64"/>
    </row>
    <row r="65" spans="1:97" s="41" customFormat="1">
      <c r="A65" s="95" t="s">
        <v>33</v>
      </c>
      <c r="B65" s="168"/>
      <c r="C65" s="178"/>
      <c r="D65" s="173"/>
      <c r="E65" s="98"/>
      <c r="F65" s="98" t="s">
        <v>220</v>
      </c>
      <c r="G65" s="82">
        <f>G62+G63+G64</f>
        <v>5838.83</v>
      </c>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row>
    <row r="66" spans="1:97" s="41" customFormat="1">
      <c r="A66" s="95" t="s">
        <v>91</v>
      </c>
      <c r="B66" s="168"/>
      <c r="C66" s="178" t="s">
        <v>378</v>
      </c>
      <c r="D66" s="173" t="s">
        <v>49</v>
      </c>
      <c r="E66" s="98"/>
      <c r="F66" s="98"/>
      <c r="G66" s="82"/>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row>
    <row r="67" spans="1:97" ht="30">
      <c r="A67" s="93" t="s">
        <v>92</v>
      </c>
      <c r="B67" s="167" t="s">
        <v>204</v>
      </c>
      <c r="C67" s="177" t="s">
        <v>367</v>
      </c>
      <c r="D67" s="172" t="s">
        <v>0</v>
      </c>
      <c r="E67" s="92">
        <f>'MEMÓRIA ONERADA'!E336</f>
        <v>40</v>
      </c>
      <c r="F67" s="81">
        <f>TRUNC('MEMÓRIA ONERADA'!F336,2)</f>
        <v>23.86</v>
      </c>
      <c r="G67" s="103">
        <f>TRUNC(E67*F67,2)</f>
        <v>954.4</v>
      </c>
      <c r="CS67"/>
    </row>
    <row r="68" spans="1:97" ht="30">
      <c r="A68" s="93" t="s">
        <v>93</v>
      </c>
      <c r="B68" s="167" t="s">
        <v>295</v>
      </c>
      <c r="C68" s="177" t="s">
        <v>368</v>
      </c>
      <c r="D68" s="172" t="s">
        <v>6</v>
      </c>
      <c r="E68" s="92">
        <f>'MEMÓRIA ONERADA'!E340</f>
        <v>8</v>
      </c>
      <c r="F68" s="81">
        <f>TRUNC('MEMÓRIA ONERADA'!F340,2)</f>
        <v>240</v>
      </c>
      <c r="G68" s="103">
        <f>TRUNC(E68*F68,2)</f>
        <v>1920</v>
      </c>
      <c r="CS68"/>
    </row>
    <row r="69" spans="1:97" ht="45">
      <c r="A69" s="93" t="s">
        <v>94</v>
      </c>
      <c r="B69" s="167" t="s">
        <v>118</v>
      </c>
      <c r="C69" s="177" t="s">
        <v>369</v>
      </c>
      <c r="D69" s="172" t="s">
        <v>95</v>
      </c>
      <c r="E69" s="92">
        <f>'MEMÓRIA ONERADA'!E346</f>
        <v>7.5</v>
      </c>
      <c r="F69" s="81">
        <f>TRUNC('MEMÓRIA ONERADA'!F346,2)</f>
        <v>84.5</v>
      </c>
      <c r="G69" s="103">
        <f>TRUNC(E69*F69,2)</f>
        <v>633.75</v>
      </c>
      <c r="CS69"/>
    </row>
    <row r="70" spans="1:97" ht="45">
      <c r="A70" s="93" t="s">
        <v>96</v>
      </c>
      <c r="B70" s="167" t="s">
        <v>119</v>
      </c>
      <c r="C70" s="177" t="s">
        <v>370</v>
      </c>
      <c r="D70" s="172" t="s">
        <v>97</v>
      </c>
      <c r="E70" s="92">
        <f>'MEMÓRIA ONERADA'!E353</f>
        <v>58.5</v>
      </c>
      <c r="F70" s="81">
        <f>TRUNC('MEMÓRIA ONERADA'!F353,2)</f>
        <v>0.88</v>
      </c>
      <c r="G70" s="103">
        <f>TRUNC(E70*F70,2)</f>
        <v>51.48</v>
      </c>
      <c r="CS70"/>
    </row>
    <row r="71" spans="1:97" s="41" customFormat="1">
      <c r="A71" s="95" t="s">
        <v>33</v>
      </c>
      <c r="B71" s="168"/>
      <c r="C71" s="178"/>
      <c r="D71" s="173"/>
      <c r="E71" s="98"/>
      <c r="F71" s="98" t="s">
        <v>221</v>
      </c>
      <c r="G71" s="82">
        <f>G67+G68+G69+G70</f>
        <v>3559.63</v>
      </c>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row>
    <row r="72" spans="1:97" s="41" customFormat="1">
      <c r="A72" s="95" t="s">
        <v>247</v>
      </c>
      <c r="B72" s="168"/>
      <c r="C72" s="178" t="s">
        <v>248</v>
      </c>
      <c r="D72" s="173" t="s">
        <v>49</v>
      </c>
      <c r="E72" s="98"/>
      <c r="F72" s="98"/>
      <c r="G72" s="82"/>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row>
    <row r="73" spans="1:97" ht="45">
      <c r="A73" s="93" t="s">
        <v>249</v>
      </c>
      <c r="B73" s="167" t="s">
        <v>254</v>
      </c>
      <c r="C73" s="177" t="s">
        <v>372</v>
      </c>
      <c r="D73" s="172" t="s">
        <v>255</v>
      </c>
      <c r="E73" s="92">
        <f>'MEMÓRIA ONERADA'!E359</f>
        <v>80.849999999999994</v>
      </c>
      <c r="F73" s="81">
        <f>TRUNC('MEMÓRIA ONERADA'!F359,2)</f>
        <v>12</v>
      </c>
      <c r="G73" s="103">
        <f>TRUNC(E73*F73,2)</f>
        <v>970.2</v>
      </c>
      <c r="CS73"/>
    </row>
    <row r="74" spans="1:97" ht="30">
      <c r="A74" s="93" t="s">
        <v>250</v>
      </c>
      <c r="B74" s="167" t="s">
        <v>257</v>
      </c>
      <c r="C74" s="177" t="s">
        <v>373</v>
      </c>
      <c r="D74" s="172" t="s">
        <v>51</v>
      </c>
      <c r="E74" s="92">
        <f>'MEMÓRIA ONERADA'!E363</f>
        <v>26.95</v>
      </c>
      <c r="F74" s="81">
        <f>TRUNC('MEMÓRIA ONERADA'!F363,2)</f>
        <v>6.81</v>
      </c>
      <c r="G74" s="103">
        <f>TRUNC(E74*F74,2)</f>
        <v>183.52</v>
      </c>
      <c r="CS74"/>
    </row>
    <row r="75" spans="1:97" ht="30">
      <c r="A75" s="93" t="s">
        <v>251</v>
      </c>
      <c r="B75" s="167" t="s">
        <v>258</v>
      </c>
      <c r="C75" s="177" t="s">
        <v>374</v>
      </c>
      <c r="D75" s="172" t="s">
        <v>259</v>
      </c>
      <c r="E75" s="92">
        <f>'MEMÓRIA ONERADA'!E367</f>
        <v>404.25</v>
      </c>
      <c r="F75" s="81">
        <f>TRUNC('MEMÓRIA ONERADA'!F367,2)</f>
        <v>0.13</v>
      </c>
      <c r="G75" s="103">
        <f>TRUNC(E75*F75,2)</f>
        <v>52.55</v>
      </c>
      <c r="CS75"/>
    </row>
    <row r="76" spans="1:97" ht="30">
      <c r="A76" s="93" t="s">
        <v>252</v>
      </c>
      <c r="B76" s="167" t="s">
        <v>331</v>
      </c>
      <c r="C76" s="177" t="s">
        <v>375</v>
      </c>
      <c r="D76" s="172" t="s">
        <v>51</v>
      </c>
      <c r="E76" s="92">
        <f>'MEMÓRIA ONERADA'!E371</f>
        <v>7.7</v>
      </c>
      <c r="F76" s="81">
        <f>TRUNC('MEMÓRIA ONERADA'!F371,2)</f>
        <v>3.53</v>
      </c>
      <c r="G76" s="103">
        <f>TRUNC(E76*F76,2)</f>
        <v>27.18</v>
      </c>
      <c r="CS76"/>
    </row>
    <row r="77" spans="1:97" ht="30">
      <c r="A77" s="93" t="s">
        <v>262</v>
      </c>
      <c r="B77" s="167" t="s">
        <v>263</v>
      </c>
      <c r="C77" s="177" t="s">
        <v>376</v>
      </c>
      <c r="D77" s="172" t="s">
        <v>1</v>
      </c>
      <c r="E77" s="92">
        <f>'MEMÓRIA ONERADA'!E378</f>
        <v>76.099999999999994</v>
      </c>
      <c r="F77" s="81">
        <f>TRUNC('MEMÓRIA ONERADA'!F378,2)</f>
        <v>0.17</v>
      </c>
      <c r="G77" s="103">
        <f>TRUNC(E77*F77,2)</f>
        <v>12.93</v>
      </c>
      <c r="CS77"/>
    </row>
    <row r="78" spans="1:97" s="41" customFormat="1">
      <c r="A78" s="95" t="s">
        <v>33</v>
      </c>
      <c r="B78" s="96"/>
      <c r="C78" s="175"/>
      <c r="D78" s="95"/>
      <c r="E78" s="98"/>
      <c r="F78" s="98" t="s">
        <v>253</v>
      </c>
      <c r="G78" s="82">
        <f>G73+G74+G75+G76</f>
        <v>1233.45</v>
      </c>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row>
    <row r="79" spans="1:97" s="41" customFormat="1">
      <c r="A79" s="95" t="s">
        <v>33</v>
      </c>
      <c r="B79" s="96"/>
      <c r="C79" s="97"/>
      <c r="D79" s="95"/>
      <c r="E79" s="98"/>
      <c r="F79" s="98" t="s">
        <v>34</v>
      </c>
      <c r="G79" s="82">
        <f>G24+G28+G32+G40+G50+G56+G60+G65+G71+G78</f>
        <v>133563.26000000004</v>
      </c>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row>
  </sheetData>
  <mergeCells count="13">
    <mergeCell ref="D3:G3"/>
    <mergeCell ref="D4:G4"/>
    <mergeCell ref="D5:G5"/>
    <mergeCell ref="D6:G6"/>
    <mergeCell ref="D7:G7"/>
    <mergeCell ref="D8:G8"/>
    <mergeCell ref="A9:G9"/>
    <mergeCell ref="A10:A11"/>
    <mergeCell ref="B10:B11"/>
    <mergeCell ref="C10:C11"/>
    <mergeCell ref="D10:D11"/>
    <mergeCell ref="E10:E11"/>
    <mergeCell ref="F10:G10"/>
  </mergeCells>
  <pageMargins left="0.51181102362204722" right="0.51181102362204722" top="0.78740157480314965" bottom="0.78740157480314965" header="0.31496062992125984" footer="0.31496062992125984"/>
  <pageSetup paperSize="9" scale="46" orientation="portrait" horizontalDpi="4294967293" r:id="rId1"/>
  <headerFooter>
    <oddFooter>&amp;C&amp;A&amp;RPágina &amp;P de &amp;N</oddFooter>
  </headerFooter>
  <drawing r:id="rId2"/>
</worksheet>
</file>

<file path=xl/worksheets/sheet3.xml><?xml version="1.0" encoding="utf-8"?>
<worksheet xmlns="http://schemas.openxmlformats.org/spreadsheetml/2006/main" xmlns:r="http://schemas.openxmlformats.org/officeDocument/2006/relationships">
  <dimension ref="A1:CS81"/>
  <sheetViews>
    <sheetView tabSelected="1" view="pageBreakPreview" topLeftCell="A46" zoomScale="70" zoomScaleNormal="100" zoomScaleSheetLayoutView="70" workbookViewId="0">
      <selection activeCell="B52" sqref="B52"/>
    </sheetView>
  </sheetViews>
  <sheetFormatPr defaultRowHeight="15"/>
  <cols>
    <col min="1" max="1" width="9.140625" style="65"/>
    <col min="2" max="2" width="23.7109375" style="65" customWidth="1"/>
    <col min="3" max="3" width="104" style="66" customWidth="1"/>
    <col min="4" max="4" width="11.140625" style="65" customWidth="1"/>
    <col min="5" max="5" width="11.7109375" style="67" customWidth="1"/>
    <col min="6" max="6" width="19.85546875" style="42" bestFit="1" customWidth="1"/>
    <col min="7" max="7" width="20.5703125" style="120" customWidth="1"/>
    <col min="8" max="9" width="21.42578125" style="120" customWidth="1"/>
    <col min="10" max="10" width="13.140625" style="42" bestFit="1" customWidth="1"/>
    <col min="11" max="11" width="9.140625" style="42"/>
    <col min="12" max="12" width="9.7109375" style="42" bestFit="1" customWidth="1"/>
    <col min="13" max="16384" width="9.140625" style="42"/>
  </cols>
  <sheetData>
    <row r="1" spans="1:97" customFormat="1" ht="15.75">
      <c r="A1" s="2"/>
      <c r="B1" s="3"/>
      <c r="C1" s="4" t="s">
        <v>8</v>
      </c>
      <c r="D1" s="5"/>
      <c r="E1" s="6"/>
      <c r="F1" s="7"/>
      <c r="G1" s="99"/>
      <c r="H1" s="110"/>
      <c r="I1" s="111"/>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row>
    <row r="2" spans="1:97" customFormat="1" ht="15.75">
      <c r="A2" s="8"/>
      <c r="B2" s="9"/>
      <c r="C2" s="10" t="s">
        <v>9</v>
      </c>
      <c r="D2" s="11"/>
      <c r="E2" s="12"/>
      <c r="F2" s="13"/>
      <c r="G2" s="100"/>
      <c r="H2" s="104"/>
      <c r="I2" s="112"/>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row>
    <row r="3" spans="1:97" customFormat="1" ht="15.75">
      <c r="A3" s="8"/>
      <c r="B3" s="9"/>
      <c r="C3" s="10" t="s">
        <v>10</v>
      </c>
      <c r="D3" s="198" t="s">
        <v>45</v>
      </c>
      <c r="E3" s="199"/>
      <c r="F3" s="199"/>
      <c r="G3" s="200"/>
      <c r="H3" s="104"/>
      <c r="I3" s="112"/>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row>
    <row r="4" spans="1:97" customFormat="1" ht="15.75" customHeight="1">
      <c r="A4" s="8"/>
      <c r="B4" s="9"/>
      <c r="C4" s="14" t="s">
        <v>43</v>
      </c>
      <c r="D4" s="201" t="s">
        <v>38</v>
      </c>
      <c r="E4" s="202"/>
      <c r="F4" s="202"/>
      <c r="G4" s="203"/>
      <c r="H4" s="104"/>
      <c r="I4" s="112"/>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row>
    <row r="5" spans="1:97" customFormat="1" ht="15.75" customHeight="1">
      <c r="A5" s="8"/>
      <c r="B5" s="9"/>
      <c r="C5" s="43" t="s">
        <v>44</v>
      </c>
      <c r="D5" s="204" t="s">
        <v>47</v>
      </c>
      <c r="E5" s="205"/>
      <c r="F5" s="205"/>
      <c r="G5" s="206"/>
      <c r="H5" s="104"/>
      <c r="I5" s="112"/>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row>
    <row r="6" spans="1:97" customFormat="1" ht="15.75">
      <c r="A6" s="8"/>
      <c r="B6" s="9"/>
      <c r="C6" s="15" t="s">
        <v>42</v>
      </c>
      <c r="D6" s="207" t="s">
        <v>46</v>
      </c>
      <c r="E6" s="208"/>
      <c r="F6" s="208"/>
      <c r="G6" s="209"/>
      <c r="H6" s="104"/>
      <c r="I6" s="112"/>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row>
    <row r="7" spans="1:97" customFormat="1" ht="15.75">
      <c r="A7" s="8"/>
      <c r="B7" s="9"/>
      <c r="C7" s="44"/>
      <c r="D7" s="207" t="s">
        <v>18</v>
      </c>
      <c r="E7" s="208"/>
      <c r="F7" s="208"/>
      <c r="G7" s="209"/>
      <c r="H7" s="104"/>
      <c r="I7" s="112"/>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row>
    <row r="8" spans="1:97" customFormat="1" ht="15.75">
      <c r="A8" s="16"/>
      <c r="B8" s="17"/>
      <c r="C8" s="18"/>
      <c r="D8" s="210" t="s">
        <v>35</v>
      </c>
      <c r="E8" s="211"/>
      <c r="F8" s="211"/>
      <c r="G8" s="212"/>
      <c r="H8" s="113"/>
      <c r="I8" s="114"/>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row>
    <row r="9" spans="1:97" ht="18" customHeight="1">
      <c r="A9" s="213" t="s">
        <v>539</v>
      </c>
      <c r="B9" s="214"/>
      <c r="C9" s="214"/>
      <c r="D9" s="215"/>
      <c r="E9" s="215"/>
      <c r="F9" s="215"/>
      <c r="G9" s="215"/>
      <c r="H9" s="215"/>
      <c r="I9" s="215"/>
    </row>
    <row r="10" spans="1:97" ht="18">
      <c r="A10" s="220" t="s">
        <v>12</v>
      </c>
      <c r="B10" s="222" t="s">
        <v>13</v>
      </c>
      <c r="C10" s="224" t="s">
        <v>14</v>
      </c>
      <c r="D10" s="220" t="s">
        <v>6</v>
      </c>
      <c r="E10" s="225" t="s">
        <v>15</v>
      </c>
      <c r="F10" s="216" t="s">
        <v>16</v>
      </c>
      <c r="G10" s="217"/>
      <c r="H10" s="217"/>
      <c r="I10" s="218"/>
    </row>
    <row r="11" spans="1:97" ht="18">
      <c r="A11" s="221"/>
      <c r="B11" s="223"/>
      <c r="C11" s="222"/>
      <c r="D11" s="221"/>
      <c r="E11" s="226"/>
      <c r="F11" s="62" t="s">
        <v>17</v>
      </c>
      <c r="G11" s="115" t="s">
        <v>36</v>
      </c>
      <c r="H11" s="115" t="s">
        <v>4</v>
      </c>
      <c r="I11" s="116" t="s">
        <v>4</v>
      </c>
    </row>
    <row r="12" spans="1:97" s="63" customFormat="1" ht="18.75">
      <c r="A12" s="121" t="str">
        <f>'MEMÓRIA RESUMIDA'!A12</f>
        <v>1.1</v>
      </c>
      <c r="B12" s="121"/>
      <c r="C12" s="122" t="str">
        <f>'MEMÓRIA RESUMIDA'!C12</f>
        <v>SERVIÇOS PRELIMINARES</v>
      </c>
      <c r="D12" s="121"/>
      <c r="E12" s="121"/>
      <c r="F12" s="121"/>
      <c r="G12" s="123"/>
      <c r="H12" s="124"/>
      <c r="I12" s="124"/>
    </row>
    <row r="13" spans="1:97" ht="30">
      <c r="A13" s="49" t="str">
        <f>'MEMÓRIA RESUMIDA'!A13</f>
        <v>1.1.1.</v>
      </c>
      <c r="B13" s="49" t="str">
        <f>'MEMÓRIA RESUMIDA'!B13</f>
        <v>02.020.0001-0</v>
      </c>
      <c r="C13" s="45" t="str">
        <f>'MEMÓRIA RESUMIDA'!C13</f>
        <v>Placa de identificacao de obra publica,inclusive pintura e suportes de madeira.fornecimento e colocacao (obs.:3% - desgaste de ferramentas e epi).</v>
      </c>
      <c r="D13" s="49" t="str">
        <f>'MEMÓRIA RESUMIDA'!D13</f>
        <v>M2</v>
      </c>
      <c r="E13" s="60">
        <f>'MEMÓRIA RESUMIDA'!E13</f>
        <v>6</v>
      </c>
      <c r="F13" s="49">
        <f>'MEMÓRIA RESUMIDA'!F13</f>
        <v>383.21</v>
      </c>
      <c r="G13" s="118">
        <f>TRUNC((F13*1.2338),2)</f>
        <v>472.8</v>
      </c>
      <c r="H13" s="118">
        <f>TRUNC((E13*F13),2)</f>
        <v>2299.2600000000002</v>
      </c>
      <c r="I13" s="118">
        <f>TRUNC((E13*G13),2)</f>
        <v>2836.8</v>
      </c>
      <c r="J13" s="48"/>
      <c r="L13" s="84"/>
    </row>
    <row r="14" spans="1:97" ht="15.75">
      <c r="A14" s="49" t="str">
        <f>'MEMÓRIA RESUMIDA'!A14</f>
        <v>1.1.2.</v>
      </c>
      <c r="B14" s="49" t="str">
        <f>'MEMÓRIA RESUMIDA'!B14</f>
        <v>09.005.0009-0</v>
      </c>
      <c r="C14" s="45" t="str">
        <f>'MEMÓRIA RESUMIDA'!C14</f>
        <v>Retirada de grama em placas inclusive granulada e areia</v>
      </c>
      <c r="D14" s="49" t="str">
        <f>'MEMÓRIA RESUMIDA'!D14</f>
        <v>M2</v>
      </c>
      <c r="E14" s="60">
        <f>'MEMÓRIA RESUMIDA'!E14</f>
        <v>421</v>
      </c>
      <c r="F14" s="49">
        <f>'MEMÓRIA RESUMIDA'!F14</f>
        <v>1.3</v>
      </c>
      <c r="G14" s="118">
        <f t="shared" ref="G14:G23" si="0">TRUNC((F14*1.2338),2)</f>
        <v>1.6</v>
      </c>
      <c r="H14" s="118">
        <f t="shared" ref="H14:H23" si="1">TRUNC((E14*F14),2)</f>
        <v>547.29999999999995</v>
      </c>
      <c r="I14" s="118">
        <f t="shared" ref="I14:I23" si="2">TRUNC((E14*G14),2)</f>
        <v>673.6</v>
      </c>
      <c r="J14" s="48"/>
      <c r="L14" s="68"/>
    </row>
    <row r="15" spans="1:97" ht="15.75">
      <c r="A15" s="49" t="str">
        <f>'MEMÓRIA RESUMIDA'!A15</f>
        <v>1.1.3.</v>
      </c>
      <c r="B15" s="49" t="str">
        <f>'MEMÓRIA RESUMIDA'!B15</f>
        <v>05.001.0147-5</v>
      </c>
      <c r="C15" s="45" t="str">
        <f>'MEMÓRIA RESUMIDA'!C15</f>
        <v>Arrancamento cuidadosa de telas do alambrado para reaproveitamento.</v>
      </c>
      <c r="D15" s="49" t="str">
        <f>'MEMÓRIA RESUMIDA'!D15</f>
        <v>M2</v>
      </c>
      <c r="E15" s="60">
        <f>'MEMÓRIA RESUMIDA'!E15</f>
        <v>343</v>
      </c>
      <c r="F15" s="49">
        <f>'MEMÓRIA RESUMIDA'!F15</f>
        <v>3.31</v>
      </c>
      <c r="G15" s="118">
        <f t="shared" si="0"/>
        <v>4.08</v>
      </c>
      <c r="H15" s="118">
        <f t="shared" si="1"/>
        <v>1135.33</v>
      </c>
      <c r="I15" s="118">
        <f t="shared" si="2"/>
        <v>1399.44</v>
      </c>
      <c r="J15" s="48"/>
      <c r="L15" s="68"/>
    </row>
    <row r="16" spans="1:97" ht="30">
      <c r="A16" s="49" t="str">
        <f>'MEMÓRIA RESUMIDA'!A16</f>
        <v>1.1.4.</v>
      </c>
      <c r="B16" s="49" t="str">
        <f>'MEMÓRIA RESUMIDA'!B16</f>
        <v>05.001.0138-0</v>
      </c>
      <c r="C16" s="45" t="str">
        <f>'MEMÓRIA RESUMIDA'!C16</f>
        <v>Arrancamento de tubulacao de ferro galvanizado,sem escavacao ou rasgo em alvenaria (obs.:3%-desgaste de ferramentas e epi).</v>
      </c>
      <c r="D16" s="49" t="str">
        <f>'MEMÓRIA RESUMIDA'!D16</f>
        <v>M</v>
      </c>
      <c r="E16" s="60">
        <f>'MEMÓRIA RESUMIDA'!E16</f>
        <v>25.7</v>
      </c>
      <c r="F16" s="49">
        <f>'MEMÓRIA RESUMIDA'!F16</f>
        <v>5.88</v>
      </c>
      <c r="G16" s="118">
        <f t="shared" si="0"/>
        <v>7.25</v>
      </c>
      <c r="H16" s="118">
        <f t="shared" si="1"/>
        <v>151.11000000000001</v>
      </c>
      <c r="I16" s="118">
        <f t="shared" si="2"/>
        <v>186.32</v>
      </c>
      <c r="J16" s="48"/>
      <c r="L16" s="68"/>
    </row>
    <row r="17" spans="1:12" ht="30">
      <c r="A17" s="49" t="str">
        <f>'MEMÓRIA RESUMIDA'!A17</f>
        <v>1.1.5.</v>
      </c>
      <c r="B17" s="49" t="str">
        <f>'MEMÓRIA RESUMIDA'!B17</f>
        <v>05.001.0138-0</v>
      </c>
      <c r="C17" s="45" t="str">
        <f>'MEMÓRIA RESUMIDA'!C17</f>
        <v>Arrancamento de tubulacao de ferro galvanizado,sem escavacao ou rasgo em alvenaria (obs.:3%-desgaste de ferramentas e epi). (traves)</v>
      </c>
      <c r="D17" s="49" t="str">
        <f>'MEMÓRIA RESUMIDA'!D17</f>
        <v>M</v>
      </c>
      <c r="E17" s="60">
        <f>'MEMÓRIA RESUMIDA'!E17</f>
        <v>18</v>
      </c>
      <c r="F17" s="49">
        <f>'MEMÓRIA RESUMIDA'!F17</f>
        <v>2.2799999999999998</v>
      </c>
      <c r="G17" s="118">
        <f t="shared" si="0"/>
        <v>2.81</v>
      </c>
      <c r="H17" s="118">
        <f t="shared" si="1"/>
        <v>41.04</v>
      </c>
      <c r="I17" s="118">
        <f t="shared" si="2"/>
        <v>50.58</v>
      </c>
      <c r="J17" s="48"/>
      <c r="L17" s="68"/>
    </row>
    <row r="18" spans="1:12" ht="45">
      <c r="A18" s="49" t="str">
        <f>'MEMÓRIA RESUMIDA'!A18</f>
        <v>1.1.6.</v>
      </c>
      <c r="B18" s="148" t="str">
        <f>'MEMÓRIA RESUMIDA'!B18</f>
        <v>05.026.0004-0 + 05.027.0011-0</v>
      </c>
      <c r="C18" s="45" t="str">
        <f>'MEMÓRIA RESUMIDA'!C18</f>
        <v>Corte com macarico manual de oxiacetileno,em chapa de aco na espessura de 1/2" inclusive solda  para redução de altura (readequação da altura dos postes de iluminação da lateral voltada para pista)</v>
      </c>
      <c r="D18" s="49" t="str">
        <f>'MEMÓRIA RESUMIDA'!D18</f>
        <v>un</v>
      </c>
      <c r="E18" s="60">
        <f>'MEMÓRIA RESUMIDA'!E18</f>
        <v>2</v>
      </c>
      <c r="F18" s="49">
        <f>'MEMÓRIA RESUMIDA'!F18</f>
        <v>63.66</v>
      </c>
      <c r="G18" s="118">
        <f t="shared" si="0"/>
        <v>78.540000000000006</v>
      </c>
      <c r="H18" s="118">
        <f t="shared" si="1"/>
        <v>127.32</v>
      </c>
      <c r="I18" s="118">
        <f t="shared" si="2"/>
        <v>157.08000000000001</v>
      </c>
      <c r="J18" s="48"/>
      <c r="L18" s="68"/>
    </row>
    <row r="19" spans="1:12" ht="15.75">
      <c r="A19" s="49" t="str">
        <f>'MEMÓRIA RESUMIDA'!A19</f>
        <v>1.1.7.</v>
      </c>
      <c r="B19" s="49" t="str">
        <f>'MEMÓRIA RESUMIDA'!B19</f>
        <v>21.004.0140-0</v>
      </c>
      <c r="C19" s="45" t="str">
        <f>'MEMÓRIA RESUMIDA'!C19</f>
        <v>Retirada de luminaria em altura de 4,00 a 9,00m</v>
      </c>
      <c r="D19" s="49" t="str">
        <f>'MEMÓRIA RESUMIDA'!D19</f>
        <v>UN</v>
      </c>
      <c r="E19" s="60">
        <f>'MEMÓRIA RESUMIDA'!E19</f>
        <v>4</v>
      </c>
      <c r="F19" s="49">
        <f>'MEMÓRIA RESUMIDA'!F19</f>
        <v>6.6</v>
      </c>
      <c r="G19" s="118">
        <f t="shared" si="0"/>
        <v>8.14</v>
      </c>
      <c r="H19" s="118">
        <f t="shared" si="1"/>
        <v>26.4</v>
      </c>
      <c r="I19" s="118">
        <f t="shared" si="2"/>
        <v>32.56</v>
      </c>
      <c r="J19" s="48"/>
      <c r="L19" s="68"/>
    </row>
    <row r="20" spans="1:12" ht="30">
      <c r="A20" s="49" t="str">
        <f>'MEMÓRIA RESUMIDA'!A20</f>
        <v>1.1.8.</v>
      </c>
      <c r="B20" s="49" t="str">
        <f>'MEMÓRIA RESUMIDA'!B20</f>
        <v>COMPOISÇÃO</v>
      </c>
      <c r="C20" s="45" t="str">
        <f>'MEMÓRIA RESUMIDA'!C20</f>
        <v>Retirada de tela em polietileno de alta densidade,100% virgem,com malha de (5x5)cm,fio de 2,5mm,com resistencia de 350kg/m2.</v>
      </c>
      <c r="D20" s="49" t="str">
        <f>'MEMÓRIA RESUMIDA'!D20</f>
        <v>M2</v>
      </c>
      <c r="E20" s="60">
        <f>'MEMÓRIA RESUMIDA'!E20</f>
        <v>466.4</v>
      </c>
      <c r="F20" s="49">
        <f>'MEMÓRIA RESUMIDA'!F20</f>
        <v>3.31</v>
      </c>
      <c r="G20" s="118">
        <f t="shared" si="0"/>
        <v>4.08</v>
      </c>
      <c r="H20" s="118">
        <f t="shared" si="1"/>
        <v>1543.78</v>
      </c>
      <c r="I20" s="118">
        <f t="shared" si="2"/>
        <v>1902.91</v>
      </c>
      <c r="J20" s="48"/>
      <c r="L20" s="68"/>
    </row>
    <row r="21" spans="1:12" ht="30">
      <c r="A21" s="49" t="str">
        <f>'MEMÓRIA RESUMIDA'!A21</f>
        <v>1.1.9.</v>
      </c>
      <c r="B21" s="49" t="str">
        <f>'MEMÓRIA RESUMIDA'!B21</f>
        <v>05.002.0001-0</v>
      </c>
      <c r="C21" s="45" t="str">
        <f>'MEMÓRIA RESUMIDA'!C21</f>
        <v>Demolicao,com equipamento de ar comprimido,de pisos ou pavim entos de concreto simples,inclusive empilhamento lateral den tro do canteiro de servico</v>
      </c>
      <c r="D21" s="49" t="str">
        <f>'MEMÓRIA RESUMIDA'!D21</f>
        <v>M3</v>
      </c>
      <c r="E21" s="60">
        <f>'MEMÓRIA RESUMIDA'!E21</f>
        <v>5.25</v>
      </c>
      <c r="F21" s="49">
        <f>'MEMÓRIA RESUMIDA'!F21</f>
        <v>145.65</v>
      </c>
      <c r="G21" s="118">
        <f t="shared" si="0"/>
        <v>179.7</v>
      </c>
      <c r="H21" s="118">
        <f t="shared" si="1"/>
        <v>764.66</v>
      </c>
      <c r="I21" s="118">
        <f t="shared" si="2"/>
        <v>943.42</v>
      </c>
      <c r="J21" s="48"/>
      <c r="L21" s="68"/>
    </row>
    <row r="22" spans="1:12" ht="30">
      <c r="A22" s="49" t="str">
        <f>'MEMÓRIA RESUMIDA'!A22</f>
        <v>1.1.10</v>
      </c>
      <c r="B22" s="49" t="str">
        <f>'MEMÓRIA RESUMIDA'!B22</f>
        <v>05.001.0142-0</v>
      </c>
      <c r="C22" s="45" t="str">
        <f>'MEMÓRIA RESUMIDA'!C22</f>
        <v>Arrancamento de meios-fios,de granito ou concreto,retos ou c urvos,inclusive empilhamento lateral dentro do canteiro de s ervico</v>
      </c>
      <c r="D22" s="49" t="str">
        <f>'MEMÓRIA RESUMIDA'!D22</f>
        <v>M</v>
      </c>
      <c r="E22" s="60">
        <f>'MEMÓRIA RESUMIDA'!E22</f>
        <v>15</v>
      </c>
      <c r="F22" s="49">
        <f>'MEMÓRIA RESUMIDA'!F22</f>
        <v>18.75</v>
      </c>
      <c r="G22" s="118">
        <f t="shared" si="0"/>
        <v>23.13</v>
      </c>
      <c r="H22" s="118">
        <f t="shared" si="1"/>
        <v>281.25</v>
      </c>
      <c r="I22" s="118">
        <f t="shared" si="2"/>
        <v>346.95</v>
      </c>
      <c r="J22" s="48"/>
      <c r="L22" s="68"/>
    </row>
    <row r="23" spans="1:12" ht="15.75">
      <c r="A23" s="49" t="str">
        <f>'MEMÓRIA RESUMIDA'!A23</f>
        <v>1.1.11</v>
      </c>
      <c r="B23" s="49" t="str">
        <f>'MEMÓRIA RESUMIDA'!B23</f>
        <v>05.001.0007-0</v>
      </c>
      <c r="C23" s="45" t="str">
        <f>'MEMÓRIA RESUMIDA'!C23</f>
        <v>Demolicao de revestimento em argamassa de cal e areia ou cim ento e saibro</v>
      </c>
      <c r="D23" s="49" t="str">
        <f>'MEMÓRIA RESUMIDA'!D23</f>
        <v>M2</v>
      </c>
      <c r="E23" s="60">
        <f>'MEMÓRIA RESUMIDA'!E23</f>
        <v>10</v>
      </c>
      <c r="F23" s="49">
        <f>'MEMÓRIA RESUMIDA'!F23</f>
        <v>8.52</v>
      </c>
      <c r="G23" s="118">
        <f t="shared" si="0"/>
        <v>10.51</v>
      </c>
      <c r="H23" s="118">
        <f t="shared" si="1"/>
        <v>85.2</v>
      </c>
      <c r="I23" s="118">
        <f t="shared" si="2"/>
        <v>105.1</v>
      </c>
      <c r="J23" s="48"/>
      <c r="L23" s="68"/>
    </row>
    <row r="24" spans="1:12" s="61" customFormat="1" ht="15.75">
      <c r="A24" s="56" t="str">
        <f>'MEMÓRIA RESUMIDA'!A24</f>
        <v>X</v>
      </c>
      <c r="B24" s="56"/>
      <c r="C24" s="106"/>
      <c r="D24" s="56"/>
      <c r="E24" s="132"/>
      <c r="F24" s="56" t="str">
        <f>'MEMÓRIA RESUMIDA'!F24</f>
        <v>SUB-TOTAL 1.1</v>
      </c>
      <c r="G24" s="117"/>
      <c r="H24" s="117">
        <f>SUM(H13:H23)</f>
        <v>7002.6499999999987</v>
      </c>
      <c r="I24" s="117">
        <f>SUM(I13:I23)</f>
        <v>8634.76</v>
      </c>
      <c r="J24" s="107"/>
      <c r="L24" s="75"/>
    </row>
    <row r="25" spans="1:12" ht="15.75">
      <c r="A25" s="121" t="str">
        <f>'MEMÓRIA RESUMIDA'!A25</f>
        <v>1.2.</v>
      </c>
      <c r="B25" s="121"/>
      <c r="C25" s="122" t="str">
        <f>'MEMÓRIA RESUMIDA'!C25</f>
        <v>CONCRETO ARMADO</v>
      </c>
      <c r="D25" s="121"/>
      <c r="E25" s="133"/>
      <c r="F25" s="121"/>
      <c r="G25" s="123"/>
      <c r="H25" s="125"/>
      <c r="I25" s="125"/>
      <c r="J25" s="48"/>
      <c r="L25" s="68"/>
    </row>
    <row r="26" spans="1:12" ht="39.75" customHeight="1">
      <c r="A26" s="49" t="str">
        <f>'MEMÓRIA RESUMIDA'!A26</f>
        <v>1.2.1.</v>
      </c>
      <c r="B26" s="49" t="str">
        <f>'MEMÓRIA RESUMIDA'!B26</f>
        <v>SO00000095952</v>
      </c>
      <c r="C26" s="45" t="str">
        <f>'MEMÓRIA RESUMIDA'!C26</f>
        <v>Execução de estruturas de concreto armado convencional, preparo em betoneira,para edificação habitacional multifamiliar (prédio), fck = 25 mpa. Af_01/2017, inclusive formas (muro do gol divisa com particular)</v>
      </c>
      <c r="D26" s="49" t="str">
        <f>'MEMÓRIA RESUMIDA'!D26</f>
        <v>M3</v>
      </c>
      <c r="E26" s="60">
        <f>'MEMÓRIA RESUMIDA'!E26</f>
        <v>0.95</v>
      </c>
      <c r="F26" s="49">
        <f>'MEMÓRIA RESUMIDA'!F26</f>
        <v>2051.54</v>
      </c>
      <c r="G26" s="118">
        <f>TRUNC((F26*1.2338),2)</f>
        <v>2531.19</v>
      </c>
      <c r="H26" s="118">
        <f>TRUNC((E26*F26),2)</f>
        <v>1948.96</v>
      </c>
      <c r="I26" s="118">
        <f>TRUNC((E26*G26),2)</f>
        <v>2404.63</v>
      </c>
      <c r="J26" s="48"/>
      <c r="L26" s="68"/>
    </row>
    <row r="27" spans="1:12" s="61" customFormat="1" ht="38.25" customHeight="1">
      <c r="A27" s="49" t="str">
        <f>'MEMÓRIA RESUMIDA'!A27</f>
        <v>1.2.2.</v>
      </c>
      <c r="B27" s="49" t="str">
        <f>'MEMÓRIA RESUMIDA'!B27</f>
        <v>SO00000101176</v>
      </c>
      <c r="C27" s="45" t="str">
        <f>'MEMÓRIA RESUMIDA'!C27</f>
        <v>Estaca broca de concreto, preparo em betoneira, diâmetro de 30cm, inclusive escavação manual com trado concha, inteiramente armada. Af_05/2020 (trados)</v>
      </c>
      <c r="D27" s="49" t="str">
        <f>'MEMÓRIA RESUMIDA'!D27</f>
        <v>M</v>
      </c>
      <c r="E27" s="60">
        <f>'MEMÓRIA RESUMIDA'!E27</f>
        <v>4</v>
      </c>
      <c r="F27" s="49">
        <f>'MEMÓRIA RESUMIDA'!F27</f>
        <v>151.94999999999999</v>
      </c>
      <c r="G27" s="118">
        <f>TRUNC((F27*1.2338),2)</f>
        <v>187.47</v>
      </c>
      <c r="H27" s="118">
        <f>TRUNC((E27*F27),2)</f>
        <v>607.79999999999995</v>
      </c>
      <c r="I27" s="118">
        <f>TRUNC((E27*G27),2)</f>
        <v>749.88</v>
      </c>
      <c r="J27" s="48"/>
      <c r="K27" s="42"/>
      <c r="L27" s="75"/>
    </row>
    <row r="28" spans="1:12" s="61" customFormat="1" ht="15.75">
      <c r="A28" s="56" t="str">
        <f>'MEMÓRIA RESUMIDA'!A28</f>
        <v>X</v>
      </c>
      <c r="B28" s="56"/>
      <c r="C28" s="106"/>
      <c r="D28" s="56"/>
      <c r="E28" s="132"/>
      <c r="F28" s="56" t="str">
        <f>'MEMÓRIA RESUMIDA'!F28</f>
        <v>SUB-TOTAL 1.2</v>
      </c>
      <c r="G28" s="117"/>
      <c r="H28" s="102">
        <f>SUM(H26:H27)</f>
        <v>2556.7600000000002</v>
      </c>
      <c r="I28" s="102">
        <f>SUM(I26:I27)</f>
        <v>3154.51</v>
      </c>
      <c r="J28" s="107"/>
      <c r="L28" s="75"/>
    </row>
    <row r="29" spans="1:12" s="61" customFormat="1" ht="15.75">
      <c r="A29" s="121" t="str">
        <f>'MEMÓRIA RESUMIDA'!A29</f>
        <v>1.3.</v>
      </c>
      <c r="B29" s="121"/>
      <c r="C29" s="122" t="str">
        <f>'MEMÓRIA RESUMIDA'!C29</f>
        <v>ALVENARIA E REVESTIMENTOS</v>
      </c>
      <c r="D29" s="121" t="str">
        <f>'MEMÓRIA RESUMIDA'!D29</f>
        <v>-</v>
      </c>
      <c r="E29" s="133"/>
      <c r="F29" s="121"/>
      <c r="G29" s="123"/>
      <c r="H29" s="125"/>
      <c r="I29" s="125"/>
      <c r="J29" s="107"/>
      <c r="L29" s="75"/>
    </row>
    <row r="30" spans="1:12" s="47" customFormat="1" ht="45">
      <c r="A30" s="49" t="str">
        <f>'MEMÓRIA RESUMIDA'!A30</f>
        <v>1.3.1.</v>
      </c>
      <c r="B30" s="49" t="str">
        <f>'MEMÓRIA RESUMIDA'!B30</f>
        <v>So00000087475</v>
      </c>
      <c r="C30" s="45" t="str">
        <f>'MEMÓRIA RESUMIDA'!C30</f>
        <v>Alvenaria de vedação de blocos cerâmicos furados na vertical de 19x19x39cm (espessura 19cm) de paredes com área líquida menor que 6m² sem vãos e argamassa de assentamento com preparo em betoneira. Af_06/2014</v>
      </c>
      <c r="D30" s="49" t="str">
        <f>'MEMÓRIA RESUMIDA'!D30</f>
        <v>M2</v>
      </c>
      <c r="E30" s="60">
        <f>'MEMÓRIA RESUMIDA'!E30</f>
        <v>9.6999999999999993</v>
      </c>
      <c r="F30" s="49">
        <f>'MEMÓRIA RESUMIDA'!F30</f>
        <v>99.72</v>
      </c>
      <c r="G30" s="118">
        <f>TRUNC((F30*1.2338),2)</f>
        <v>123.03</v>
      </c>
      <c r="H30" s="118">
        <f>TRUNC((E30*F30),2)</f>
        <v>967.28</v>
      </c>
      <c r="I30" s="118">
        <f>TRUNC((E30*G30),2)</f>
        <v>1193.3900000000001</v>
      </c>
      <c r="J30" s="48"/>
      <c r="K30" s="42"/>
      <c r="L30" s="76"/>
    </row>
    <row r="31" spans="1:12" s="63" customFormat="1" ht="30">
      <c r="A31" s="49" t="str">
        <f>'MEMÓRIA RESUMIDA'!A31</f>
        <v>1.3.2.</v>
      </c>
      <c r="B31" s="49" t="str">
        <f>'MEMÓRIA RESUMIDA'!B31</f>
        <v>SO00000087794</v>
      </c>
      <c r="C31" s="45" t="str">
        <f>'MEMÓRIA RESUMIDA'!C31</f>
        <v>Emboço ou massa única em argamassa traço 1:2:8, preparo manual, aplicada manualmente em panos cegos de fachada (sem presença de vãos), espessura de 25 mm. Af_06/2014</v>
      </c>
      <c r="D31" s="49" t="str">
        <f>'MEMÓRIA RESUMIDA'!D31</f>
        <v>M2</v>
      </c>
      <c r="E31" s="60">
        <f>'MEMÓRIA RESUMIDA'!E31</f>
        <v>23.35</v>
      </c>
      <c r="F31" s="49">
        <f>'MEMÓRIA RESUMIDA'!F31</f>
        <v>39.619999999999997</v>
      </c>
      <c r="G31" s="118">
        <f>TRUNC((F31*1.2338),2)</f>
        <v>48.88</v>
      </c>
      <c r="H31" s="118">
        <f>TRUNC((E31*F31),2)</f>
        <v>925.12</v>
      </c>
      <c r="I31" s="118">
        <f>TRUNC((E31*G31),2)</f>
        <v>1141.3399999999999</v>
      </c>
      <c r="J31" s="48"/>
      <c r="K31" s="47"/>
      <c r="L31" s="77"/>
    </row>
    <row r="32" spans="1:12" s="63" customFormat="1" ht="18.75">
      <c r="A32" s="56" t="str">
        <f>'MEMÓRIA RESUMIDA'!A32</f>
        <v>X</v>
      </c>
      <c r="B32" s="56"/>
      <c r="C32" s="106"/>
      <c r="D32" s="56"/>
      <c r="E32" s="132"/>
      <c r="F32" s="56" t="str">
        <f>'MEMÓRIA RESUMIDA'!F32</f>
        <v>SUB-TOTAL 1.3</v>
      </c>
      <c r="G32" s="117"/>
      <c r="H32" s="102">
        <f>SUM(H30:H31)</f>
        <v>1892.4</v>
      </c>
      <c r="I32" s="102">
        <f>SUM(I30:I31)</f>
        <v>2334.73</v>
      </c>
      <c r="J32" s="83"/>
      <c r="L32" s="77"/>
    </row>
    <row r="33" spans="1:12" s="63" customFormat="1" ht="18.75">
      <c r="A33" s="121" t="str">
        <f>'MEMÓRIA RESUMIDA'!A33</f>
        <v>1.4.</v>
      </c>
      <c r="B33" s="121"/>
      <c r="C33" s="122" t="str">
        <f>'MEMÓRIA RESUMIDA'!C33</f>
        <v>PISOS E PAMIMENTAÇÕES</v>
      </c>
      <c r="D33" s="121" t="str">
        <f>'MEMÓRIA RESUMIDA'!D33</f>
        <v>-</v>
      </c>
      <c r="E33" s="133"/>
      <c r="F33" s="121"/>
      <c r="G33" s="123"/>
      <c r="H33" s="125"/>
      <c r="I33" s="125"/>
      <c r="J33" s="83"/>
      <c r="L33" s="77"/>
    </row>
    <row r="34" spans="1:12" ht="45">
      <c r="A34" s="49" t="str">
        <f>'MEMÓRIA RESUMIDA'!A34</f>
        <v>1.4.1.</v>
      </c>
      <c r="B34" s="49" t="str">
        <f>'MEMÓRIA RESUMIDA'!B34</f>
        <v>13.302.0010-0 + 98546</v>
      </c>
      <c r="C34" s="45" t="str">
        <f>'MEMÓRIA RESUMIDA'!C34</f>
        <v>Execução de camada de brita 1,com espessura estimada de 3cm,espalhamento manual , inclusive impermeabilização de superfície com manta asfáltica, uma camada, inclusive aplicação de primer asfáltico, e=3mm. Af_06/2018</v>
      </c>
      <c r="D34" s="49" t="str">
        <f>'MEMÓRIA RESUMIDA'!D34</f>
        <v>m²</v>
      </c>
      <c r="E34" s="60">
        <f>'MEMÓRIA RESUMIDA'!E34</f>
        <v>126.3</v>
      </c>
      <c r="F34" s="49">
        <f>'MEMÓRIA RESUMIDA'!F34</f>
        <v>100.04</v>
      </c>
      <c r="G34" s="118">
        <f t="shared" ref="G34:G39" si="3">TRUNC((F34*1.2338),2)</f>
        <v>123.42</v>
      </c>
      <c r="H34" s="118">
        <f t="shared" ref="H34:H39" si="4">TRUNC((E34*F34),2)</f>
        <v>12635.05</v>
      </c>
      <c r="I34" s="118">
        <f t="shared" ref="I34:I39" si="5">TRUNC((E34*G34),2)</f>
        <v>15587.94</v>
      </c>
      <c r="J34" s="59"/>
      <c r="K34" s="63"/>
      <c r="L34" s="68"/>
    </row>
    <row r="35" spans="1:12" ht="90">
      <c r="A35" s="49" t="str">
        <f>'MEMÓRIA RESUMIDA'!A35</f>
        <v>1.4.2</v>
      </c>
      <c r="B35" s="49" t="str">
        <f>'MEMÓRIA RESUMIDA'!B35</f>
        <v>PJ 05.20.0055 (/)</v>
      </c>
      <c r="C35" s="45" t="str">
        <f>'MEMÓRIA RESUMIDA'!C35</f>
        <v>Piso de grama sintetica, em rolo, com fios de 50mm de altura, na cor verde, demarcacao de linhas com grama na cor branca, sistema de amortecimento composto com as seguintes caracteristicas minimas: camada de areia especial com 1cm de espessura (20 kg/m2) e granulos de borracha de granulometria de 0,6 a 2mm (9 kg/m2) e mao de obra especializada para instalacao; exclusive base asfaltica, mureta perimetral para contencao da base, canaleta perimetral para coleta e escoamento da agua e preparo de terreno. Fornecimento e colocacao.</v>
      </c>
      <c r="D35" s="49" t="str">
        <f>'MEMÓRIA RESUMIDA'!D35</f>
        <v>M2</v>
      </c>
      <c r="E35" s="60">
        <f>'MEMÓRIA RESUMIDA'!E35</f>
        <v>421</v>
      </c>
      <c r="F35" s="49">
        <f>'MEMÓRIA RESUMIDA'!F35</f>
        <v>138.80000000000001</v>
      </c>
      <c r="G35" s="118">
        <f t="shared" si="3"/>
        <v>171.25</v>
      </c>
      <c r="H35" s="118">
        <f t="shared" si="4"/>
        <v>58434.8</v>
      </c>
      <c r="I35" s="118">
        <f t="shared" si="5"/>
        <v>72096.25</v>
      </c>
      <c r="J35" s="59"/>
      <c r="L35" s="68"/>
    </row>
    <row r="36" spans="1:12" ht="45">
      <c r="A36" s="49" t="str">
        <f>'MEMÓRIA RESUMIDA'!A36</f>
        <v>1.4.3</v>
      </c>
      <c r="B36" s="148" t="str">
        <f>'MEMÓRIA RESUMIDA'!B36</f>
        <v>SO00000094994 ALTERADO</v>
      </c>
      <c r="C36" s="45" t="str">
        <f>'MEMÓRIA RESUMIDA'!C36</f>
        <v>Execução de passeio (calçada) ou piso de concreto com concreto moldado in loco, feito em obra, acabamento convencional, espessura 8 cm, armado. Af_07/2016, inclusive tela fio 3,4mm 15x15cm, exclusive lona plástica.</v>
      </c>
      <c r="D36" s="49" t="str">
        <f>'MEMÓRIA RESUMIDA'!D36</f>
        <v>M2</v>
      </c>
      <c r="E36" s="60">
        <f>'MEMÓRIA RESUMIDA'!E36</f>
        <v>65.400000000000006</v>
      </c>
      <c r="F36" s="49">
        <f>'MEMÓRIA RESUMIDA'!F36</f>
        <v>69.48</v>
      </c>
      <c r="G36" s="118">
        <f t="shared" si="3"/>
        <v>85.72</v>
      </c>
      <c r="H36" s="118">
        <f t="shared" si="4"/>
        <v>4543.99</v>
      </c>
      <c r="I36" s="118">
        <f t="shared" si="5"/>
        <v>5606.08</v>
      </c>
      <c r="J36" s="48"/>
      <c r="L36" s="68"/>
    </row>
    <row r="37" spans="1:12" ht="30">
      <c r="A37" s="49" t="str">
        <f>'MEMÓRIA RESUMIDA'!A37</f>
        <v>1.4.4.</v>
      </c>
      <c r="B37" s="49" t="str">
        <f>'MEMÓRIA RESUMIDA'!B37</f>
        <v>13.333.0015-0</v>
      </c>
      <c r="C37" s="45" t="str">
        <f>'MEMÓRIA RESUMIDA'!C37</f>
        <v>Revestimento de piso com ceramica tatil alerta,(ladrilho hid raulico) para pessoas com necessidades especificas,assentes sobre superficie em osso,conforme item 13.330.0010</v>
      </c>
      <c r="D37" s="49" t="str">
        <f>'MEMÓRIA RESUMIDA'!D37</f>
        <v>M2</v>
      </c>
      <c r="E37" s="60">
        <f>'MEMÓRIA RESUMIDA'!E37</f>
        <v>6</v>
      </c>
      <c r="F37" s="49">
        <f>'MEMÓRIA RESUMIDA'!F37</f>
        <v>130.97</v>
      </c>
      <c r="G37" s="118">
        <f t="shared" si="3"/>
        <v>161.59</v>
      </c>
      <c r="H37" s="118">
        <f t="shared" si="4"/>
        <v>785.82</v>
      </c>
      <c r="I37" s="118">
        <f t="shared" si="5"/>
        <v>969.54</v>
      </c>
      <c r="J37" s="48"/>
      <c r="L37" s="68"/>
    </row>
    <row r="38" spans="1:12" s="63" customFormat="1" ht="30">
      <c r="A38" s="49" t="str">
        <f>'MEMÓRIA RESUMIDA'!A38</f>
        <v>1.4.5</v>
      </c>
      <c r="B38" s="49" t="str">
        <f>'MEMÓRIA RESUMIDA'!B38</f>
        <v>13.333.0010-0</v>
      </c>
      <c r="C38" s="45" t="str">
        <f>'MEMÓRIA RESUMIDA'!C38</f>
        <v>Revestimento de piso com ceramica tatil direcional,(ladrilho hidraulico),para pessoas com necessidades especificas,assen tes sobre superficie em osso,conforme item 13.330.0010</v>
      </c>
      <c r="D38" s="49" t="str">
        <f>'MEMÓRIA RESUMIDA'!D38</f>
        <v>M2</v>
      </c>
      <c r="E38" s="60">
        <f>'MEMÓRIA RESUMIDA'!E38</f>
        <v>6.5</v>
      </c>
      <c r="F38" s="49">
        <f>'MEMÓRIA RESUMIDA'!F38</f>
        <v>130.97</v>
      </c>
      <c r="G38" s="118">
        <f t="shared" si="3"/>
        <v>161.59</v>
      </c>
      <c r="H38" s="118">
        <f t="shared" si="4"/>
        <v>851.3</v>
      </c>
      <c r="I38" s="118">
        <f t="shared" si="5"/>
        <v>1050.33</v>
      </c>
      <c r="J38" s="83"/>
      <c r="L38" s="77"/>
    </row>
    <row r="39" spans="1:12" s="64" customFormat="1" ht="45">
      <c r="A39" s="49" t="str">
        <f>'MEMÓRIA RESUMIDA'!A39</f>
        <v>1.4.6</v>
      </c>
      <c r="B39" s="49" t="str">
        <f>'MEMÓRIA RESUMIDA'!B39</f>
        <v>08.027.0040-0</v>
      </c>
      <c r="C39" s="45" t="str">
        <f>'MEMÓRIA RESUMIDA'!C39</f>
        <v>Meio-fio reto de concreto simples fck=15mpa,moldado no local ,tipo der-rj,medindo 0,15m na base e com altura de 0,30m,rej untamento com argamassa de cimento e areia,no traco 1:3,5,co m fornecimento de todos os materiais,escavacao e reaterro</v>
      </c>
      <c r="D39" s="49" t="str">
        <f>'MEMÓRIA RESUMIDA'!D39</f>
        <v>M</v>
      </c>
      <c r="E39" s="60">
        <f>'MEMÓRIA RESUMIDA'!E39</f>
        <v>15</v>
      </c>
      <c r="F39" s="49">
        <f>'MEMÓRIA RESUMIDA'!F39</f>
        <v>63.14</v>
      </c>
      <c r="G39" s="118">
        <f t="shared" si="3"/>
        <v>77.900000000000006</v>
      </c>
      <c r="H39" s="118">
        <f t="shared" si="4"/>
        <v>947.1</v>
      </c>
      <c r="I39" s="118">
        <f t="shared" si="5"/>
        <v>1168.5</v>
      </c>
      <c r="J39" s="48"/>
      <c r="K39" s="61"/>
    </row>
    <row r="40" spans="1:12" s="108" customFormat="1" ht="18.75">
      <c r="A40" s="56" t="str">
        <f>'MEMÓRIA RESUMIDA'!A40</f>
        <v>X</v>
      </c>
      <c r="B40" s="56"/>
      <c r="C40" s="106"/>
      <c r="D40" s="56"/>
      <c r="E40" s="132"/>
      <c r="F40" s="56" t="str">
        <f>'MEMÓRIA RESUMIDA'!F40</f>
        <v>SUB-TOTAL 1.4</v>
      </c>
      <c r="G40" s="117"/>
      <c r="H40" s="102">
        <f>SUM(H34:H39)</f>
        <v>78198.060000000027</v>
      </c>
      <c r="I40" s="102">
        <f>SUM(I34:I39)</f>
        <v>96478.64</v>
      </c>
      <c r="J40" s="107"/>
      <c r="K40" s="47"/>
    </row>
    <row r="41" spans="1:12" s="61" customFormat="1" ht="18.75">
      <c r="A41" s="121" t="str">
        <f>'MEMÓRIA RESUMIDA'!A41</f>
        <v>1.5.</v>
      </c>
      <c r="B41" s="121"/>
      <c r="C41" s="122" t="str">
        <f>'MEMÓRIA RESUMIDA'!C41</f>
        <v>ALAMBRADO</v>
      </c>
      <c r="D41" s="121"/>
      <c r="E41" s="133"/>
      <c r="F41" s="121"/>
      <c r="G41" s="123"/>
      <c r="H41" s="219"/>
      <c r="I41" s="219"/>
      <c r="J41" s="83"/>
      <c r="K41" s="63"/>
    </row>
    <row r="42" spans="1:12" ht="45">
      <c r="A42" s="49" t="str">
        <f>'MEMÓRIA RESUMIDA'!A42</f>
        <v>1.5.1.</v>
      </c>
      <c r="B42" s="49" t="str">
        <f>'MEMÓRIA RESUMIDA'!B42</f>
        <v>54.001.0160-5</v>
      </c>
      <c r="C42" s="45" t="str">
        <f>'MEMÓRIA RESUMIDA'!C42</f>
        <v>Tela de arame galvanizado revestida em pvc, quadrangular / losangular, fio 12bwg),  malha *8 x 8* cm. Fornecimento e instalação, inclusive amarração fio 14bwg e fornecimento e colocação de vergalhão esticador de tela 1/8"</v>
      </c>
      <c r="D42" s="49" t="str">
        <f>'MEMÓRIA RESUMIDA'!D42</f>
        <v>M2</v>
      </c>
      <c r="E42" s="60">
        <f>'MEMÓRIA RESUMIDA'!E42</f>
        <v>330.2</v>
      </c>
      <c r="F42" s="49">
        <f>'MEMÓRIA RESUMIDA'!F42</f>
        <v>47.03</v>
      </c>
      <c r="G42" s="118">
        <f t="shared" ref="G42:G47" si="6">TRUNC((F42*1.2338),2)</f>
        <v>58.02</v>
      </c>
      <c r="H42" s="118">
        <f t="shared" ref="H42:H47" si="7">TRUNC((E42*F42),2)</f>
        <v>15529.3</v>
      </c>
      <c r="I42" s="118">
        <f t="shared" ref="I42:I47" si="8">TRUNC((E42*G42),2)</f>
        <v>19158.2</v>
      </c>
      <c r="J42" s="59"/>
    </row>
    <row r="43" spans="1:12" ht="30">
      <c r="A43" s="49" t="str">
        <f>'MEMÓRIA RESUMIDA'!A43</f>
        <v>1.5.2</v>
      </c>
      <c r="B43" s="49" t="str">
        <f>'MEMÓRIA RESUMIDA'!B43</f>
        <v>09.015.0074-0</v>
      </c>
      <c r="C43" s="45" t="str">
        <f>'MEMÓRIA RESUMIDA'!C43</f>
        <v>Contraventamento de alambrado com tubos de ferro galvanizado (extern.e internamente),c/diametro interno de 2" e espessura de parede de 1/8".fornecimento e colocacao</v>
      </c>
      <c r="D43" s="49" t="str">
        <f>'MEMÓRIA RESUMIDA'!D43</f>
        <v>M</v>
      </c>
      <c r="E43" s="60">
        <f>'MEMÓRIA RESUMIDA'!E43</f>
        <v>9</v>
      </c>
      <c r="F43" s="49">
        <f>'MEMÓRIA RESUMIDA'!F43</f>
        <v>96.77</v>
      </c>
      <c r="G43" s="118">
        <f t="shared" si="6"/>
        <v>119.39</v>
      </c>
      <c r="H43" s="118">
        <f t="shared" si="7"/>
        <v>870.93</v>
      </c>
      <c r="I43" s="118">
        <f t="shared" si="8"/>
        <v>1074.51</v>
      </c>
      <c r="J43" s="48"/>
    </row>
    <row r="44" spans="1:12" ht="45">
      <c r="A44" s="49" t="str">
        <f>'MEMÓRIA RESUMIDA'!A44</f>
        <v>1.5.3</v>
      </c>
      <c r="B44" s="49" t="str">
        <f>'MEMÓRIA RESUMIDA'!B44</f>
        <v>09.015.0074-5</v>
      </c>
      <c r="C44" s="45" t="str">
        <f>'MEMÓRIA RESUMIDA'!C44</f>
        <v>Contraventamento de alambrado com tubos de ferro galvanizado (extern.e internamente),c/diametro interno de 2" e espessura de parede de 1/8". Colocacao sem fornecimento de tubo.  Reaproveitamento do existente</v>
      </c>
      <c r="D44" s="49" t="str">
        <f>'MEMÓRIA RESUMIDA'!D44</f>
        <v>M</v>
      </c>
      <c r="E44" s="60">
        <f>'MEMÓRIA RESUMIDA'!E44</f>
        <v>24.2</v>
      </c>
      <c r="F44" s="49">
        <f>'MEMÓRIA RESUMIDA'!F44</f>
        <v>21.19</v>
      </c>
      <c r="G44" s="118">
        <f t="shared" si="6"/>
        <v>26.14</v>
      </c>
      <c r="H44" s="118">
        <f t="shared" si="7"/>
        <v>512.79</v>
      </c>
      <c r="I44" s="118">
        <f t="shared" si="8"/>
        <v>632.58000000000004</v>
      </c>
      <c r="J44" s="48"/>
    </row>
    <row r="45" spans="1:12" ht="44.25" customHeight="1">
      <c r="A45" s="49" t="str">
        <f>'MEMÓRIA RESUMIDA'!A45</f>
        <v>1.5.4</v>
      </c>
      <c r="B45" s="49" t="str">
        <f>'MEMÓRIA RESUMIDA'!B45</f>
        <v>05.005.0054-5</v>
      </c>
      <c r="C45" s="45" t="str">
        <f>'MEMÓRIA RESUMIDA'!C45</f>
        <v>Tela em polietileno de alta densidade,100% virgem,com malha de (5x5)cm,fio de 2,5mm,com resistencia de 350kg/m2.fornecim ento e colocacao, inclusive readequação e complemento de cabos de aço de sustentação.</v>
      </c>
      <c r="D45" s="49" t="str">
        <f>'MEMÓRIA RESUMIDA'!D45</f>
        <v>M2</v>
      </c>
      <c r="E45" s="60">
        <f>'MEMÓRIA RESUMIDA'!E45</f>
        <v>560</v>
      </c>
      <c r="F45" s="49">
        <f>'MEMÓRIA RESUMIDA'!F45</f>
        <v>16.07</v>
      </c>
      <c r="G45" s="118">
        <f t="shared" si="6"/>
        <v>19.82</v>
      </c>
      <c r="H45" s="118">
        <f t="shared" si="7"/>
        <v>8999.2000000000007</v>
      </c>
      <c r="I45" s="118">
        <f t="shared" si="8"/>
        <v>11099.2</v>
      </c>
      <c r="J45" s="48"/>
    </row>
    <row r="46" spans="1:12" ht="30">
      <c r="A46" s="49" t="str">
        <f>'MEMÓRIA RESUMIDA'!A46</f>
        <v>1.5.5</v>
      </c>
      <c r="B46" s="49" t="str">
        <f>'MEMÓRIA RESUMIDA'!B46</f>
        <v>14.007.0294-0</v>
      </c>
      <c r="C46" s="45" t="str">
        <f>'MEMÓRIA RESUMIDA'!C46</f>
        <v>Dobradica para porta tipo gonzo,de 3",em latao niquelado e polido para garantir abertura indicada em projeto..fornecimento e colocação</v>
      </c>
      <c r="D46" s="49" t="str">
        <f>'MEMÓRIA RESUMIDA'!D46</f>
        <v>UN</v>
      </c>
      <c r="E46" s="60">
        <f>'MEMÓRIA RESUMIDA'!E46</f>
        <v>9</v>
      </c>
      <c r="F46" s="49">
        <f>'MEMÓRIA RESUMIDA'!F46</f>
        <v>49.13</v>
      </c>
      <c r="G46" s="118">
        <f t="shared" si="6"/>
        <v>60.61</v>
      </c>
      <c r="H46" s="118">
        <f t="shared" si="7"/>
        <v>442.17</v>
      </c>
      <c r="I46" s="118">
        <f t="shared" si="8"/>
        <v>545.49</v>
      </c>
      <c r="J46" s="48"/>
      <c r="K46" s="59"/>
    </row>
    <row r="47" spans="1:12" ht="60">
      <c r="A47" s="49" t="str">
        <f>'MEMÓRIA RESUMIDA'!A47</f>
        <v>1.5.6</v>
      </c>
      <c r="B47" s="49" t="str">
        <f>'MEMÓRIA RESUMIDA'!B47</f>
        <v>14.007.0330-5</v>
      </c>
      <c r="C47" s="45" t="str">
        <f>'MEMÓRIA RESUMIDA'!C47</f>
        <v>Targetao de ferro galvanizado,de 36cm,com adaptacao de haste para duplo funcionamento,fechamento com cadeado, exclusive este,conforme projeto n§6017/emop.fornecimento e colocacao , inclusive cantoneira de aço 3/4"x3/4"x1/8" com 30cm de comprimento para batente (portão a construir e portão existente)</v>
      </c>
      <c r="D47" s="49" t="str">
        <f>'MEMÓRIA RESUMIDA'!D47</f>
        <v>UN</v>
      </c>
      <c r="E47" s="60">
        <f>'MEMÓRIA RESUMIDA'!E47</f>
        <v>2</v>
      </c>
      <c r="F47" s="49">
        <f>'MEMÓRIA RESUMIDA'!F47</f>
        <v>176.72</v>
      </c>
      <c r="G47" s="118">
        <f t="shared" si="6"/>
        <v>218.03</v>
      </c>
      <c r="H47" s="118">
        <f t="shared" si="7"/>
        <v>353.44</v>
      </c>
      <c r="I47" s="118">
        <f t="shared" si="8"/>
        <v>436.06</v>
      </c>
      <c r="J47" s="59"/>
      <c r="K47" s="64"/>
    </row>
    <row r="48" spans="1:12" ht="30">
      <c r="A48" s="49" t="str">
        <f>'MEMÓRIA RESUMIDA'!A48</f>
        <v>1.5.7</v>
      </c>
      <c r="B48" s="49" t="str">
        <f>'MEMÓRIA RESUMIDA'!B48</f>
        <v>09.015.0080-5</v>
      </c>
      <c r="C48" s="45" t="str">
        <f>'MEMÓRIA RESUMIDA'!C48</f>
        <v xml:space="preserve"> tubo de ferro galvanizado(extern.e internamente),com diametro interno de 31/2" e espessu ra de parede de 1/8".fornecimento e colocacao (espera de encaixe das traves)</v>
      </c>
      <c r="D48" s="49" t="str">
        <f>'MEMÓRIA RESUMIDA'!D48</f>
        <v>M</v>
      </c>
      <c r="E48" s="60">
        <f>'MEMÓRIA RESUMIDA'!E48</f>
        <v>1.6</v>
      </c>
      <c r="F48" s="49">
        <f>'MEMÓRIA RESUMIDA'!F48</f>
        <v>115.07</v>
      </c>
      <c r="G48" s="118">
        <f>TRUNC((F48*1.2338),2)</f>
        <v>141.97</v>
      </c>
      <c r="H48" s="118">
        <f>TRUNC((E48*F48),2)</f>
        <v>184.11</v>
      </c>
      <c r="I48" s="118">
        <f>TRUNC((E48*G48),2)</f>
        <v>227.15</v>
      </c>
      <c r="J48" s="59"/>
      <c r="K48" s="64"/>
    </row>
    <row r="49" spans="1:11" ht="30">
      <c r="A49" s="49" t="s">
        <v>572</v>
      </c>
      <c r="B49" s="49" t="str">
        <f>'MEMÓRIA RESUMIDA'!B49</f>
        <v>15.031.0020-6 + 05.027.0003-5</v>
      </c>
      <c r="C49" s="45" t="str">
        <f>'MEMÓRIA RESUMIDA'!C49</f>
        <v>Forneciment e instalação de BARRA DE ACO CA-25,REDONDA,SEM SALIENCIAOU MOSSA,DIAMETRO 12,5MM), devidamente soldados nos tubos dos portões conforme projeto.</v>
      </c>
      <c r="D49" s="49" t="str">
        <f>'MEMÓRIA RESUMIDA'!D49</f>
        <v>m</v>
      </c>
      <c r="E49" s="60">
        <f>'MEMÓRIA RESUMIDA'!E49</f>
        <v>21</v>
      </c>
      <c r="F49" s="49">
        <f>'MEMÓRIA RESUMIDA'!F49</f>
        <v>25.82</v>
      </c>
      <c r="G49" s="118">
        <f>TRUNC((F49*1.2338),2)</f>
        <v>31.85</v>
      </c>
      <c r="H49" s="118">
        <f>TRUNC((E49*F49),2)</f>
        <v>542.22</v>
      </c>
      <c r="I49" s="118">
        <f>TRUNC((E49*G49),2)</f>
        <v>668.85</v>
      </c>
      <c r="J49" s="59"/>
      <c r="K49" s="64"/>
    </row>
    <row r="50" spans="1:11" s="61" customFormat="1" ht="18">
      <c r="A50" s="56" t="str">
        <f>'MEMÓRIA RESUMIDA'!A50</f>
        <v>X</v>
      </c>
      <c r="B50" s="56"/>
      <c r="C50" s="106"/>
      <c r="D50" s="56"/>
      <c r="E50" s="132"/>
      <c r="F50" s="56" t="str">
        <f>'MEMÓRIA RESUMIDA'!F50</f>
        <v>SUB-TOTAL 1.5</v>
      </c>
      <c r="G50" s="117"/>
      <c r="H50" s="119">
        <f>SUM(H42:H49)</f>
        <v>27434.16</v>
      </c>
      <c r="I50" s="119">
        <f>SUM(I42:I49)</f>
        <v>33842.04</v>
      </c>
      <c r="J50" s="83"/>
      <c r="K50" s="108"/>
    </row>
    <row r="51" spans="1:11" s="61" customFormat="1" ht="15.75">
      <c r="A51" s="121" t="str">
        <f>'MEMÓRIA RESUMIDA'!A51</f>
        <v>1.6.</v>
      </c>
      <c r="B51" s="121"/>
      <c r="C51" s="122" t="str">
        <f>'MEMÓRIA RESUMIDA'!C51</f>
        <v>INSTALAÇÃO ELÉTRICA</v>
      </c>
      <c r="D51" s="121" t="str">
        <f>'MEMÓRIA RESUMIDA'!D51</f>
        <v>-</v>
      </c>
      <c r="E51" s="133"/>
      <c r="F51" s="121"/>
      <c r="G51" s="123"/>
      <c r="H51" s="126"/>
      <c r="I51" s="126"/>
      <c r="J51" s="107"/>
    </row>
    <row r="52" spans="1:11" ht="30">
      <c r="A52" s="49" t="str">
        <f>'MEMÓRIA RESUMIDA'!A52</f>
        <v>1.6.1.</v>
      </c>
      <c r="B52" s="148" t="str">
        <f>'MEMÓRIA RESUMIDA'!B52</f>
        <v>So00000101658 alterada</v>
      </c>
      <c r="C52" s="45" t="str">
        <f>'MEMÓRIA RESUMIDA'!C52</f>
        <v xml:space="preserve">LUMINÁRIA TIPO REFLETOR  DE LED PARA ILUMINAÇÃO PÚBLICA, DE 150w FORNECIMENTO E INSTALAÇÃO. </v>
      </c>
      <c r="D52" s="49" t="str">
        <f>'MEMÓRIA RESUMIDA'!D52</f>
        <v>UN</v>
      </c>
      <c r="E52" s="60">
        <f>'MEMÓRIA RESUMIDA'!E52</f>
        <v>8</v>
      </c>
      <c r="F52" s="49">
        <f>'MEMÓRIA RESUMIDA'!F52</f>
        <v>355.72</v>
      </c>
      <c r="G52" s="118">
        <f>TRUNC((F52*1.2338),2)</f>
        <v>438.88</v>
      </c>
      <c r="H52" s="118">
        <f>TRUNC((E52*F52),2)</f>
        <v>2845.76</v>
      </c>
      <c r="I52" s="118">
        <f>TRUNC((E52*G52),2)</f>
        <v>3511.04</v>
      </c>
      <c r="J52" s="48"/>
    </row>
    <row r="53" spans="1:11" ht="30">
      <c r="A53" s="49" t="str">
        <f>'MEMÓRIA RESUMIDA'!A53</f>
        <v>1.6.2.</v>
      </c>
      <c r="B53" s="49" t="str">
        <f>'MEMÓRIA RESUMIDA'!B53</f>
        <v>So00000097881</v>
      </c>
      <c r="C53" s="45" t="str">
        <f>'MEMÓRIA RESUMIDA'!C53</f>
        <v>Caixa enterrada elétrica retangular, em concreto pré-moldado, fundo com brita, dimensões internas: 0,3x0,3x0,3 m. Af_12/2020</v>
      </c>
      <c r="D53" s="49" t="str">
        <f>'MEMÓRIA RESUMIDA'!D53</f>
        <v>UN</v>
      </c>
      <c r="E53" s="60">
        <f>'MEMÓRIA RESUMIDA'!E53</f>
        <v>4</v>
      </c>
      <c r="F53" s="49">
        <f>'MEMÓRIA RESUMIDA'!F53</f>
        <v>96.38</v>
      </c>
      <c r="G53" s="118">
        <f>TRUNC((F53*1.2338),2)</f>
        <v>118.91</v>
      </c>
      <c r="H53" s="118">
        <f>TRUNC((E53*F53),2)</f>
        <v>385.52</v>
      </c>
      <c r="I53" s="118">
        <f>TRUNC((E53*G53),2)</f>
        <v>475.64</v>
      </c>
      <c r="J53" s="48"/>
    </row>
    <row r="54" spans="1:11" ht="75">
      <c r="A54" s="49" t="str">
        <f>'MEMÓRIA RESUMIDA'!A54</f>
        <v>1.6.3</v>
      </c>
      <c r="B54" s="49" t="str">
        <f>'MEMÓRIA RESUMIDA'!B54</f>
        <v>So00000098111 + 15.036.0070-0 + 15.008.0085-0</v>
      </c>
      <c r="C54" s="45" t="str">
        <f>'MEMÓRIA RESUMIDA'!C54</f>
        <v>Ajuste nas fiações aparentes ( mangueiras sobre as cintas) : fornec imento e assentamentoeletroduto de pvc rigido rosqueavel de 3/4",inclusive conexoes e emendas,exclusive abertura e fechamento de rasgo, recolocação da fiação existente, exclusive fornecimento dos fios, inclusive fornecimento e colocação de caixa de inspeção para aterramento, circular, em polietileno, diâmetro interno 0,3m para emenda dos fios.</v>
      </c>
      <c r="D54" s="49" t="str">
        <f>'MEMÓRIA RESUMIDA'!D54</f>
        <v>unid.</v>
      </c>
      <c r="E54" s="60">
        <f>'MEMÓRIA RESUMIDA'!E54</f>
        <v>1</v>
      </c>
      <c r="F54" s="49">
        <f>'MEMÓRIA RESUMIDA'!F54</f>
        <v>40.53</v>
      </c>
      <c r="G54" s="118">
        <f>TRUNC((F54*1.2338),2)</f>
        <v>50</v>
      </c>
      <c r="H54" s="118">
        <f>TRUNC((E54*F54),2)</f>
        <v>40.53</v>
      </c>
      <c r="I54" s="118">
        <f>TRUNC((E54*G54),2)</f>
        <v>50</v>
      </c>
      <c r="J54" s="48"/>
    </row>
    <row r="55" spans="1:11" ht="15.75">
      <c r="A55" s="49" t="str">
        <f>'MEMÓRIA RESUMIDA'!A55</f>
        <v>1.6.4</v>
      </c>
      <c r="B55" s="49" t="str">
        <f>'MEMÓRIA RESUMIDA'!B55</f>
        <v>composição</v>
      </c>
      <c r="C55" s="45" t="str">
        <f>'MEMÓRIA RESUMIDA'!C55</f>
        <v>Fornecimento e colocação de  tampa em abertura dos postes de iluminação instalados.</v>
      </c>
      <c r="D55" s="49" t="str">
        <f>'MEMÓRIA RESUMIDA'!D55</f>
        <v>unid.</v>
      </c>
      <c r="E55" s="60">
        <f>'MEMÓRIA RESUMIDA'!E55</f>
        <v>4</v>
      </c>
      <c r="F55" s="49">
        <f>'MEMÓRIA RESUMIDA'!F55</f>
        <v>11.2</v>
      </c>
      <c r="G55" s="118">
        <f>TRUNC((F55*1.2338),2)</f>
        <v>13.81</v>
      </c>
      <c r="H55" s="118">
        <f>TRUNC((E55*F55),2)</f>
        <v>44.8</v>
      </c>
      <c r="I55" s="118">
        <f>TRUNC((E55*G55),2)</f>
        <v>55.24</v>
      </c>
      <c r="J55" s="48"/>
    </row>
    <row r="56" spans="1:11" s="61" customFormat="1" ht="15.75">
      <c r="A56" s="56" t="str">
        <f>'MEMÓRIA RESUMIDA'!A56</f>
        <v>X</v>
      </c>
      <c r="B56" s="56"/>
      <c r="C56" s="106"/>
      <c r="D56" s="56"/>
      <c r="E56" s="132"/>
      <c r="F56" s="56" t="str">
        <f>'MEMÓRIA RESUMIDA'!F56</f>
        <v>SUB-TOTAL 1.6</v>
      </c>
      <c r="G56" s="117"/>
      <c r="H56" s="119">
        <f>SUM(H52:H55)</f>
        <v>3316.6100000000006</v>
      </c>
      <c r="I56" s="119">
        <f>SUM(I52:I55)</f>
        <v>4091.9199999999996</v>
      </c>
      <c r="J56" s="107"/>
    </row>
    <row r="57" spans="1:11" s="61" customFormat="1" ht="15.75">
      <c r="A57" s="121" t="str">
        <f>'MEMÓRIA RESUMIDA'!A57</f>
        <v>1.7.</v>
      </c>
      <c r="B57" s="121"/>
      <c r="C57" s="122" t="str">
        <f>'MEMÓRIA RESUMIDA'!C57</f>
        <v>MOBILIÁRIO ESPORTIVO</v>
      </c>
      <c r="D57" s="121"/>
      <c r="E57" s="133"/>
      <c r="F57" s="121"/>
      <c r="G57" s="127"/>
      <c r="H57" s="128"/>
      <c r="I57" s="128"/>
      <c r="J57" s="107"/>
    </row>
    <row r="58" spans="1:11" ht="30">
      <c r="A58" s="49" t="str">
        <f>'MEMÓRIA RESUMIDA'!A58</f>
        <v>1.7.1.</v>
      </c>
      <c r="B58" s="49" t="str">
        <f>'MEMÓRIA RESUMIDA'!B58</f>
        <v>18.200.0004-5</v>
      </c>
      <c r="C58" s="45" t="str">
        <f>'MEMÓRIA RESUMIDA'!C58</f>
        <v>Trave  para futebol de salao,em tubo de ferro gal vanizado 3".fornecimento e colocação, inclusive soldas necessárias, nos encaixes das esperas , inclusive pintura e estrutura para fixação da rede.</v>
      </c>
      <c r="D58" s="49" t="str">
        <f>'MEMÓRIA RESUMIDA'!D58</f>
        <v>PAR</v>
      </c>
      <c r="E58" s="60">
        <f>'MEMÓRIA RESUMIDA'!E58</f>
        <v>1</v>
      </c>
      <c r="F58" s="49">
        <f>'MEMÓRIA RESUMIDA'!F58</f>
        <v>2422.56</v>
      </c>
      <c r="G58" s="118">
        <f>TRUNC((F58*1.2338),2)</f>
        <v>2988.95</v>
      </c>
      <c r="H58" s="118">
        <f>TRUNC((E58*F58),2)</f>
        <v>2422.56</v>
      </c>
      <c r="I58" s="118">
        <f>TRUNC((E58*G58),2)</f>
        <v>2988.95</v>
      </c>
      <c r="J58" s="59"/>
    </row>
    <row r="59" spans="1:11" ht="18.75">
      <c r="A59" s="49" t="str">
        <f>'MEMÓRIA RESUMIDA'!A59</f>
        <v>1.7.2.</v>
      </c>
      <c r="B59" s="49" t="str">
        <f>'MEMÓRIA RESUMIDA'!B59</f>
        <v>18.200.0005-0</v>
      </c>
      <c r="C59" s="45" t="str">
        <f>'MEMÓRIA RESUMIDA'!C59</f>
        <v>Rede de nylon para futebol de salao.fornecimento</v>
      </c>
      <c r="D59" s="49" t="str">
        <f>'MEMÓRIA RESUMIDA'!D59</f>
        <v>PAR</v>
      </c>
      <c r="E59" s="60">
        <f>'MEMÓRIA RESUMIDA'!E59</f>
        <v>1</v>
      </c>
      <c r="F59" s="49">
        <f>'MEMÓRIA RESUMIDA'!F59</f>
        <v>108.15</v>
      </c>
      <c r="G59" s="118">
        <f>TRUNC((F59*1.2338),2)</f>
        <v>133.43</v>
      </c>
      <c r="H59" s="118">
        <f>TRUNC((E59*F59),2)</f>
        <v>108.15</v>
      </c>
      <c r="I59" s="118">
        <f>TRUNC((E59*G59),2)</f>
        <v>133.43</v>
      </c>
      <c r="J59" s="64"/>
    </row>
    <row r="60" spans="1:11" s="61" customFormat="1" ht="15.75">
      <c r="A60" s="56" t="str">
        <f>'MEMÓRIA RESUMIDA'!A60</f>
        <v>X</v>
      </c>
      <c r="B60" s="56"/>
      <c r="C60" s="106"/>
      <c r="D60" s="56"/>
      <c r="E60" s="132"/>
      <c r="F60" s="56" t="str">
        <f>'MEMÓRIA RESUMIDA'!F60</f>
        <v>SUB-TOTAL 1.7</v>
      </c>
      <c r="G60" s="117"/>
      <c r="H60" s="119">
        <f>SUM(H58:H59)</f>
        <v>2530.71</v>
      </c>
      <c r="I60" s="119">
        <f>SUM(I58:I59)</f>
        <v>3122.3799999999997</v>
      </c>
      <c r="J60" s="108"/>
    </row>
    <row r="61" spans="1:11" s="61" customFormat="1" ht="15.75">
      <c r="A61" s="121" t="str">
        <f>'MEMÓRIA RESUMIDA'!A61</f>
        <v>1.8.</v>
      </c>
      <c r="B61" s="121"/>
      <c r="C61" s="122" t="str">
        <f>'MEMÓRIA RESUMIDA'!C61</f>
        <v>PINTURA</v>
      </c>
      <c r="D61" s="121"/>
      <c r="E61" s="133"/>
      <c r="F61" s="121"/>
      <c r="G61" s="123"/>
      <c r="H61" s="128"/>
      <c r="I61" s="128"/>
    </row>
    <row r="62" spans="1:11" ht="30">
      <c r="A62" s="49" t="str">
        <f>'MEMÓRIA RESUMIDA'!A62</f>
        <v>1.8.1.</v>
      </c>
      <c r="B62" s="49" t="str">
        <f>'MEMÓRIA RESUMIDA'!B62</f>
        <v>SO00000088415 alterado</v>
      </c>
      <c r="C62" s="45" t="str">
        <f>'MEMÓRIA RESUMIDA'!C62</f>
        <v>Aplicação manual de fundo selador acrílico em paredes externas de casas. Af_06/2014, inclusive lixamentos necessários. (MUROS)</v>
      </c>
      <c r="D62" s="49" t="str">
        <f>'MEMÓRIA RESUMIDA'!D62</f>
        <v>M2</v>
      </c>
      <c r="E62" s="60">
        <f>'MEMÓRIA RESUMIDA'!E62</f>
        <v>145.5</v>
      </c>
      <c r="F62" s="49">
        <f>'MEMÓRIA RESUMIDA'!F62</f>
        <v>5.79</v>
      </c>
      <c r="G62" s="118">
        <f>TRUNC((F62*1.2338),2)</f>
        <v>7.14</v>
      </c>
      <c r="H62" s="118">
        <f>TRUNC((E62*F62),2)</f>
        <v>842.44</v>
      </c>
      <c r="I62" s="118">
        <f>TRUNC((E62*G62),2)</f>
        <v>1038.8699999999999</v>
      </c>
    </row>
    <row r="63" spans="1:11" ht="30">
      <c r="A63" s="49" t="str">
        <f>'MEMÓRIA RESUMIDA'!A63</f>
        <v>1.8.2.</v>
      </c>
      <c r="B63" s="49" t="str">
        <f>'MEMÓRIA RESUMIDA'!B63</f>
        <v>SO00000088489</v>
      </c>
      <c r="C63" s="45" t="str">
        <f>'MEMÓRIA RESUMIDA'!C63</f>
        <v>Aplicação manual de pintura com tinta látex acrílica premium em paredes, duas demãos. Af_06/2014 (muro)</v>
      </c>
      <c r="D63" s="49" t="str">
        <f>'MEMÓRIA RESUMIDA'!D63</f>
        <v>M2</v>
      </c>
      <c r="E63" s="60">
        <f>'MEMÓRIA RESUMIDA'!E63</f>
        <v>145.5</v>
      </c>
      <c r="F63" s="49">
        <f>'MEMÓRIA RESUMIDA'!F63</f>
        <v>14.29</v>
      </c>
      <c r="G63" s="118">
        <f>TRUNC((F63*1.2338),2)</f>
        <v>17.63</v>
      </c>
      <c r="H63" s="118">
        <f>TRUNC((E63*F63),2)</f>
        <v>2079.19</v>
      </c>
      <c r="I63" s="118">
        <f>TRUNC((E63*G63),2)</f>
        <v>2565.16</v>
      </c>
    </row>
    <row r="64" spans="1:11" ht="45">
      <c r="A64" s="49" t="str">
        <f>'MEMÓRIA RESUMIDA'!A64</f>
        <v>1.8.3.</v>
      </c>
      <c r="B64" s="49" t="str">
        <f>'MEMÓRIA RESUMIDA'!B64</f>
        <v>17.017.0350-0</v>
      </c>
      <c r="C64" s="45" t="str">
        <f>'MEMÓRIA RESUMIDA'!C64</f>
        <v>Pintura interna ou externa sobre ferro galvanizado ou aluminio,usando fundo para galvanizado,inclusive lixamento adequado, l mpeza,desengorduramento e duas demaos de acabamento com esmalte sintetico a base de água, brilhante ou acetinado.</v>
      </c>
      <c r="D64" s="49" t="str">
        <f>'MEMÓRIA RESUMIDA'!D64</f>
        <v>M2</v>
      </c>
      <c r="E64" s="60">
        <f>'MEMÓRIA RESUMIDA'!E64</f>
        <v>130</v>
      </c>
      <c r="F64" s="49">
        <f>'MEMÓRIA RESUMIDA'!F64</f>
        <v>22.44</v>
      </c>
      <c r="G64" s="118">
        <f>TRUNC((F64*1.2338),2)</f>
        <v>27.68</v>
      </c>
      <c r="H64" s="118">
        <f>TRUNC((E64*F64),2)</f>
        <v>2917.2</v>
      </c>
      <c r="I64" s="118">
        <f>TRUNC((E64*G64),2)</f>
        <v>3598.4</v>
      </c>
    </row>
    <row r="65" spans="1:9" s="61" customFormat="1" ht="15.75">
      <c r="A65" s="129" t="str">
        <f>'MEMÓRIA RESUMIDA'!A65</f>
        <v>X</v>
      </c>
      <c r="B65" s="129"/>
      <c r="C65" s="130"/>
      <c r="D65" s="129"/>
      <c r="E65" s="134"/>
      <c r="F65" s="129" t="str">
        <f>'MEMÓRIA RESUMIDA'!F65</f>
        <v>SUB-TOTAL 1.8</v>
      </c>
      <c r="G65" s="131"/>
      <c r="H65" s="109">
        <f>SUM(H62:H64)</f>
        <v>5838.83</v>
      </c>
      <c r="I65" s="109">
        <f>SUM(I62:I64)</f>
        <v>7202.43</v>
      </c>
    </row>
    <row r="66" spans="1:9" s="61" customFormat="1" ht="15.75">
      <c r="A66" s="121" t="str">
        <f>'MEMÓRIA RESUMIDA'!A66</f>
        <v>1.9.</v>
      </c>
      <c r="B66" s="121"/>
      <c r="C66" s="122" t="str">
        <f>'MEMÓRIA RESUMIDA'!C66</f>
        <v>TRANSPORTE E BOTA FORA</v>
      </c>
      <c r="D66" s="121"/>
      <c r="E66" s="133"/>
      <c r="F66" s="121"/>
      <c r="G66" s="123"/>
      <c r="H66" s="126"/>
      <c r="I66" s="126"/>
    </row>
    <row r="67" spans="1:9" ht="30">
      <c r="A67" s="49" t="str">
        <f>'MEMÓRIA RESUMIDA'!A67</f>
        <v>1.9.1.</v>
      </c>
      <c r="B67" s="49" t="str">
        <f>'MEMÓRIA RESUMIDA'!B67</f>
        <v>05.001.0171-0</v>
      </c>
      <c r="C67" s="45" t="str">
        <f>'MEMÓRIA RESUMIDA'!C67</f>
        <v>Transporte horizontal de material de 1¦categoria ou entulho,em carrinhos,a 20,00m de distancia,inclusive carga a pa (obs.:3%- desgaste de ferramentas e epi).</v>
      </c>
      <c r="D67" s="49" t="str">
        <f>'MEMÓRIA RESUMIDA'!D67</f>
        <v>M3</v>
      </c>
      <c r="E67" s="60">
        <f>'MEMÓRIA RESUMIDA'!E67</f>
        <v>40</v>
      </c>
      <c r="F67" s="49">
        <f>'MEMÓRIA RESUMIDA'!F67</f>
        <v>23.86</v>
      </c>
      <c r="G67" s="118">
        <f>TRUNC((F67*1.2338),2)</f>
        <v>29.43</v>
      </c>
      <c r="H67" s="118">
        <f>TRUNC((E67*F67),2)</f>
        <v>954.4</v>
      </c>
      <c r="I67" s="118">
        <f>TRUNC((E67*G67),2)</f>
        <v>1177.2</v>
      </c>
    </row>
    <row r="68" spans="1:9" ht="30">
      <c r="A68" s="49" t="str">
        <f>'MEMÓRIA RESUMIDA'!A68</f>
        <v>1.9.2.</v>
      </c>
      <c r="B68" s="49" t="str">
        <f>'MEMÓRIA RESUMIDA'!B68</f>
        <v>04.014.0095-5</v>
      </c>
      <c r="C68" s="45" t="str">
        <f>'MEMÓRIA RESUMIDA'!C68</f>
        <v>Retirada de entulho de obra com cacamba de aco tipo containe r com 5m3 de capacidade,.custo por unidade de cacamba e inclui a tax a para descarga em locais autorizados</v>
      </c>
      <c r="D68" s="49" t="str">
        <f>'MEMÓRIA RESUMIDA'!D68</f>
        <v>UN</v>
      </c>
      <c r="E68" s="60">
        <f>'MEMÓRIA RESUMIDA'!E68</f>
        <v>8</v>
      </c>
      <c r="F68" s="49">
        <f>'MEMÓRIA RESUMIDA'!F68</f>
        <v>240</v>
      </c>
      <c r="G68" s="118">
        <f>TRUNC((F68*1.2338),2)</f>
        <v>296.11</v>
      </c>
      <c r="H68" s="118">
        <f>TRUNC((E68*F68),2)</f>
        <v>1920</v>
      </c>
      <c r="I68" s="118">
        <f>TRUNC((E68*G68),2)</f>
        <v>2368.88</v>
      </c>
    </row>
    <row r="69" spans="1:9" ht="45">
      <c r="A69" s="49" t="str">
        <f>'MEMÓRIA RESUMIDA'!A69</f>
        <v>1.9.3.</v>
      </c>
      <c r="B69" s="49" t="str">
        <f>'MEMÓRIA RESUMIDA'!B69</f>
        <v>04.006.0014-1</v>
      </c>
      <c r="C69" s="45" t="str">
        <f>'MEMÓRIA RESUMIDA'!C69</f>
        <v>Carga e descarga manual de material que exija o concurso de mais de um servente para cada peca:vergalhoes,vigas de madei ra,caixas e meios-fios,em caminhao de carroceria fixa a oleo diesel,com capacidade util de 7,5t,inclusive o tempo de car ga,descarga e manobra</v>
      </c>
      <c r="D69" s="49" t="str">
        <f>'MEMÓRIA RESUMIDA'!D69</f>
        <v>T</v>
      </c>
      <c r="E69" s="60">
        <f>'MEMÓRIA RESUMIDA'!E69</f>
        <v>7.5</v>
      </c>
      <c r="F69" s="49">
        <f>'MEMÓRIA RESUMIDA'!F69</f>
        <v>84.5</v>
      </c>
      <c r="G69" s="118">
        <f>TRUNC((F69*1.2338),2)</f>
        <v>104.25</v>
      </c>
      <c r="H69" s="118">
        <f>TRUNC((E69*F69),2)</f>
        <v>633.75</v>
      </c>
      <c r="I69" s="118">
        <f>TRUNC((E69*G69),2)</f>
        <v>781.87</v>
      </c>
    </row>
    <row r="70" spans="1:9" ht="45">
      <c r="A70" s="49" t="str">
        <f>'MEMÓRIA RESUMIDA'!A70</f>
        <v>1.9.4.</v>
      </c>
      <c r="B70" s="49" t="str">
        <f>'MEMÓRIA RESUMIDA'!B70</f>
        <v>04.005.0004-0</v>
      </c>
      <c r="C70" s="45" t="str">
        <f>'MEMÓRIA RESUMIDA'!C70</f>
        <v>Transporte de carga de qualquer natureza,exclusive as despes as de carga e descarga,tanto de espera do caminhao como do s ervente ou equipamento auxiliar,a velocidade media de 40km/h ,em caminhao de carroceria fixa a oleo diesel,com capacidade util de 7,5t</v>
      </c>
      <c r="D70" s="49" t="str">
        <f>'MEMÓRIA RESUMIDA'!D70</f>
        <v>T X KM</v>
      </c>
      <c r="E70" s="60">
        <f>'MEMÓRIA RESUMIDA'!E70</f>
        <v>58.5</v>
      </c>
      <c r="F70" s="49">
        <f>'MEMÓRIA RESUMIDA'!F70</f>
        <v>0.88</v>
      </c>
      <c r="G70" s="118">
        <f>TRUNC((F70*1.2338),2)</f>
        <v>1.08</v>
      </c>
      <c r="H70" s="118">
        <f>TRUNC((E70*F70),2)</f>
        <v>51.48</v>
      </c>
      <c r="I70" s="118">
        <f>TRUNC((E70*G70),2)</f>
        <v>63.18</v>
      </c>
    </row>
    <row r="71" spans="1:9" s="61" customFormat="1" ht="15.75">
      <c r="A71" s="56" t="str">
        <f>'MEMÓRIA RESUMIDA'!A71</f>
        <v>X</v>
      </c>
      <c r="B71" s="56"/>
      <c r="C71" s="106"/>
      <c r="D71" s="56"/>
      <c r="E71" s="132"/>
      <c r="F71" s="56" t="str">
        <f>'MEMÓRIA RESUMIDA'!F71</f>
        <v>SUB-TOTAL 1.9</v>
      </c>
      <c r="G71" s="117"/>
      <c r="H71" s="119">
        <f>SUM(H67:H70)</f>
        <v>3559.63</v>
      </c>
      <c r="I71" s="119">
        <f>SUM(I67:I70)</f>
        <v>4391.13</v>
      </c>
    </row>
    <row r="72" spans="1:9" s="61" customFormat="1" ht="15.75">
      <c r="A72" s="121" t="str">
        <f>'MEMÓRIA RESUMIDA'!A72</f>
        <v>1.10.</v>
      </c>
      <c r="B72" s="121"/>
      <c r="C72" s="122" t="str">
        <f>'MEMÓRIA RESUMIDA'!C72</f>
        <v>ANDAIMES</v>
      </c>
      <c r="D72" s="121"/>
      <c r="E72" s="133"/>
      <c r="F72" s="121"/>
      <c r="G72" s="127"/>
      <c r="H72" s="128"/>
      <c r="I72" s="128"/>
    </row>
    <row r="73" spans="1:9" ht="60">
      <c r="A73" s="49" t="str">
        <f>'MEMÓRIA RESUMIDA'!A73</f>
        <v>1.10.1</v>
      </c>
      <c r="B73" s="49" t="str">
        <f>'MEMÓRIA RESUMIDA'!B73</f>
        <v>05.006.0001-1</v>
      </c>
      <c r="C73" s="45" t="str">
        <f>'MEMÓRIA RESUMIDA'!C73</f>
        <v>Locacao de andaime com elementos tubulares sobre sapatas fixas,considerando-se a area da projecao vertical do andaime e pago pelo tempo necessario a sua utilizacao,exclusive transporte dos elementos do andaime ate a obra,plataforma ou passa rela de pinho,montagem e desmontagem dos andaimes</v>
      </c>
      <c r="D73" s="49" t="str">
        <f>'MEMÓRIA RESUMIDA'!D73</f>
        <v>M2XMES</v>
      </c>
      <c r="E73" s="60">
        <f>'MEMÓRIA RESUMIDA'!E73</f>
        <v>80.849999999999994</v>
      </c>
      <c r="F73" s="49">
        <f>'MEMÓRIA RESUMIDA'!F73</f>
        <v>12</v>
      </c>
      <c r="G73" s="118">
        <f>TRUNC((F73*1.2338),2)</f>
        <v>14.8</v>
      </c>
      <c r="H73" s="118">
        <f>TRUNC((E73*F73),2)</f>
        <v>970.2</v>
      </c>
      <c r="I73" s="118">
        <f>TRUNC((E73*G73),2)</f>
        <v>1196.58</v>
      </c>
    </row>
    <row r="74" spans="1:9" ht="30">
      <c r="A74" s="49" t="str">
        <f>'MEMÓRIA RESUMIDA'!A74</f>
        <v>1.10.2</v>
      </c>
      <c r="B74" s="49" t="str">
        <f>'MEMÓRIA RESUMIDA'!B74</f>
        <v>05.008.0001-0</v>
      </c>
      <c r="C74" s="45" t="str">
        <f>'MEMÓRIA RESUMIDA'!C74</f>
        <v>Montagem e desmontagem de andaime com elementos tubulares,considerando-se a area vertical recoberta (obs.:3%-desgaste de ferramentas e epi).</v>
      </c>
      <c r="D74" s="49" t="str">
        <f>'MEMÓRIA RESUMIDA'!D74</f>
        <v>M2</v>
      </c>
      <c r="E74" s="60">
        <f>'MEMÓRIA RESUMIDA'!E74</f>
        <v>26.95</v>
      </c>
      <c r="F74" s="49">
        <f>'MEMÓRIA RESUMIDA'!F74</f>
        <v>6.81</v>
      </c>
      <c r="G74" s="118">
        <f>TRUNC((F74*1.2338),2)</f>
        <v>8.4</v>
      </c>
      <c r="H74" s="118">
        <f>TRUNC((E74*F74),2)</f>
        <v>183.52</v>
      </c>
      <c r="I74" s="118">
        <f>TRUNC((E74*G74),2)</f>
        <v>226.38</v>
      </c>
    </row>
    <row r="75" spans="1:9" ht="30">
      <c r="A75" s="49" t="str">
        <f>'MEMÓRIA RESUMIDA'!A75</f>
        <v>1.10.3</v>
      </c>
      <c r="B75" s="49" t="str">
        <f>'MEMÓRIA RESUMIDA'!B75</f>
        <v>04.020.0122-0</v>
      </c>
      <c r="C75" s="45" t="str">
        <f>'MEMÓRIA RESUMIDA'!C75</f>
        <v>Transporte de andaime tubular,considerando-se a area de projecao vertical do andaime,exclusive carga,descarga e tempo de espera do caminhao(vide item 04.021.0010)</v>
      </c>
      <c r="D75" s="49" t="str">
        <f>'MEMÓRIA RESUMIDA'!D75</f>
        <v>M2XKM</v>
      </c>
      <c r="E75" s="60">
        <f>'MEMÓRIA RESUMIDA'!E75</f>
        <v>404.25</v>
      </c>
      <c r="F75" s="49">
        <f>'MEMÓRIA RESUMIDA'!F75</f>
        <v>0.13</v>
      </c>
      <c r="G75" s="118">
        <f>TRUNC((F75*1.2338),2)</f>
        <v>0.16</v>
      </c>
      <c r="H75" s="118">
        <f>TRUNC((E75*F75),2)</f>
        <v>52.55</v>
      </c>
      <c r="I75" s="118">
        <f>TRUNC((E75*G75),2)</f>
        <v>64.680000000000007</v>
      </c>
    </row>
    <row r="76" spans="1:9" ht="30">
      <c r="A76" s="49" t="str">
        <f>'MEMÓRIA RESUMIDA'!A76</f>
        <v>1.10.4</v>
      </c>
      <c r="B76" s="159" t="str">
        <f>'MEMÓRIA RESUMIDA'!B76</f>
        <v>05.005.0012-1 05.008.0008-1</v>
      </c>
      <c r="C76" s="45" t="str">
        <f>'MEMÓRIA RESUMIDA'!C76</f>
        <v>Plataforma ou passarela de madeira de 1¦,considerando-se aproveitamento da madeira 20 vezes,inclusive movimentacao vertical ou horizontal.</v>
      </c>
      <c r="D76" s="49" t="str">
        <f>'MEMÓRIA RESUMIDA'!D76</f>
        <v>M2</v>
      </c>
      <c r="E76" s="60">
        <f>'MEMÓRIA RESUMIDA'!E76</f>
        <v>7.7</v>
      </c>
      <c r="F76" s="49">
        <f>'MEMÓRIA RESUMIDA'!F76</f>
        <v>3.53</v>
      </c>
      <c r="G76" s="118">
        <f>TRUNC((F76*1.2338),2)</f>
        <v>4.3499999999999996</v>
      </c>
      <c r="H76" s="118">
        <f>TRUNC((E76*F76),2)</f>
        <v>27.18</v>
      </c>
      <c r="I76" s="118">
        <f>TRUNC((E76*G76),2)</f>
        <v>33.49</v>
      </c>
    </row>
    <row r="77" spans="1:9" ht="30">
      <c r="A77" s="49" t="str">
        <f>'MEMÓRIA RESUMIDA'!A77</f>
        <v>1.10.5</v>
      </c>
      <c r="B77" s="49" t="str">
        <f>'MEMÓRIA RESUMIDA'!B77</f>
        <v>05.008.0009-0</v>
      </c>
      <c r="C77" s="45" t="str">
        <f>'MEMÓRIA RESUMIDA'!C77</f>
        <v>Movimentacao horizontal de andaime com elementos tubulares tipo torre (obs.:3%-desgaste de ferramentas e epi).</v>
      </c>
      <c r="D77" s="49" t="str">
        <f>'MEMÓRIA RESUMIDA'!D77</f>
        <v>M</v>
      </c>
      <c r="E77" s="60">
        <f>'MEMÓRIA RESUMIDA'!E77</f>
        <v>76.099999999999994</v>
      </c>
      <c r="F77" s="49">
        <f>'MEMÓRIA RESUMIDA'!F77</f>
        <v>0.17</v>
      </c>
      <c r="G77" s="118">
        <f>TRUNC((F77*1.2338),2)</f>
        <v>0.2</v>
      </c>
      <c r="H77" s="118">
        <f>TRUNC((E77*F77),2)</f>
        <v>12.93</v>
      </c>
      <c r="I77" s="118">
        <f>TRUNC((E77*G77),2)</f>
        <v>15.22</v>
      </c>
    </row>
    <row r="78" spans="1:9" s="61" customFormat="1" ht="15.75">
      <c r="A78" s="121" t="str">
        <f>'MEMÓRIA RESUMIDA'!A78</f>
        <v>X</v>
      </c>
      <c r="B78" s="121"/>
      <c r="C78" s="122"/>
      <c r="D78" s="121"/>
      <c r="E78" s="121"/>
      <c r="F78" s="121" t="str">
        <f>'MEMÓRIA RESUMIDA'!F78</f>
        <v>SUB-TOTAL 1.10</v>
      </c>
      <c r="G78" s="123"/>
      <c r="H78" s="126">
        <f>SUM(H73:H77)</f>
        <v>1246.3800000000001</v>
      </c>
      <c r="I78" s="126">
        <f>SUM(I73:I77)</f>
        <v>1536.3500000000001</v>
      </c>
    </row>
    <row r="79" spans="1:9" s="61" customFormat="1" ht="15.75">
      <c r="A79" s="121" t="str">
        <f>'MEMÓRIA RESUMIDA'!A79</f>
        <v>X</v>
      </c>
      <c r="B79" s="121"/>
      <c r="C79" s="122"/>
      <c r="D79" s="121"/>
      <c r="E79" s="121"/>
      <c r="F79" s="121" t="str">
        <f>'MEMÓRIA RESUMIDA'!F79</f>
        <v>TOTAL GERAL=</v>
      </c>
      <c r="G79" s="127"/>
      <c r="H79" s="126">
        <f>H24+H28+H32+H40+H50+H56+H60+H65+H71+H78</f>
        <v>133576.19000000003</v>
      </c>
      <c r="I79" s="126">
        <f>I24+I28+I32+I40+I50+I56+I60+I65+I71+I78</f>
        <v>164788.89000000001</v>
      </c>
    </row>
    <row r="80" spans="1:9" ht="15.75">
      <c r="A80" s="56"/>
    </row>
    <row r="81" spans="1:1" ht="15.75">
      <c r="A81" s="56"/>
    </row>
  </sheetData>
  <mergeCells count="14">
    <mergeCell ref="H41:I41"/>
    <mergeCell ref="A10:A11"/>
    <mergeCell ref="B10:B11"/>
    <mergeCell ref="C10:C11"/>
    <mergeCell ref="D10:D11"/>
    <mergeCell ref="E10:E11"/>
    <mergeCell ref="D8:G8"/>
    <mergeCell ref="A9:I9"/>
    <mergeCell ref="F10:I10"/>
    <mergeCell ref="D3:G3"/>
    <mergeCell ref="D4:G4"/>
    <mergeCell ref="D5:G5"/>
    <mergeCell ref="D6:G6"/>
    <mergeCell ref="D7:G7"/>
  </mergeCells>
  <pageMargins left="0.51181102362204722" right="0.51181102362204722" top="0.78740157480314965" bottom="0.78740157480314965" header="0.31496062992125984" footer="0.31496062992125984"/>
  <pageSetup paperSize="9" scale="53" fitToHeight="1000" orientation="landscape" horizontalDpi="4294967293" r:id="rId1"/>
  <headerFooter>
    <oddFooter>&amp;C&amp;A&amp;RPágina &amp;P de &amp;N</oddFooter>
  </headerFooter>
  <drawing r:id="rId2"/>
</worksheet>
</file>

<file path=xl/worksheets/sheet4.xml><?xml version="1.0" encoding="utf-8"?>
<worksheet xmlns="http://schemas.openxmlformats.org/spreadsheetml/2006/main" xmlns:r="http://schemas.openxmlformats.org/officeDocument/2006/relationships">
  <dimension ref="A1:L31"/>
  <sheetViews>
    <sheetView showZeros="0" view="pageBreakPreview" topLeftCell="A10" zoomScale="40" zoomScaleNormal="70" zoomScaleSheetLayoutView="40" workbookViewId="0">
      <selection activeCell="E24" sqref="E24"/>
    </sheetView>
  </sheetViews>
  <sheetFormatPr defaultColWidth="8.85546875" defaultRowHeight="25.5"/>
  <cols>
    <col min="1" max="1" width="12.7109375" style="38" bestFit="1" customWidth="1"/>
    <col min="2" max="2" width="78.28515625" style="38" bestFit="1" customWidth="1"/>
    <col min="3" max="3" width="18" style="38" bestFit="1" customWidth="1"/>
    <col min="4" max="6" width="29.42578125" style="38" customWidth="1"/>
    <col min="7" max="7" width="18.5703125" style="38" customWidth="1"/>
    <col min="8" max="8" width="34.5703125" style="38" customWidth="1"/>
    <col min="9" max="9" width="33.140625" style="38" customWidth="1"/>
    <col min="10" max="10" width="21.28515625" style="22" bestFit="1" customWidth="1"/>
    <col min="11" max="11" width="19.140625" style="29" bestFit="1" customWidth="1"/>
    <col min="12" max="12" width="22.28515625" style="22" bestFit="1" customWidth="1"/>
    <col min="13" max="16384" width="8.85546875" style="22"/>
  </cols>
  <sheetData>
    <row r="1" spans="1:12" ht="39.75" customHeight="1">
      <c r="A1" s="227" t="s">
        <v>8</v>
      </c>
      <c r="B1" s="228"/>
      <c r="C1" s="228"/>
      <c r="D1" s="228"/>
      <c r="E1" s="228"/>
      <c r="F1" s="228"/>
      <c r="G1" s="228"/>
      <c r="H1" s="228"/>
      <c r="I1" s="20"/>
      <c r="J1" s="21"/>
    </row>
    <row r="2" spans="1:12" ht="39.75" customHeight="1">
      <c r="A2" s="229" t="s">
        <v>9</v>
      </c>
      <c r="B2" s="230"/>
      <c r="C2" s="230"/>
      <c r="D2" s="230"/>
      <c r="E2" s="230"/>
      <c r="F2" s="230"/>
      <c r="G2" s="230"/>
      <c r="H2" s="230"/>
      <c r="I2" s="23"/>
      <c r="J2" s="21"/>
    </row>
    <row r="3" spans="1:12" ht="39.75" customHeight="1">
      <c r="A3" s="229" t="s">
        <v>37</v>
      </c>
      <c r="B3" s="230"/>
      <c r="C3" s="230"/>
      <c r="D3" s="230"/>
      <c r="E3" s="230"/>
      <c r="F3" s="230"/>
      <c r="G3" s="230"/>
      <c r="H3" s="230"/>
      <c r="I3" s="23"/>
      <c r="J3" s="21"/>
    </row>
    <row r="4" spans="1:12" ht="39.75" customHeight="1">
      <c r="A4" s="231" t="s">
        <v>43</v>
      </c>
      <c r="B4" s="232"/>
      <c r="C4" s="232"/>
      <c r="D4" s="232"/>
      <c r="E4" s="232"/>
      <c r="F4" s="232"/>
      <c r="G4" s="232"/>
      <c r="H4" s="232"/>
      <c r="I4" s="23"/>
      <c r="J4" s="21"/>
    </row>
    <row r="5" spans="1:12" ht="39.75" customHeight="1">
      <c r="A5" s="233" t="s">
        <v>274</v>
      </c>
      <c r="B5" s="234"/>
      <c r="C5" s="234"/>
      <c r="D5" s="234"/>
      <c r="E5" s="234"/>
      <c r="F5" s="234"/>
      <c r="G5" s="234"/>
      <c r="H5" s="234"/>
      <c r="I5" s="23"/>
      <c r="J5" s="21"/>
    </row>
    <row r="6" spans="1:12" ht="39.75" customHeight="1">
      <c r="A6" s="237" t="s">
        <v>19</v>
      </c>
      <c r="B6" s="238"/>
      <c r="C6" s="238"/>
      <c r="D6" s="238"/>
      <c r="E6" s="238"/>
      <c r="F6" s="238"/>
      <c r="G6" s="238"/>
      <c r="H6" s="238"/>
      <c r="I6" s="23"/>
      <c r="J6" s="21"/>
    </row>
    <row r="7" spans="1:12" ht="39.75" customHeight="1">
      <c r="A7" s="257" t="s">
        <v>42</v>
      </c>
      <c r="B7" s="258"/>
      <c r="C7" s="258"/>
      <c r="D7" s="258"/>
      <c r="E7" s="258"/>
      <c r="F7" s="258"/>
      <c r="G7" s="258"/>
      <c r="H7" s="258"/>
      <c r="I7" s="23"/>
      <c r="J7" s="21"/>
    </row>
    <row r="8" spans="1:12" ht="39.75" customHeight="1">
      <c r="A8" s="241"/>
      <c r="B8" s="242"/>
      <c r="C8" s="242"/>
      <c r="D8" s="242"/>
      <c r="E8" s="242"/>
      <c r="F8" s="242"/>
      <c r="G8" s="242"/>
      <c r="H8" s="242"/>
      <c r="I8" s="24"/>
      <c r="J8" s="21"/>
    </row>
    <row r="9" spans="1:12" ht="39.75" customHeight="1">
      <c r="A9" s="259" t="s">
        <v>20</v>
      </c>
      <c r="B9" s="260"/>
      <c r="C9" s="260"/>
      <c r="D9" s="260"/>
      <c r="E9" s="260"/>
      <c r="F9" s="260"/>
      <c r="G9" s="260"/>
      <c r="H9" s="260"/>
      <c r="I9" s="261"/>
      <c r="J9" s="21"/>
    </row>
    <row r="10" spans="1:12" ht="39.75" customHeight="1">
      <c r="A10" s="243" t="s">
        <v>12</v>
      </c>
      <c r="B10" s="243" t="s">
        <v>21</v>
      </c>
      <c r="C10" s="71" t="s">
        <v>22</v>
      </c>
      <c r="D10" s="72"/>
      <c r="E10" s="72"/>
      <c r="F10" s="72"/>
      <c r="G10" s="72"/>
      <c r="H10" s="72"/>
      <c r="I10" s="25"/>
      <c r="J10" s="21"/>
      <c r="K10" s="39"/>
      <c r="L10" s="26"/>
    </row>
    <row r="11" spans="1:12" ht="39.75" customHeight="1">
      <c r="A11" s="244"/>
      <c r="B11" s="244"/>
      <c r="C11" s="246" t="s">
        <v>23</v>
      </c>
      <c r="D11" s="247"/>
      <c r="E11" s="246" t="s">
        <v>24</v>
      </c>
      <c r="F11" s="247"/>
      <c r="G11" s="246" t="s">
        <v>273</v>
      </c>
      <c r="H11" s="247"/>
      <c r="I11" s="25" t="s">
        <v>25</v>
      </c>
      <c r="J11" s="21"/>
      <c r="K11" s="39"/>
      <c r="L11" s="26"/>
    </row>
    <row r="12" spans="1:12" ht="39.75" customHeight="1">
      <c r="A12" s="245"/>
      <c r="B12" s="245"/>
      <c r="C12" s="27" t="s">
        <v>26</v>
      </c>
      <c r="D12" s="28" t="s">
        <v>27</v>
      </c>
      <c r="E12" s="27" t="s">
        <v>26</v>
      </c>
      <c r="F12" s="28" t="s">
        <v>27</v>
      </c>
      <c r="G12" s="27" t="s">
        <v>26</v>
      </c>
      <c r="H12" s="28" t="s">
        <v>27</v>
      </c>
      <c r="I12" s="25" t="s">
        <v>28</v>
      </c>
      <c r="J12" s="21"/>
    </row>
    <row r="13" spans="1:12" ht="39.75" customHeight="1">
      <c r="A13" s="248"/>
      <c r="B13" s="248"/>
      <c r="C13" s="50"/>
      <c r="D13" s="50"/>
      <c r="E13" s="50"/>
      <c r="F13" s="50"/>
      <c r="G13" s="50"/>
      <c r="H13" s="50"/>
      <c r="I13" s="135"/>
      <c r="J13" s="29"/>
    </row>
    <row r="14" spans="1:12" ht="39.75" customHeight="1">
      <c r="A14" s="30" t="s">
        <v>7</v>
      </c>
      <c r="B14" s="31" t="str">
        <f>' PLANILHA ONERADA'!C12</f>
        <v>SERVIÇOS PRELIMINARES</v>
      </c>
      <c r="C14" s="74">
        <v>0.9</v>
      </c>
      <c r="D14" s="73">
        <f t="shared" ref="D14:D23" si="0">C14*I14</f>
        <v>7771.2840000000006</v>
      </c>
      <c r="E14" s="74">
        <v>0.1</v>
      </c>
      <c r="F14" s="73">
        <f t="shared" ref="F14:F23" si="1">E14*I14</f>
        <v>863.47600000000011</v>
      </c>
      <c r="G14" s="146"/>
      <c r="H14" s="147"/>
      <c r="I14" s="135">
        <f>' PLANILHA ONERADA'!I24</f>
        <v>8634.76</v>
      </c>
      <c r="J14" s="32">
        <f t="shared" ref="J14:J23" si="2">D14+F14+H14</f>
        <v>8634.76</v>
      </c>
      <c r="K14" s="40">
        <f>I14-J14</f>
        <v>0</v>
      </c>
    </row>
    <row r="15" spans="1:12" ht="39.75" customHeight="1">
      <c r="A15" s="30" t="s">
        <v>264</v>
      </c>
      <c r="B15" s="31" t="str">
        <f>' PLANILHA ONERADA'!C25</f>
        <v>CONCRETO ARMADO</v>
      </c>
      <c r="C15" s="74">
        <v>0.1</v>
      </c>
      <c r="D15" s="73">
        <f t="shared" si="0"/>
        <v>315.45100000000002</v>
      </c>
      <c r="E15" s="74">
        <v>0.9</v>
      </c>
      <c r="F15" s="73">
        <f t="shared" si="1"/>
        <v>2839.0590000000002</v>
      </c>
      <c r="G15" s="146"/>
      <c r="H15" s="147"/>
      <c r="I15" s="135">
        <f>' PLANILHA ONERADA'!I28</f>
        <v>3154.51</v>
      </c>
      <c r="J15" s="32">
        <f t="shared" si="2"/>
        <v>3154.51</v>
      </c>
      <c r="K15" s="40">
        <f t="shared" ref="K15:K23" si="3">I15-J15</f>
        <v>0</v>
      </c>
    </row>
    <row r="16" spans="1:12" ht="39.75" customHeight="1">
      <c r="A16" s="30" t="s">
        <v>265</v>
      </c>
      <c r="B16" s="31" t="str">
        <f>' PLANILHA ONERADA'!C29</f>
        <v>ALVENARIA E REVESTIMENTOS</v>
      </c>
      <c r="C16" s="74">
        <v>0.2</v>
      </c>
      <c r="D16" s="73">
        <f>C16*I16</f>
        <v>466.94600000000003</v>
      </c>
      <c r="E16" s="74">
        <v>0.8</v>
      </c>
      <c r="F16" s="73">
        <f t="shared" si="1"/>
        <v>1867.7840000000001</v>
      </c>
      <c r="G16" s="160"/>
      <c r="H16" s="161"/>
      <c r="I16" s="135">
        <f>' PLANILHA ONERADA'!I32</f>
        <v>2334.73</v>
      </c>
      <c r="J16" s="32">
        <f t="shared" si="2"/>
        <v>2334.73</v>
      </c>
      <c r="K16" s="40">
        <f t="shared" si="3"/>
        <v>0</v>
      </c>
    </row>
    <row r="17" spans="1:11" ht="39.75" customHeight="1">
      <c r="A17" s="30" t="s">
        <v>266</v>
      </c>
      <c r="B17" s="31" t="str">
        <f>' PLANILHA ONERADA'!C33</f>
        <v>PISOS E PAMIMENTAÇÕES</v>
      </c>
      <c r="C17" s="74">
        <v>0.05</v>
      </c>
      <c r="D17" s="73">
        <f t="shared" si="0"/>
        <v>4823.9319999999998</v>
      </c>
      <c r="E17" s="74">
        <v>0.05</v>
      </c>
      <c r="F17" s="73">
        <f t="shared" si="1"/>
        <v>4823.9319999999998</v>
      </c>
      <c r="G17" s="74">
        <v>0.9</v>
      </c>
      <c r="H17" s="73">
        <f t="shared" ref="H17:H23" si="4">G17*I17</f>
        <v>86830.775999999998</v>
      </c>
      <c r="I17" s="135">
        <f>' PLANILHA ONERADA'!I40</f>
        <v>96478.64</v>
      </c>
      <c r="J17" s="32">
        <f t="shared" si="2"/>
        <v>96478.64</v>
      </c>
      <c r="K17" s="40">
        <f t="shared" si="3"/>
        <v>0</v>
      </c>
    </row>
    <row r="18" spans="1:11" ht="39.75" customHeight="1">
      <c r="A18" s="30" t="s">
        <v>267</v>
      </c>
      <c r="B18" s="31" t="str">
        <f>' PLANILHA ONERADA'!C41</f>
        <v>ALAMBRADO</v>
      </c>
      <c r="C18" s="74">
        <v>0.1</v>
      </c>
      <c r="D18" s="73">
        <f t="shared" si="0"/>
        <v>3384.2040000000002</v>
      </c>
      <c r="E18" s="74">
        <v>0.5</v>
      </c>
      <c r="F18" s="73">
        <f t="shared" si="1"/>
        <v>16921.02</v>
      </c>
      <c r="G18" s="74">
        <v>0.4</v>
      </c>
      <c r="H18" s="73">
        <f t="shared" si="4"/>
        <v>13536.816000000001</v>
      </c>
      <c r="I18" s="135">
        <f>' PLANILHA ONERADA'!I50</f>
        <v>33842.04</v>
      </c>
      <c r="J18" s="32">
        <f t="shared" si="2"/>
        <v>33842.04</v>
      </c>
      <c r="K18" s="40">
        <f t="shared" si="3"/>
        <v>0</v>
      </c>
    </row>
    <row r="19" spans="1:11" ht="39.75" customHeight="1">
      <c r="A19" s="30" t="s">
        <v>268</v>
      </c>
      <c r="B19" s="31" t="str">
        <f>' PLANILHA ONERADA'!C51</f>
        <v>INSTALAÇÃO ELÉTRICA</v>
      </c>
      <c r="C19" s="146"/>
      <c r="D19" s="147">
        <f t="shared" si="0"/>
        <v>0</v>
      </c>
      <c r="E19" s="74">
        <v>1</v>
      </c>
      <c r="F19" s="73">
        <f t="shared" si="1"/>
        <v>4091.9199999999996</v>
      </c>
      <c r="G19" s="146"/>
      <c r="H19" s="147">
        <f t="shared" si="4"/>
        <v>0</v>
      </c>
      <c r="I19" s="135">
        <f>' PLANILHA ONERADA'!I56</f>
        <v>4091.9199999999996</v>
      </c>
      <c r="J19" s="32">
        <f t="shared" si="2"/>
        <v>4091.9199999999996</v>
      </c>
      <c r="K19" s="40">
        <f t="shared" si="3"/>
        <v>0</v>
      </c>
    </row>
    <row r="20" spans="1:11" ht="39.75" customHeight="1">
      <c r="A20" s="30" t="s">
        <v>269</v>
      </c>
      <c r="B20" s="31" t="str">
        <f>' PLANILHA ONERADA'!C57</f>
        <v>MOBILIÁRIO ESPORTIVO</v>
      </c>
      <c r="C20" s="146"/>
      <c r="D20" s="147">
        <f t="shared" si="0"/>
        <v>0</v>
      </c>
      <c r="E20" s="146"/>
      <c r="F20" s="147">
        <f t="shared" si="1"/>
        <v>0</v>
      </c>
      <c r="G20" s="74">
        <v>1</v>
      </c>
      <c r="H20" s="73">
        <f t="shared" si="4"/>
        <v>3122.3799999999997</v>
      </c>
      <c r="I20" s="135">
        <f>' PLANILHA ONERADA'!I60</f>
        <v>3122.3799999999997</v>
      </c>
      <c r="J20" s="32">
        <f t="shared" si="2"/>
        <v>3122.3799999999997</v>
      </c>
      <c r="K20" s="40">
        <f t="shared" si="3"/>
        <v>0</v>
      </c>
    </row>
    <row r="21" spans="1:11" ht="39.75" customHeight="1">
      <c r="A21" s="30" t="s">
        <v>270</v>
      </c>
      <c r="B21" s="31" t="str">
        <f>' PLANILHA ONERADA'!C61</f>
        <v>PINTURA</v>
      </c>
      <c r="C21" s="74">
        <v>0.1</v>
      </c>
      <c r="D21" s="73">
        <f t="shared" si="0"/>
        <v>720.24300000000005</v>
      </c>
      <c r="E21" s="74">
        <v>0.8</v>
      </c>
      <c r="F21" s="73">
        <f t="shared" si="1"/>
        <v>5761.9440000000004</v>
      </c>
      <c r="G21" s="74">
        <v>0.1</v>
      </c>
      <c r="H21" s="73">
        <f t="shared" si="4"/>
        <v>720.24300000000005</v>
      </c>
      <c r="I21" s="135">
        <f>' PLANILHA ONERADA'!I65</f>
        <v>7202.43</v>
      </c>
      <c r="J21" s="32">
        <f t="shared" si="2"/>
        <v>7202.4300000000012</v>
      </c>
      <c r="K21" s="40">
        <f t="shared" si="3"/>
        <v>0</v>
      </c>
    </row>
    <row r="22" spans="1:11" ht="39.75" customHeight="1">
      <c r="A22" s="30" t="s">
        <v>271</v>
      </c>
      <c r="B22" s="31" t="str">
        <f>' PLANILHA ONERADA'!C66</f>
        <v>TRANSPORTE E BOTA FORA</v>
      </c>
      <c r="C22" s="74">
        <v>0.9</v>
      </c>
      <c r="D22" s="73">
        <f t="shared" si="0"/>
        <v>3952.0170000000003</v>
      </c>
      <c r="E22" s="74">
        <v>0.05</v>
      </c>
      <c r="F22" s="73">
        <f t="shared" si="1"/>
        <v>219.55650000000003</v>
      </c>
      <c r="G22" s="74">
        <v>0.05</v>
      </c>
      <c r="H22" s="73">
        <f t="shared" si="4"/>
        <v>219.55650000000003</v>
      </c>
      <c r="I22" s="135">
        <f>' PLANILHA ONERADA'!I71</f>
        <v>4391.13</v>
      </c>
      <c r="J22" s="32">
        <f t="shared" si="2"/>
        <v>4391.13</v>
      </c>
      <c r="K22" s="40">
        <f t="shared" si="3"/>
        <v>0</v>
      </c>
    </row>
    <row r="23" spans="1:11" ht="39.75" customHeight="1">
      <c r="A23" s="30" t="s">
        <v>272</v>
      </c>
      <c r="B23" s="31" t="str">
        <f>' PLANILHA ONERADA'!C72</f>
        <v>ANDAIMES</v>
      </c>
      <c r="C23" s="74">
        <v>0.3</v>
      </c>
      <c r="D23" s="73">
        <f t="shared" si="0"/>
        <v>460.90500000000003</v>
      </c>
      <c r="E23" s="74">
        <v>0.5</v>
      </c>
      <c r="F23" s="73">
        <f t="shared" si="1"/>
        <v>768.17500000000007</v>
      </c>
      <c r="G23" s="74">
        <v>0.2</v>
      </c>
      <c r="H23" s="73">
        <f t="shared" si="4"/>
        <v>307.27000000000004</v>
      </c>
      <c r="I23" s="135">
        <f>' PLANILHA ONERADA'!I78</f>
        <v>1536.3500000000001</v>
      </c>
      <c r="J23" s="32">
        <f t="shared" si="2"/>
        <v>1536.3500000000001</v>
      </c>
      <c r="K23" s="40">
        <f t="shared" si="3"/>
        <v>0</v>
      </c>
    </row>
    <row r="24" spans="1:11" ht="39.75" customHeight="1">
      <c r="A24" s="51"/>
      <c r="B24" s="52"/>
      <c r="C24" s="53"/>
      <c r="D24" s="54"/>
      <c r="E24" s="54"/>
      <c r="F24" s="54"/>
      <c r="G24" s="54"/>
      <c r="H24" s="54"/>
      <c r="I24" s="33">
        <f>SUM(I14:I23)</f>
        <v>164788.89000000001</v>
      </c>
      <c r="J24" s="32"/>
    </row>
    <row r="25" spans="1:11" ht="39.75" customHeight="1">
      <c r="A25" s="249" t="s">
        <v>29</v>
      </c>
      <c r="B25" s="250"/>
      <c r="C25" s="251">
        <f>SUM(D14:D23)</f>
        <v>21894.982</v>
      </c>
      <c r="D25" s="252"/>
      <c r="E25" s="251">
        <f>SUM(F14:F23)</f>
        <v>38156.866500000004</v>
      </c>
      <c r="F25" s="252"/>
      <c r="G25" s="251">
        <f>SUM(H14:H23)</f>
        <v>104737.04150000002</v>
      </c>
      <c r="H25" s="252"/>
      <c r="I25" s="34"/>
      <c r="J25" s="29"/>
    </row>
    <row r="26" spans="1:11" ht="39.75" customHeight="1">
      <c r="A26" s="249" t="s">
        <v>30</v>
      </c>
      <c r="B26" s="250"/>
      <c r="C26" s="235">
        <f>C25</f>
        <v>21894.982</v>
      </c>
      <c r="D26" s="236"/>
      <c r="E26" s="235">
        <f>C26+E25</f>
        <v>60051.848500000007</v>
      </c>
      <c r="F26" s="236"/>
      <c r="G26" s="235">
        <f>E26+G25</f>
        <v>164788.89000000001</v>
      </c>
      <c r="H26" s="236"/>
      <c r="I26" s="35"/>
      <c r="J26" s="29"/>
    </row>
    <row r="27" spans="1:11" ht="39.75" customHeight="1">
      <c r="A27" s="239" t="s">
        <v>31</v>
      </c>
      <c r="B27" s="240"/>
      <c r="C27" s="253">
        <f>C25/I24</f>
        <v>0.13286685771109932</v>
      </c>
      <c r="D27" s="254"/>
      <c r="E27" s="253">
        <f>E25/I24</f>
        <v>0.23154999405603133</v>
      </c>
      <c r="F27" s="254"/>
      <c r="G27" s="253">
        <f>G25/I24</f>
        <v>0.63558314823286943</v>
      </c>
      <c r="H27" s="254"/>
      <c r="I27" s="36"/>
      <c r="J27" s="29"/>
    </row>
    <row r="28" spans="1:11" ht="39.75" customHeight="1">
      <c r="A28" s="239" t="s">
        <v>32</v>
      </c>
      <c r="B28" s="240"/>
      <c r="C28" s="253">
        <f>C27</f>
        <v>0.13286685771109932</v>
      </c>
      <c r="D28" s="254"/>
      <c r="E28" s="255">
        <f>C28+E27</f>
        <v>0.36441685176713068</v>
      </c>
      <c r="F28" s="256"/>
      <c r="G28" s="255">
        <f>E28+G27</f>
        <v>1</v>
      </c>
      <c r="H28" s="256"/>
      <c r="I28" s="37"/>
      <c r="J28" s="29"/>
    </row>
    <row r="30" spans="1:11" ht="30">
      <c r="I30" s="55"/>
    </row>
    <row r="31" spans="1:11" ht="30">
      <c r="I31" s="55"/>
    </row>
  </sheetData>
  <mergeCells count="31">
    <mergeCell ref="E27:F27"/>
    <mergeCell ref="A28:B28"/>
    <mergeCell ref="C28:D28"/>
    <mergeCell ref="E28:F28"/>
    <mergeCell ref="G28:H28"/>
    <mergeCell ref="G25:H25"/>
    <mergeCell ref="E25:F25"/>
    <mergeCell ref="G27:H27"/>
    <mergeCell ref="A26:B26"/>
    <mergeCell ref="C27:D27"/>
    <mergeCell ref="E26:F26"/>
    <mergeCell ref="A27:B27"/>
    <mergeCell ref="A8:H8"/>
    <mergeCell ref="A10:A12"/>
    <mergeCell ref="B10:B12"/>
    <mergeCell ref="G26:H26"/>
    <mergeCell ref="G11:H11"/>
    <mergeCell ref="A13:B13"/>
    <mergeCell ref="A25:B25"/>
    <mergeCell ref="C25:D25"/>
    <mergeCell ref="A9:I9"/>
    <mergeCell ref="A1:H1"/>
    <mergeCell ref="A2:H2"/>
    <mergeCell ref="A3:H3"/>
    <mergeCell ref="A4:H4"/>
    <mergeCell ref="A5:H5"/>
    <mergeCell ref="C26:D26"/>
    <mergeCell ref="A6:H6"/>
    <mergeCell ref="A7:H7"/>
    <mergeCell ref="E11:F11"/>
    <mergeCell ref="C11:D11"/>
  </mergeCells>
  <phoneticPr fontId="25" type="noConversion"/>
  <printOptions horizontalCentered="1" verticalCentered="1"/>
  <pageMargins left="0.39370078740157483" right="0.39370078740157483" top="0.98425196850393704" bottom="0.39370078740157483" header="0" footer="0"/>
  <pageSetup paperSize="9" scale="42" fitToHeight="1000" orientation="landscape" horizontalDpi="4294967294" verticalDpi="300" r:id="rId1"/>
  <headerFooter alignWithMargins="0">
    <oddFooter>&amp;C&amp;14&amp;A&amp;R&amp;14Página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8</vt:i4>
      </vt:variant>
    </vt:vector>
  </HeadingPairs>
  <TitlesOfParts>
    <vt:vector size="12" baseType="lpstr">
      <vt:lpstr>MEMÓRIA ONERADA</vt:lpstr>
      <vt:lpstr>MEMÓRIA RESUMIDA</vt:lpstr>
      <vt:lpstr> PLANILHA ONERADA</vt:lpstr>
      <vt:lpstr>Cronograma </vt:lpstr>
      <vt:lpstr>' PLANILHA ONERADA'!Area_de_impressao</vt:lpstr>
      <vt:lpstr>'Cronograma '!Area_de_impressao</vt:lpstr>
      <vt:lpstr>'MEMÓRIA ONERADA'!Area_de_impressao</vt:lpstr>
      <vt:lpstr>'MEMÓRIA RESUMIDA'!Area_de_impressao</vt:lpstr>
      <vt:lpstr>' PLANILHA ONERADA'!Titulos_de_impressao</vt:lpstr>
      <vt:lpstr>'Cronograma '!Titulos_de_impressao</vt:lpstr>
      <vt:lpstr>'MEMÓRIA ONERADA'!Titulos_de_impressao</vt:lpstr>
      <vt:lpstr>'MEMÓRIA RESUMIDA'!Titulos_de_impressao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Antonio Nicolau Macedo Cunha</dc:creator>
  <cp:lastModifiedBy>Lelia Mada Costa Nogueira</cp:lastModifiedBy>
  <cp:lastPrinted>2021-07-08T16:33:34Z</cp:lastPrinted>
  <dcterms:created xsi:type="dcterms:W3CDTF">2017-11-22T13:14:51Z</dcterms:created>
  <dcterms:modified xsi:type="dcterms:W3CDTF">2021-07-16T15:06:40Z</dcterms:modified>
</cp:coreProperties>
</file>