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DESONERADA" sheetId="1" r:id="rId1"/>
    <sheet name="NÃO DESONERADA" sheetId="2" r:id="rId2"/>
    <sheet name="NÃO DESONERADA RESUMIDA" sheetId="3" r:id="rId3"/>
    <sheet name="Cronograma " sheetId="4" r:id="rId4"/>
  </sheets>
  <externalReferences>
    <externalReference r:id="rId7"/>
  </externalReferences>
  <definedNames>
    <definedName name="EXTRACT" localSheetId="3">'Cronograma '!#REF!</definedName>
    <definedName name="_xlnm.Print_Area" localSheetId="3">'Cronograma '!$A$1:$I$23</definedName>
    <definedName name="_xlnm.Print_Area" localSheetId="0">'DESONERADA'!$A$1:$I$108</definedName>
    <definedName name="_xlnm.Print_Area" localSheetId="1">'NÃO DESONERADA'!$A$1:$I$108</definedName>
    <definedName name="_xlnm.Print_Area" localSheetId="2">'NÃO DESONERADA RESUMIDA'!$A$1:$I$37</definedName>
    <definedName name="BDI" localSheetId="3">#REF!</definedName>
    <definedName name="BDI" localSheetId="0">#REF!</definedName>
    <definedName name="BDI" localSheetId="1">#REF!</definedName>
    <definedName name="BDI" localSheetId="2">#REF!</definedName>
    <definedName name="BDI">#REF!</definedName>
    <definedName name="CRITERIA" localSheetId="3">'Cronograma '!#REF!</definedName>
    <definedName name="_xlnm.Print_Titles" localSheetId="3">'Cronograma '!$10:$12</definedName>
    <definedName name="_xlnm.Print_Titles" localSheetId="0">'DESONERADA'!$9:$11</definedName>
    <definedName name="_xlnm.Print_Titles" localSheetId="1">'NÃO DESONERADA'!$9:$11</definedName>
    <definedName name="_xlnm.Print_Titles" localSheetId="2">'NÃO DESONERADA RESUMIDA'!$9:$11</definedName>
  </definedNames>
  <calcPr fullCalcOnLoad="1"/>
</workbook>
</file>

<file path=xl/sharedStrings.xml><?xml version="1.0" encoding="utf-8"?>
<sst xmlns="http://schemas.openxmlformats.org/spreadsheetml/2006/main" count="716" uniqueCount="263">
  <si>
    <t>M2</t>
  </si>
  <si>
    <t>M3</t>
  </si>
  <si>
    <t>00368</t>
  </si>
  <si>
    <t>M</t>
  </si>
  <si>
    <t>00453</t>
  </si>
  <si>
    <t>KG</t>
  </si>
  <si>
    <t>H</t>
  </si>
  <si>
    <t>TOTAL</t>
  </si>
  <si>
    <t>1.1</t>
  </si>
  <si>
    <t>1.2</t>
  </si>
  <si>
    <t>1.3</t>
  </si>
  <si>
    <t>UN</t>
  </si>
  <si>
    <t>4.1</t>
  </si>
  <si>
    <t>4.2</t>
  </si>
  <si>
    <t>4.3</t>
  </si>
  <si>
    <t>1.0</t>
  </si>
  <si>
    <t>SERVIÇOS PRELIMINARES</t>
  </si>
  <si>
    <t>2.0</t>
  </si>
  <si>
    <t>3.0</t>
  </si>
  <si>
    <t>4.0</t>
  </si>
  <si>
    <t>5.0</t>
  </si>
  <si>
    <t>PINTURA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</si>
  <si>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</si>
  <si>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</si>
  <si>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</si>
  <si>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 xml:space="preserve">MEMÓRIA DE CÁLCULO </t>
  </si>
  <si>
    <t>ITEM</t>
  </si>
  <si>
    <t>DISCRIMINAÇÃO</t>
  </si>
  <si>
    <t>QUANT.</t>
  </si>
  <si>
    <t>PREÇOS (R$)</t>
  </si>
  <si>
    <t xml:space="preserve">CRONOGRAMA  FÍSICO-FINANCEIRO </t>
  </si>
  <si>
    <t>DESCRIÇÃO</t>
  </si>
  <si>
    <t>PERÍODO</t>
  </si>
  <si>
    <t>30 DIAS</t>
  </si>
  <si>
    <t>60 DIAS</t>
  </si>
  <si>
    <t>TOTAL DOS</t>
  </si>
  <si>
    <t>FÍSICO</t>
  </si>
  <si>
    <t>FINANCEIRO</t>
  </si>
  <si>
    <t>SERVIÇOS</t>
  </si>
  <si>
    <t>TRANSPORTE E BOTA-FORA</t>
  </si>
  <si>
    <t>TOTAL DA OBRA POR MEDIÇÃO</t>
  </si>
  <si>
    <t>TOTAL ACUMULADO DA OBRA</t>
  </si>
  <si>
    <t>Desembolso parcial por medição %</t>
  </si>
  <si>
    <t>Desembolso máximo acumulado %</t>
  </si>
  <si>
    <t>T</t>
  </si>
  <si>
    <t>GL</t>
  </si>
  <si>
    <t>00124</t>
  </si>
  <si>
    <t>ESTRUTURA DE CONCRETO ARMADO</t>
  </si>
  <si>
    <t>x</t>
  </si>
  <si>
    <t>2.1</t>
  </si>
  <si>
    <t>3.1</t>
  </si>
  <si>
    <t>TOTAL 3.0</t>
  </si>
  <si>
    <t>TOTAL 1.0</t>
  </si>
  <si>
    <t>TOTAL 4.0</t>
  </si>
  <si>
    <t>07425</t>
  </si>
  <si>
    <t>00840</t>
  </si>
  <si>
    <t>TOTAL 9.0</t>
  </si>
  <si>
    <t>TOTAL GERAL=</t>
  </si>
  <si>
    <t>APROVAÇÃO: Eng. Eros dos Santos</t>
  </si>
  <si>
    <t>CÓDIGO</t>
  </si>
  <si>
    <t>Alambrado / esquadrias</t>
  </si>
  <si>
    <t>Pintura</t>
  </si>
  <si>
    <t>Transporte e bota-fora</t>
  </si>
  <si>
    <t>20132</t>
  </si>
  <si>
    <t>MAO-DE-OBRA DE SERVENTE DA CONSTRUCAO CIVIL, INCLUSIVE ENCARGOS SOCIAIS DESONERADOS</t>
  </si>
  <si>
    <t>20045</t>
  </si>
  <si>
    <t>MAO-DE-OBRA DE CARPINTEIRO DE ESQUADRIASDE MADEIRA, INCLUSIVE ENCARGOS SOCIAISDESONERADOS</t>
  </si>
  <si>
    <t>20115</t>
  </si>
  <si>
    <t>MAO-DE-OBRA DE PEDREIRO, INCLUSIVE ENCARGOS SOCIAIS DESONERADOS</t>
  </si>
  <si>
    <t>MAO-DE-OBRA DE CARPINTEIRO DE FORMA DE CONCRETO, INCLUSIVE ENCARGOS SOCIAIS DESONERADOS</t>
  </si>
  <si>
    <t>19.007.0013-E VIBRADOR IMERSAO ELETR. 2CV (CI)</t>
  </si>
  <si>
    <t>19.007.0013-C VIBRADOR IMERSAO ELETR. 2CV (CP)</t>
  </si>
  <si>
    <t>PRIMER EPOXI,ISOCIANATO DE 2 COMPONENTES</t>
  </si>
  <si>
    <t>DETERGENTE NEUTRO P/LIMPEZA INDUSTRIAL,EM SACO DE 25KG</t>
  </si>
  <si>
    <t>ESMALTE SINTETICO ALQUIDICO ALTO BRILHO,BRILHANTE, ACETINADO OU FOSCO</t>
  </si>
  <si>
    <t>ALAMBRADO/ESQUADRIAS</t>
  </si>
  <si>
    <r>
      <t>Secretaria Municipal de Planejamento Urbano</t>
    </r>
    <r>
      <rPr>
        <sz val="20"/>
        <rFont val="Arial"/>
        <family val="2"/>
      </rPr>
      <t xml:space="preserve"> </t>
    </r>
  </si>
  <si>
    <t>ORÇAMENTO Nº 001-19</t>
  </si>
  <si>
    <t>02.020.0002-A</t>
  </si>
  <si>
    <t>10806</t>
  </si>
  <si>
    <t>PLACA DE IDENTIFICACAO DE OBRA PUBLICA,TIPO BANNER/PLOTER, CONSTITUIDA POR LONAE IMPRESSAO DIGITAL</t>
  </si>
  <si>
    <t>UNIT s/ BDI</t>
  </si>
  <si>
    <t>UNITc/ BDI</t>
  </si>
  <si>
    <t>TOTAL s/ BDI</t>
  </si>
  <si>
    <t>TOTAL c/ BDI</t>
  </si>
  <si>
    <t>BRITA 3, PARA REGIAO METROPOLITANA DO RIO DE JANEIRO</t>
  </si>
  <si>
    <t>19.006.0030-C SOQUETE VIBRATORIO 78KG; 2,5CV (CP)</t>
  </si>
  <si>
    <t>19.006.0030-E SOQUETE VIBRATORIO 78KG; 2,5CV (CI)</t>
  </si>
  <si>
    <t>19.007.0016-C REGUA VIBRADORA DUPLA 3,4CV (CP)</t>
  </si>
  <si>
    <t>19.007.0016-E REGUA VIBRADORA DUPLA 3,4CV (CI)</t>
  </si>
  <si>
    <t>TUBO ACO GALVANIZADO COM COSTURA, CLASSE MEDIA, DN 2", E = *3,65* MM, PESO *5,10* KG/M (NBR 5580)</t>
  </si>
  <si>
    <t>SERVENTE COM ENCARGOS COMPLEMENTARES</t>
  </si>
  <si>
    <t>SERRALHEIRO COM ENCARGOS COMPLEMENTARES</t>
  </si>
  <si>
    <t>14559</t>
  </si>
  <si>
    <t>04900</t>
  </si>
  <si>
    <t>PLASTICO NA COR PRETA, COM ESPESSURA DE0,15MM</t>
  </si>
  <si>
    <t>20046</t>
  </si>
  <si>
    <t>20015</t>
  </si>
  <si>
    <t>MAO-DE-OBRA DE ARMADOR DE CONCRETO ARMADO, INCLUSIVE ENCARGOS SOCIAIS DESONERADOS</t>
  </si>
  <si>
    <t>30735</t>
  </si>
  <si>
    <t>30734</t>
  </si>
  <si>
    <t>30731</t>
  </si>
  <si>
    <t>30730</t>
  </si>
  <si>
    <t>30694</t>
  </si>
  <si>
    <t>30693</t>
  </si>
  <si>
    <t>TOTAL 2.0</t>
  </si>
  <si>
    <t>5.1</t>
  </si>
  <si>
    <t>5.2</t>
  </si>
  <si>
    <t>02.002.0007-A</t>
  </si>
  <si>
    <t>13732</t>
  </si>
  <si>
    <t>TELHA TRAPEZOIDAL EM ACO GALVANIZADO, ESPESSURA DE 0,5MM</t>
  </si>
  <si>
    <t>02.020.0002-0</t>
  </si>
  <si>
    <t>01999</t>
  </si>
  <si>
    <t>MAO-DE-OBRA DE SERVENTE DA CONSTRUCAO CIVIL, INCLUSIVE ENCARGOS SOCIAIS</t>
  </si>
  <si>
    <t>01967</t>
  </si>
  <si>
    <t>MAO-DE-OBRA DE CARPINTEIRO DE ESQUADRIASDE MADEIRA INCLUSIVE ENCARGOS SOCIAIS</t>
  </si>
  <si>
    <t>02.002.0007-0</t>
  </si>
  <si>
    <t>01998</t>
  </si>
  <si>
    <t>MAO-DE-OBRA DE ARMADOR DE CONCRETO ARMADO, INCLUSIVE ENCARGOS SOCIAIS</t>
  </si>
  <si>
    <t>01990</t>
  </si>
  <si>
    <t>MAO-DE-OBRA DE CARPINTEIRO DE FORMA DE CONCRETO, INCLUSIVE ENCARGOS SOCIAIS</t>
  </si>
  <si>
    <t>01968</t>
  </si>
  <si>
    <t>MAO-DE-OBRA DE PEDREIRO, INCLUSIVE ENCARGOS SOCIAIS</t>
  </si>
  <si>
    <t>02176</t>
  </si>
  <si>
    <t>19.006.0030-4 SOQUETE VIBRATORIO 78KG; 2,5CV (CI)</t>
  </si>
  <si>
    <t>02175</t>
  </si>
  <si>
    <t>19.006.0030-2 SOQUETE VIBRATORIO 78KG; 2,5CV (CP)</t>
  </si>
  <si>
    <t>02018</t>
  </si>
  <si>
    <t>19.007.0016-4 REGUA VIBRADORA DUPLA 3,4CV (CI)</t>
  </si>
  <si>
    <t>02017</t>
  </si>
  <si>
    <t>19.007.0016-2 REGUA VIBRADORA DUPLA 3,4CV (CP)</t>
  </si>
  <si>
    <t>01158</t>
  </si>
  <si>
    <t>19.007.0013-4 VIBRADOR IMERSAO ELETR. 2CV (CI)</t>
  </si>
  <si>
    <t>01157</t>
  </si>
  <si>
    <t>19.007.0013-2 VIBRADOR IMERSAO ELETR. 2CV (CP)</t>
  </si>
  <si>
    <t>17.017.0350-0</t>
  </si>
  <si>
    <t>01966</t>
  </si>
  <si>
    <t>MAO-DE-OBRA DE PINTOR, INCLUSIVE ENCARGOS SOCIAIS</t>
  </si>
  <si>
    <t>PLACA DE IDENTIFICACAO DE OBRA PUBLICA,TIPO BANNER/PLOTTER,CONSTITUIDA POR LONA E IMPRESSAO DIGITAL,INCLUSIVE SUPORTES DE MADEIRA.FORNECIMENTO E COLOCACAO</t>
  </si>
  <si>
    <t>PREGO COM OU SEM CABECA, EM CAIXAS DE 50KG, OU QUANTIDADES EQUIVALENTES, Nº12X12A 18X30</t>
  </si>
  <si>
    <t>PINUS, EM PECAS DE 7,50X7,50CM (3"X3")</t>
  </si>
  <si>
    <t>TAPUME DE VEDACAO OU PROTECAO EXECUTADO COM TELHAS TRAPEZOIDAIS DE ACO GALVANIZADO,ESPESSURA DE 0,5MM,ESTAS COM 4 VEZESDE UTILIZACAO,INCLUSIVE ENGRADAMENTO DE MADEIRA,UTILIZADO 2VEZES,EXCLUSIVE PINTURA</t>
  </si>
  <si>
    <t>So0007356</t>
  </si>
  <si>
    <t>TINTA LATEX ACRILICA PREMIUM, COR BRANCO FOSCO</t>
  </si>
  <si>
    <t>L</t>
  </si>
  <si>
    <t>07328</t>
  </si>
  <si>
    <t>CONCRETO IMPORTADO DE USINA, UTILIZANDOBRITA 1, DE 25MPA</t>
  </si>
  <si>
    <t>TELA DE ARAME GALV REVESTIDO EM PVC, QUADRANGULAR / LOSANGULAR,  FIO 2,77 MM (12 BWG), BITOLA FINAL = *3,8* MM, MALHA  7,5 X 7,5 CM, H = 2 M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</si>
  <si>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</si>
  <si>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So0011002</t>
  </si>
  <si>
    <t>ELETRODO REVESTIDO AWS - E6013, DIAMETRO IGUAL A 2,50 MM</t>
  </si>
  <si>
    <t>So0007698</t>
  </si>
  <si>
    <t>TUBO ACO GALVANIZADO COM COSTURA, CLASSE MEDIA, DN 1.1/4", E = *3,25* MM, PESO *3,14* KG/M (NBR 5580)</t>
  </si>
  <si>
    <t>So0007696</t>
  </si>
  <si>
    <t>So0007167</t>
  </si>
  <si>
    <t>TELA DE ARAME GALVANIZADA QUADRANGULAR / LOSANGULAR, FIO 2,11 MM (14 BWG), MALHA 5 X 5 CM, H = 2 M</t>
  </si>
  <si>
    <t>So00000088316</t>
  </si>
  <si>
    <t>So00000088315</t>
  </si>
  <si>
    <t>So00000094962</t>
  </si>
  <si>
    <t>17.013.0030-0</t>
  </si>
  <si>
    <t>PINTURA INTERNA OU EXTERNA SOBRE CONCRETO LISO OU REVESTIMENTO,COM TINTA AQUOSA A BASE DE EPOXI INCOLOR OU EM CORES,INCLUSIVE LIMPEZA,E DUAS DEMAOS DE ACABAMENTO</t>
  </si>
  <si>
    <t>07416</t>
  </si>
  <si>
    <t>TINTA EPOXYCA, BICOMPONENTE ISENTA DE SOLVENTES</t>
  </si>
  <si>
    <t>00324</t>
  </si>
  <si>
    <t>LIXA P/MADEIRA Nº100</t>
  </si>
  <si>
    <t>PINTURA INTERNA OU EXTERNA SOBRE FERRO GALVANIZADO OU ALUMINIO,USANDO FUNDO PARA GALVANIZADO,INCLUSIVE LIXAMENTO LEVE,LIMPEZA,DESENGORDURAMENTO E DUAS DEMAOS DE ACABAMENTO COM ESMALTE SINTETICO BRILHANTE OU ACETINADO</t>
  </si>
  <si>
    <t>So00000088310</t>
  </si>
  <si>
    <t>PINTOR COM ENCARGOS COMPLEMENTARES</t>
  </si>
  <si>
    <t>So0006085</t>
  </si>
  <si>
    <t>SELADOR ACRILICO OPACO PREMIUM INTERIOR/EXTERIOR</t>
  </si>
  <si>
    <t>So00000088415</t>
  </si>
  <si>
    <t>APLICAÇÃO MANUAL DE FUNDO SELADOR ACRÍLICO EM PAREDES EXTERNAS DE CASAS. AF_06/2014</t>
  </si>
  <si>
    <t>LOCACAO DE ANDAIME COM ELEMENTOS TUBULARES SOBRE SAPATAS FIXAS,CONSIDERANDO-SE A AREA DA PROJECAO VERTICAL DO ANDAIME EPAGO PELO TEMPO NECESSARIO A SUA UTILIZACAO,EXCLUSIVE TRANSPORTE DOS ELEMENTOS DO ANDAIME ATE A OBRA,PLATAFORMA OU PASSARELA DE PINHO,MONTAGEM E DESMONTAGEM DOS ANDAIMES</t>
  </si>
  <si>
    <t>M2XMES</t>
  </si>
  <si>
    <t>14836</t>
  </si>
  <si>
    <t>LOCACAO DE ANDAIME METALICO COM ELEMENTOS TUBULARES SOBRE SAPATAS,C/ESCADA DE ACESSO E GUARDA-CORPO,EXCL.PISO E TRANSP.</t>
  </si>
  <si>
    <t>05.008.0001-0</t>
  </si>
  <si>
    <t>MONTAGEM E DESMONTAGEM DE ANDAIME COM ELEMENTOS TUBULARES,CONSIDERANDO-SE A AREA VERTICAL RECOBERTA</t>
  </si>
  <si>
    <t>TRANSPORTE DE ANDAIME TUBULAR,CONSIDERANDO-SE A AREA DE PROJECAO VERTICAL DO ANDAIME,EXCLUSIVE CARGA,DESCARGA E TEMPO DEESPERA DO CAMINHAO(VIDE ITEM 04.021.0010)</t>
  </si>
  <si>
    <t>M2XKM</t>
  </si>
  <si>
    <t>04.014.0095-0</t>
  </si>
  <si>
    <t>RETIRADA DE ENTULHO DE OBRA COM CACAMBA DE ACO TIPO CONTAINER COM 5M3 DE CAPACIDADE,INCLUSIVE CARREGAMENTO,TRANSPORTE EDESCARREGAMENTO.CUSTO POR UNIDADE DE CACAMBA E INCLUI A TAXA PARA DESCARGA EM LOCAIS AUTORIZADOS</t>
  </si>
  <si>
    <t>10962</t>
  </si>
  <si>
    <t>ALUGUEL CACAMBA DE ACO TIPO CONTAINER C/5M3 CAPAC.P/RETIRADA ENTULHO OBRA,INCL.CARREGA.,TRANSP.E DESCAR.LOCAIS AUTORIZ.</t>
  </si>
  <si>
    <t>TELA DE ACO SOLDADA NERVURADA, CA-60, Q-283 (4,48 KG/M2), DIAMETRO DO FIO = 6,0 MM, LARGURA = 2,45 X 6,00 M DE COMPRIMENTO, ESPACAMENTO DA MALHA = 10 X 10 CM</t>
  </si>
  <si>
    <t>CONCRETO MAGRO PARA LASTRO, TRAÇO 1:4,5:4,5 (EM MASSA SECA DE CIMENTO/ AREIA MÉDIA/ BRITA 1) - PREPARO MECÂNICO COM BETONEIRA 400 L. AF_05/2021</t>
  </si>
  <si>
    <t>So00000088489</t>
  </si>
  <si>
    <t>APLICAÇÃO MANUAL DE PINTURA COM TINTA LÁTEX ACRÍLICA EM PAREDES, DUAS DEMÃOS. AF_06/2014</t>
  </si>
  <si>
    <t>05.006.0001-1</t>
  </si>
  <si>
    <t>04.020.0122-0</t>
  </si>
  <si>
    <t>01001</t>
  </si>
  <si>
    <t>19.004.0001-2 CAMINHAO CARROC. FIXA, 3,5T (CP)</t>
  </si>
  <si>
    <r>
      <t xml:space="preserve">13.373.0020-0 </t>
    </r>
    <r>
      <rPr>
        <b/>
        <sz val="11"/>
        <rFont val="Arial"/>
        <family val="2"/>
      </rPr>
      <t>(MODIFICADO)</t>
    </r>
  </si>
  <si>
    <r>
      <t xml:space="preserve">So00000102362 </t>
    </r>
    <r>
      <rPr>
        <b/>
        <sz val="11"/>
        <rFont val="Arial"/>
        <family val="2"/>
      </rPr>
      <t>(MODIFICADO)</t>
    </r>
  </si>
  <si>
    <t>4.4</t>
  </si>
  <si>
    <t>0011002</t>
  </si>
  <si>
    <t>0007698</t>
  </si>
  <si>
    <t>0007696</t>
  </si>
  <si>
    <t>SI00000088316</t>
  </si>
  <si>
    <t>SI00000088315</t>
  </si>
  <si>
    <t>SI00000094962</t>
  </si>
  <si>
    <t>5.3</t>
  </si>
  <si>
    <t>5.4</t>
  </si>
  <si>
    <t>Local: QUADRA POLIESPORTIVA DA ESCOLA MUNICIPAL JAYME OSCAR PINHO DE CARVALHO JUNIOR, RUA CURITIBA N°243, BAIRRO GETULIO VARGAS, BARRA MANSA-RJ</t>
  </si>
  <si>
    <t xml:space="preserve">Serviço : Reforma de Quadra </t>
  </si>
  <si>
    <t>PROJETO: Eng° Jefferson Martins</t>
  </si>
  <si>
    <t>ORÇAMENTO:  Eng° Patrick Suckow</t>
  </si>
  <si>
    <t>LEVANTAMENTO: Eng° Jefferson Martins</t>
  </si>
  <si>
    <t>DATA:06/06/2022</t>
  </si>
  <si>
    <t xml:space="preserve">Serviço :Reforma de Quadra </t>
  </si>
  <si>
    <t>TELA DE ARAME GALV REVESTIDO EM PVC, QUADRANGULAR / LOSANGULAR,  FIO 2,77 MM (12 BWG), BITOLA FINAL = *3,8* MM, MALHA  7,5 X 7,5 CM, H = 2 M INSTALADO EM ESTRUTURA DE ALAMBRADO JÁ EXISTENTE.</t>
  </si>
  <si>
    <t>05.001.0601-0</t>
  </si>
  <si>
    <t>APICOAMENTO DE CONCRETO OU PISO CIMENTADO</t>
  </si>
  <si>
    <t>01939</t>
  </si>
  <si>
    <t>MAO-DE-OBRA DE CANTEIRO, INCLUSIVE ENCARGOS SOCIAIS</t>
  </si>
  <si>
    <t>01938</t>
  </si>
  <si>
    <t>MAO-DE-OBRA DE FERREIRO, INCLUSIVE ENCARGOS SOCIAIS</t>
  </si>
  <si>
    <t>02.006.0015-A</t>
  </si>
  <si>
    <t>ALUGUEL CONTAINER PARA ESCRITORIO C/WC,MEDINDO 2,20M LARGURA,6,20M COMPRIMENTO E 2,50M ALTURA,CHAPAS ACO C/NERVURAS TRAP EZOIDAIS,ISOLAMENTO TERMO-ACUSTICO FORRO,CHASSIS REFORCADO EPISO COMPENSADO NAVAL,INCL.INST.ELETRICA E HIDRO-SANITARIAS ,ACESSORIOS,1 VASO SANITARIO E 1 LAVATORIO,EXCL.TRANSP.(VIDEITEM 04.005.0300),CARGA E DESCARGA(VIDE ITEM 04.013.0015)</t>
  </si>
  <si>
    <t>UNXMES</t>
  </si>
  <si>
    <t>07168</t>
  </si>
  <si>
    <t>ALUGUEL CONTAINER ESCRITORIO C/WC,(2,20X6,20X2,50)M,INCL.INST.ELET./HIDRO,ACESSORIOS,1VASO E 1LAVAT</t>
  </si>
  <si>
    <t>UNxMES</t>
  </si>
  <si>
    <t>02.006.0015-0</t>
  </si>
  <si>
    <r>
      <t>PISO DE CONCRETO ARMADO MONOLITICO,C/JUNTA FRIA,ALISADO C/REGUA VIBRATORIA,</t>
    </r>
    <r>
      <rPr>
        <b/>
        <sz val="11"/>
        <rFont val="Arial"/>
        <family val="2"/>
      </rPr>
      <t>ESPESSURA 7CM</t>
    </r>
    <r>
      <rPr>
        <sz val="11"/>
        <rFont val="Arial"/>
        <family val="2"/>
      </rPr>
      <t xml:space="preserve">,SOBRE PISO DE CONCRETO APICOADO,,TELA SOLDADA 15X15CM </t>
    </r>
    <r>
      <rPr>
        <b/>
        <sz val="11"/>
        <rFont val="Arial"/>
        <family val="2"/>
      </rPr>
      <t>#6,0MM</t>
    </r>
    <r>
      <rPr>
        <sz val="11"/>
        <rFont val="Arial"/>
        <family val="2"/>
      </rPr>
      <t xml:space="preserve">,CONCRETO USINADO RESISTENCIA A COMPRESSAO </t>
    </r>
    <r>
      <rPr>
        <b/>
        <sz val="11"/>
        <rFont val="Arial"/>
        <family val="2"/>
      </rPr>
      <t>25MPA</t>
    </r>
    <r>
      <rPr>
        <sz val="11"/>
        <rFont val="Arial"/>
        <family val="2"/>
      </rPr>
      <t xml:space="preserve"> C/TRANSPORTEDO CONCRETO E TODA A MAO-DE-OBRA E EQUIPAMENTOS NECESSARIOS</t>
    </r>
  </si>
  <si>
    <r>
      <t>Data-Base:   EMOP -  RJ / SINAPI e SCO-RJ-</t>
    </r>
    <r>
      <rPr>
        <b/>
        <sz val="12"/>
        <color indexed="8"/>
        <rFont val="Arial"/>
        <family val="2"/>
      </rPr>
      <t xml:space="preserve"> Não Deso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junho-2022</t>
    </r>
  </si>
  <si>
    <t>ALUGUEL CONTAINER PARA ESCRITORIO C/WC,MEDINDO 2,20M LARGURA,6,20M COMPRIMENTO E 2,50M ALTURA,CHAPAS ACO C/NERVURAS TRAPEZOIDAIS,ISOLAMENTO TERMO-ACUSTICO FORRO,CHASSIS REFORCADO EPISO COMPENSADO NAVAL,INCL.INST.ELETRICA E HIDRO-SANITARIAS,ACESSORIOS,1 VASO SANITARIO E 1 LAVATORIO,EXCL.TRANSP.(VIDEITEM 04.005.0300),CARGA E DESCARGA(VIDE ITEM 04.013.0015)</t>
  </si>
  <si>
    <t>ALUGUEL CONTAINER ESCRITORIO C/WC,(2,20X6,20X2,50)M,INCL.INST.ELET./HIDRO,ACESSORIOS,1VASO E 1LAVAT,EXCLUSIVE TRANSPORTE</t>
  </si>
  <si>
    <t>0010935</t>
  </si>
  <si>
    <t>05.001.0601-A</t>
  </si>
  <si>
    <t>20078</t>
  </si>
  <si>
    <t>MAO-DE-OBRA DE FERREIRO, INCLUSIVE ENCARGOS SOCIAIS DESONERADOS</t>
  </si>
  <si>
    <t>20043</t>
  </si>
  <si>
    <t>MAO-DE-OBRA DE CANTEIRO, INCLUSIVE ENCARGOS SOCIAIS DESONERADOS</t>
  </si>
  <si>
    <t>02249</t>
  </si>
  <si>
    <t>CONCRETO IMPORTADO DE USINA, UTILIZANDOBRITA 1, DE 20MPA</t>
  </si>
  <si>
    <t>So0043127</t>
  </si>
  <si>
    <t>PISO DE CONCRETO ARMADO MONOLITICO,C/JUNTA FRIA,ALISADO C/REGUA VIBRATORIA,ESPESSURA 7CM,SOBRE TERRENO ACERTADO E SOBRELASTRO DE BRITA,EXCLUSIVE ACERTO DO TERRENO,INCLUSIVE BRITA,LONA DE TECIDO RESINADO,TELA SOLDADA 10X10CM #4,2MM(DUPLA),CONCRETO USINADO RESISTENCIA A COMPRESSAO 20MPA C/TRANSPORTEDO CONCRETO E TODA A MAO-DE-OBRA E EQUIPAMENTOS NECESSARIOS</t>
  </si>
  <si>
    <t>0043130</t>
  </si>
  <si>
    <t>ARAME GALVANIZADO 12 BWG, D = 2,76 MM (0,048 KG/M) OU 14 BWG, D = 2,11 MM (0,026 KG/M)</t>
  </si>
  <si>
    <t>SI00000094962 CONCRETO MAGRO PARA LASTRO, TRAÇO 1:4,5:4,5 (EM MASSA SECA DE CIMENTO/ AREIA MÉDIA/ BRITA 1) - PREPARO MECÂNICO COM BETONEIRA 400 L. AF_05/2021</t>
  </si>
  <si>
    <t>17.017.0350-A</t>
  </si>
  <si>
    <t>20118</t>
  </si>
  <si>
    <t>MAO-DE-OBRA DE PINTOR, INCLUSIVE ENCARGOS SOCIAIS DESONERADOS</t>
  </si>
  <si>
    <t>17.013.0030-A</t>
  </si>
  <si>
    <t>SI00000088489</t>
  </si>
  <si>
    <t>0007356</t>
  </si>
  <si>
    <t>SI00000088310</t>
  </si>
  <si>
    <t>SI00000088415</t>
  </si>
  <si>
    <t>0006085</t>
  </si>
  <si>
    <t>04.014.0095-A</t>
  </si>
  <si>
    <t>05.006.0001-B</t>
  </si>
  <si>
    <t>05.008.0001-A</t>
  </si>
  <si>
    <t>04.020.0122-A</t>
  </si>
  <si>
    <t>30411</t>
  </si>
  <si>
    <t>19.004.0001-C CAMINHAO CARROC. FIXA, 3,5T (CP)</t>
  </si>
  <si>
    <t>13.373.0020-A (MODIFICADO)</t>
  </si>
  <si>
    <r>
      <t xml:space="preserve">SI00000102362 </t>
    </r>
    <r>
      <rPr>
        <b/>
        <sz val="11"/>
        <rFont val="Arial"/>
        <family val="2"/>
      </rPr>
      <t>(MODIFICADO)</t>
    </r>
  </si>
  <si>
    <r>
      <t>Data-Base:   EMOP -  RJ / SINAPI e SCO-RJ-</t>
    </r>
    <r>
      <rPr>
        <b/>
        <sz val="12"/>
        <color indexed="8"/>
        <rFont val="Arial"/>
        <family val="2"/>
      </rPr>
      <t xml:space="preserve"> Deso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junho-2022</t>
    </r>
  </si>
  <si>
    <t>DATA:16/08/2022</t>
  </si>
  <si>
    <t>Data-Base:   EMOP -  RJ / SINAPI e SCO-RJ- Não Desonerado - Base JUNHO-22</t>
  </si>
  <si>
    <t>PLANILHA DE ORÇAMENTO</t>
  </si>
  <si>
    <t>90 DIAS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</si>
</sst>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"/>
    <numFmt numFmtId="166" formatCode="0.0%"/>
    <numFmt numFmtId="167" formatCode="_([$€]* #,##0.00_);_([$€]* \(#,##0.00\);_([$€]* &quot;-&quot;??_);_(@_)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#,##0.00_ ;\-#,##0.00\ 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mmm/yyyy"/>
    <numFmt numFmtId="188" formatCode="&quot;R$&quot;\ #,##0.00"/>
    <numFmt numFmtId="189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witzerland"/>
      <family val="0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name val="Switzerland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6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49" fontId="59" fillId="33" borderId="11" xfId="63" applyNumberFormat="1" applyFont="1" applyFill="1" applyBorder="1" applyAlignment="1">
      <alignment horizontal="center"/>
      <protection/>
    </xf>
    <xf numFmtId="49" fontId="59" fillId="33" borderId="12" xfId="58" applyNumberFormat="1" applyFont="1" applyFill="1" applyBorder="1">
      <alignment/>
      <protection/>
    </xf>
    <xf numFmtId="4" fontId="59" fillId="33" borderId="12" xfId="58" applyNumberFormat="1" applyFont="1" applyFill="1" applyBorder="1" applyAlignment="1">
      <alignment horizontal="left" readingOrder="1"/>
      <protection/>
    </xf>
    <xf numFmtId="4" fontId="59" fillId="33" borderId="11" xfId="64" applyNumberFormat="1" applyFont="1" applyFill="1" applyBorder="1" applyAlignment="1">
      <alignment horizontal="left" vertical="center"/>
      <protection/>
    </xf>
    <xf numFmtId="4" fontId="59" fillId="33" borderId="12" xfId="0" applyNumberFormat="1" applyFont="1" applyFill="1" applyBorder="1" applyAlignment="1">
      <alignment horizontal="left"/>
    </xf>
    <xf numFmtId="4" fontId="59" fillId="33" borderId="12" xfId="63" applyNumberFormat="1" applyFont="1" applyFill="1" applyBorder="1" applyAlignment="1">
      <alignment horizontal="left"/>
      <protection/>
    </xf>
    <xf numFmtId="4" fontId="59" fillId="33" borderId="13" xfId="63" applyNumberFormat="1" applyFont="1" applyFill="1" applyBorder="1" applyAlignment="1">
      <alignment horizontal="left"/>
      <protection/>
    </xf>
    <xf numFmtId="49" fontId="59" fillId="33" borderId="14" xfId="63" applyNumberFormat="1" applyFont="1" applyFill="1" applyBorder="1" applyAlignment="1">
      <alignment horizontal="center"/>
      <protection/>
    </xf>
    <xf numFmtId="49" fontId="59" fillId="33" borderId="0" xfId="58" applyNumberFormat="1" applyFont="1" applyFill="1" applyBorder="1">
      <alignment/>
      <protection/>
    </xf>
    <xf numFmtId="4" fontId="59" fillId="33" borderId="0" xfId="58" applyNumberFormat="1" applyFont="1" applyFill="1" applyBorder="1" applyAlignment="1">
      <alignment horizontal="left" readingOrder="1"/>
      <protection/>
    </xf>
    <xf numFmtId="4" fontId="59" fillId="33" borderId="14" xfId="64" applyNumberFormat="1" applyFont="1" applyFill="1" applyBorder="1" applyAlignment="1">
      <alignment horizontal="left" vertical="center"/>
      <protection/>
    </xf>
    <xf numFmtId="4" fontId="59" fillId="33" borderId="0" xfId="63" applyNumberFormat="1" applyFont="1" applyFill="1" applyBorder="1" applyAlignment="1">
      <alignment horizontal="left"/>
      <protection/>
    </xf>
    <xf numFmtId="4" fontId="59" fillId="33" borderId="0" xfId="58" applyNumberFormat="1" applyFont="1" applyFill="1" applyBorder="1" applyAlignment="1">
      <alignment horizontal="left"/>
      <protection/>
    </xf>
    <xf numFmtId="4" fontId="59" fillId="33" borderId="15" xfId="58" applyNumberFormat="1" applyFont="1" applyFill="1" applyBorder="1" applyAlignment="1">
      <alignment horizontal="left"/>
      <protection/>
    </xf>
    <xf numFmtId="4" fontId="60" fillId="33" borderId="0" xfId="58" applyNumberFormat="1" applyFont="1" applyFill="1" applyBorder="1">
      <alignment/>
      <protection/>
    </xf>
    <xf numFmtId="49" fontId="59" fillId="33" borderId="16" xfId="63" applyNumberFormat="1" applyFont="1" applyFill="1" applyBorder="1" applyAlignment="1">
      <alignment horizontal="center"/>
      <protection/>
    </xf>
    <xf numFmtId="49" fontId="59" fillId="33" borderId="17" xfId="64" applyNumberFormat="1" applyFont="1" applyFill="1" applyBorder="1" applyAlignment="1">
      <alignment horizontal="center"/>
      <protection/>
    </xf>
    <xf numFmtId="4" fontId="60" fillId="33" borderId="17" xfId="64" applyNumberFormat="1" applyFont="1" applyFill="1" applyBorder="1" applyAlignment="1">
      <alignment/>
      <protection/>
    </xf>
    <xf numFmtId="0" fontId="4" fillId="0" borderId="13" xfId="61" applyFont="1" applyBorder="1">
      <alignment/>
      <protection/>
    </xf>
    <xf numFmtId="0" fontId="4" fillId="0" borderId="0" xfId="61" applyFont="1">
      <alignment/>
      <protection/>
    </xf>
    <xf numFmtId="0" fontId="7" fillId="0" borderId="0" xfId="61">
      <alignment/>
      <protection/>
    </xf>
    <xf numFmtId="0" fontId="4" fillId="0" borderId="15" xfId="61" applyFont="1" applyBorder="1">
      <alignment/>
      <protection/>
    </xf>
    <xf numFmtId="0" fontId="4" fillId="0" borderId="18" xfId="61" applyFont="1" applyBorder="1">
      <alignment/>
      <protection/>
    </xf>
    <xf numFmtId="0" fontId="10" fillId="0" borderId="19" xfId="61" applyFont="1" applyBorder="1" applyAlignment="1">
      <alignment horizontal="center"/>
      <protection/>
    </xf>
    <xf numFmtId="0" fontId="7" fillId="0" borderId="0" xfId="61" applyBorder="1">
      <alignment/>
      <protection/>
    </xf>
    <xf numFmtId="0" fontId="10" fillId="0" borderId="20" xfId="61" applyFont="1" applyBorder="1" applyAlignment="1">
      <alignment horizontal="center"/>
      <protection/>
    </xf>
    <xf numFmtId="0" fontId="10" fillId="0" borderId="13" xfId="61" applyFont="1" applyBorder="1" applyAlignment="1">
      <alignment horizontal="center"/>
      <protection/>
    </xf>
    <xf numFmtId="0" fontId="9" fillId="0" borderId="21" xfId="62" applyFont="1" applyFill="1" applyBorder="1" applyAlignment="1">
      <alignment vertical="top"/>
      <protection/>
    </xf>
    <xf numFmtId="39" fontId="8" fillId="0" borderId="21" xfId="61" applyNumberFormat="1" applyFont="1" applyBorder="1" applyAlignment="1">
      <alignment/>
      <protection/>
    </xf>
    <xf numFmtId="0" fontId="8" fillId="0" borderId="0" xfId="61" applyFont="1">
      <alignment/>
      <protection/>
    </xf>
    <xf numFmtId="0" fontId="9" fillId="0" borderId="19" xfId="63" applyFont="1" applyFill="1" applyBorder="1" applyAlignment="1">
      <alignment vertical="top"/>
      <protection/>
    </xf>
    <xf numFmtId="0" fontId="8" fillId="0" borderId="19" xfId="63" applyFont="1" applyFill="1" applyBorder="1" applyAlignment="1">
      <alignment horizontal="left" vertical="top"/>
      <protection/>
    </xf>
    <xf numFmtId="10" fontId="8" fillId="0" borderId="19" xfId="69" applyNumberFormat="1" applyFont="1" applyFill="1" applyBorder="1" applyAlignment="1">
      <alignment/>
    </xf>
    <xf numFmtId="39" fontId="8" fillId="0" borderId="0" xfId="61" applyNumberFormat="1" applyFont="1">
      <alignment/>
      <protection/>
    </xf>
    <xf numFmtId="0" fontId="8" fillId="0" borderId="19" xfId="63" applyFont="1" applyFill="1" applyBorder="1" applyAlignment="1">
      <alignment horizontal="justify" vertical="justify" wrapText="1"/>
      <protection/>
    </xf>
    <xf numFmtId="0" fontId="13" fillId="0" borderId="0" xfId="61" applyFont="1">
      <alignment/>
      <protection/>
    </xf>
    <xf numFmtId="0" fontId="8" fillId="0" borderId="0" xfId="61" applyFont="1" applyBorder="1">
      <alignment/>
      <protection/>
    </xf>
    <xf numFmtId="4" fontId="8" fillId="0" borderId="0" xfId="61" applyNumberFormat="1" applyFont="1">
      <alignment/>
      <protection/>
    </xf>
    <xf numFmtId="0" fontId="59" fillId="34" borderId="19" xfId="0" applyFont="1" applyFill="1" applyBorder="1" applyAlignment="1">
      <alignment/>
    </xf>
    <xf numFmtId="0" fontId="38" fillId="33" borderId="0" xfId="0" applyFont="1" applyFill="1" applyAlignment="1">
      <alignment horizontal="right"/>
    </xf>
    <xf numFmtId="4" fontId="5" fillId="33" borderId="0" xfId="58" applyNumberFormat="1" applyFont="1" applyFill="1" applyBorder="1" applyAlignment="1">
      <alignment vertical="center" wrapText="1" readingOrder="1"/>
      <protection/>
    </xf>
    <xf numFmtId="4" fontId="6" fillId="33" borderId="0" xfId="64" applyNumberFormat="1" applyFont="1" applyFill="1" applyBorder="1" applyAlignment="1">
      <alignment horizontal="left"/>
      <protection/>
    </xf>
    <xf numFmtId="0" fontId="3" fillId="35" borderId="19" xfId="65" applyFont="1" applyFill="1" applyBorder="1" applyAlignment="1">
      <alignment horizontal="center" vertical="center"/>
      <protection/>
    </xf>
    <xf numFmtId="0" fontId="3" fillId="35" borderId="19" xfId="65" applyFont="1" applyFill="1" applyBorder="1" applyAlignment="1">
      <alignment horizontal="center" vertical="center" wrapText="1"/>
      <protection/>
    </xf>
    <xf numFmtId="0" fontId="3" fillId="35" borderId="19" xfId="65" applyFont="1" applyFill="1" applyBorder="1" applyAlignment="1">
      <alignment horizontal="justify" vertical="top" wrapText="1"/>
      <protection/>
    </xf>
    <xf numFmtId="4" fontId="3" fillId="35" borderId="19" xfId="65" applyNumberFormat="1" applyFont="1" applyFill="1" applyBorder="1" applyAlignment="1">
      <alignment horizontal="center" vertical="center"/>
      <protection/>
    </xf>
    <xf numFmtId="4" fontId="3" fillId="35" borderId="19" xfId="65" applyNumberFormat="1" applyFont="1" applyFill="1" applyBorder="1" applyAlignment="1">
      <alignment/>
      <protection/>
    </xf>
    <xf numFmtId="4" fontId="3" fillId="35" borderId="19" xfId="65" applyNumberFormat="1" applyFont="1" applyFill="1" applyBorder="1" applyAlignment="1">
      <alignment horizontal="right"/>
      <protection/>
    </xf>
    <xf numFmtId="4" fontId="3" fillId="35" borderId="19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 wrapText="1"/>
    </xf>
    <xf numFmtId="4" fontId="20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0" fillId="0" borderId="19" xfId="0" applyFont="1" applyBorder="1" applyAlignment="1">
      <alignment horizontal="center" vertical="center"/>
    </xf>
    <xf numFmtId="0" fontId="3" fillId="36" borderId="19" xfId="65" applyFont="1" applyFill="1" applyBorder="1" applyAlignment="1">
      <alignment horizontal="justify" vertical="justify" wrapText="1"/>
      <protection/>
    </xf>
    <xf numFmtId="4" fontId="3" fillId="36" borderId="19" xfId="65" applyNumberFormat="1" applyFont="1" applyFill="1" applyBorder="1" applyAlignment="1">
      <alignment horizontal="justify" vertical="justify" wrapText="1"/>
      <protection/>
    </xf>
    <xf numFmtId="0" fontId="59" fillId="34" borderId="22" xfId="0" applyFont="1" applyFill="1" applyBorder="1" applyAlignment="1">
      <alignment/>
    </xf>
    <xf numFmtId="0" fontId="59" fillId="34" borderId="23" xfId="0" applyFont="1" applyFill="1" applyBorder="1" applyAlignment="1">
      <alignment/>
    </xf>
    <xf numFmtId="0" fontId="59" fillId="34" borderId="21" xfId="0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 vertical="justify" wrapText="1"/>
    </xf>
    <xf numFmtId="0" fontId="6" fillId="33" borderId="21" xfId="0" applyFont="1" applyFill="1" applyBorder="1" applyAlignment="1">
      <alignment horizontal="right"/>
    </xf>
    <xf numFmtId="4" fontId="38" fillId="33" borderId="17" xfId="0" applyNumberFormat="1" applyFont="1" applyFill="1" applyBorder="1" applyAlignment="1">
      <alignment horizontal="right"/>
    </xf>
    <xf numFmtId="4" fontId="38" fillId="33" borderId="22" xfId="0" applyNumberFormat="1" applyFont="1" applyFill="1" applyBorder="1" applyAlignment="1">
      <alignment horizontal="right"/>
    </xf>
    <xf numFmtId="4" fontId="3" fillId="35" borderId="19" xfId="66" applyNumberFormat="1" applyFont="1" applyFill="1" applyBorder="1" applyAlignment="1">
      <alignment horizontal="right"/>
      <protection/>
    </xf>
    <xf numFmtId="4" fontId="6" fillId="33" borderId="21" xfId="0" applyNumberFormat="1" applyFont="1" applyFill="1" applyBorder="1" applyAlignment="1">
      <alignment horizontal="right"/>
    </xf>
    <xf numFmtId="4" fontId="60" fillId="33" borderId="0" xfId="58" applyNumberFormat="1" applyFont="1" applyFill="1" applyBorder="1" applyAlignment="1">
      <alignment vertical="center" readingOrder="1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4" fontId="3" fillId="0" borderId="0" xfId="65" applyNumberFormat="1" applyFont="1" applyFill="1" applyBorder="1" applyAlignment="1">
      <alignment horizontal="center" vertical="center"/>
      <protection/>
    </xf>
    <xf numFmtId="4" fontId="3" fillId="0" borderId="0" xfId="65" applyNumberFormat="1" applyFont="1" applyFill="1" applyBorder="1" applyAlignment="1">
      <alignment horizontal="right"/>
      <protection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/>
    </xf>
    <xf numFmtId="0" fontId="3" fillId="0" borderId="0" xfId="65" applyFont="1" applyFill="1" applyBorder="1" applyAlignment="1">
      <alignment horizontal="justify" vertical="top" wrapText="1"/>
      <protection/>
    </xf>
    <xf numFmtId="4" fontId="3" fillId="0" borderId="0" xfId="65" applyNumberFormat="1" applyFont="1" applyFill="1" applyBorder="1" applyAlignment="1">
      <alignment/>
      <protection/>
    </xf>
    <xf numFmtId="4" fontId="3" fillId="0" borderId="0" xfId="66" applyNumberFormat="1" applyFont="1" applyFill="1" applyBorder="1" applyAlignment="1">
      <alignment horizontal="right"/>
      <protection/>
    </xf>
    <xf numFmtId="0" fontId="3" fillId="0" borderId="0" xfId="65" applyFont="1" applyFill="1" applyBorder="1" applyAlignment="1">
      <alignment horizontal="justify" vertical="justify" wrapText="1"/>
      <protection/>
    </xf>
    <xf numFmtId="4" fontId="3" fillId="0" borderId="0" xfId="65" applyNumberFormat="1" applyFont="1" applyFill="1" applyBorder="1" applyAlignment="1">
      <alignment horizontal="justify" vertical="justify" wrapText="1"/>
      <protection/>
    </xf>
    <xf numFmtId="10" fontId="8" fillId="37" borderId="19" xfId="69" applyNumberFormat="1" applyFont="1" applyFill="1" applyBorder="1" applyAlignment="1">
      <alignment/>
    </xf>
    <xf numFmtId="0" fontId="11" fillId="37" borderId="19" xfId="63" applyFont="1" applyFill="1" applyBorder="1" applyAlignment="1">
      <alignment vertical="top"/>
      <protection/>
    </xf>
    <xf numFmtId="0" fontId="11" fillId="37" borderId="19" xfId="63" applyFont="1" applyFill="1" applyBorder="1" applyAlignment="1">
      <alignment horizontal="left" vertical="top"/>
      <protection/>
    </xf>
    <xf numFmtId="10" fontId="12" fillId="37" borderId="19" xfId="69" applyNumberFormat="1" applyFont="1" applyFill="1" applyBorder="1" applyAlignment="1" quotePrefix="1">
      <alignment/>
    </xf>
    <xf numFmtId="39" fontId="12" fillId="37" borderId="19" xfId="61" applyNumberFormat="1" applyFont="1" applyFill="1" applyBorder="1" applyAlignment="1">
      <alignment/>
      <protection/>
    </xf>
    <xf numFmtId="44" fontId="8" fillId="0" borderId="19" xfId="49" applyFont="1" applyFill="1" applyBorder="1" applyAlignment="1">
      <alignment/>
    </xf>
    <xf numFmtId="44" fontId="9" fillId="0" borderId="19" xfId="49" applyFont="1" applyFill="1" applyBorder="1" applyAlignment="1">
      <alignment horizontal="right"/>
    </xf>
    <xf numFmtId="44" fontId="9" fillId="0" borderId="19" xfId="49" applyFont="1" applyBorder="1" applyAlignment="1">
      <alignment/>
    </xf>
    <xf numFmtId="4" fontId="8" fillId="37" borderId="20" xfId="55" applyNumberFormat="1" applyFont="1" applyFill="1" applyBorder="1">
      <alignment/>
      <protection/>
    </xf>
    <xf numFmtId="0" fontId="8" fillId="37" borderId="24" xfId="55" applyFont="1" applyFill="1" applyBorder="1">
      <alignment/>
      <protection/>
    </xf>
    <xf numFmtId="166" fontId="9" fillId="37" borderId="24" xfId="69" applyNumberFormat="1" applyFont="1" applyFill="1" applyBorder="1" applyAlignment="1">
      <alignment horizontal="center"/>
    </xf>
    <xf numFmtId="0" fontId="8" fillId="37" borderId="25" xfId="61" applyFont="1" applyFill="1" applyBorder="1">
      <alignment/>
      <protection/>
    </xf>
    <xf numFmtId="0" fontId="19" fillId="0" borderId="0" xfId="66" applyFont="1" applyFill="1" applyBorder="1" applyAlignment="1">
      <alignment horizontal="justify" vertical="justify" wrapText="1"/>
      <protection/>
    </xf>
    <xf numFmtId="4" fontId="19" fillId="0" borderId="0" xfId="66" applyNumberFormat="1" applyFont="1" applyFill="1" applyBorder="1" applyAlignment="1">
      <alignment horizontal="right"/>
      <protection/>
    </xf>
    <xf numFmtId="4" fontId="19" fillId="0" borderId="0" xfId="0" applyNumberFormat="1" applyFont="1" applyFill="1" applyBorder="1" applyAlignment="1">
      <alignment horizontal="right"/>
    </xf>
    <xf numFmtId="44" fontId="9" fillId="0" borderId="12" xfId="58" applyNumberFormat="1" applyFont="1" applyBorder="1" applyAlignment="1">
      <alignment horizontal="center" vertical="center" wrapText="1" readingOrder="1"/>
      <protection/>
    </xf>
    <xf numFmtId="44" fontId="9" fillId="0" borderId="0" xfId="58" applyNumberFormat="1" applyFont="1" applyBorder="1" applyAlignment="1">
      <alignment horizontal="center" vertical="center" wrapText="1" readingOrder="1"/>
      <protection/>
    </xf>
    <xf numFmtId="4" fontId="8" fillId="0" borderId="0" xfId="58" applyNumberFormat="1" applyFont="1" applyFill="1" applyBorder="1" applyAlignment="1">
      <alignment horizontal="center" vertical="center" wrapText="1" readingOrder="1"/>
      <protection/>
    </xf>
    <xf numFmtId="0" fontId="8" fillId="0" borderId="0" xfId="64" applyFont="1" applyFill="1" applyBorder="1" applyAlignment="1">
      <alignment horizontal="center"/>
      <protection/>
    </xf>
    <xf numFmtId="0" fontId="10" fillId="0" borderId="21" xfId="61" applyFont="1" applyBorder="1" applyAlignment="1">
      <alignment horizontal="center"/>
      <protection/>
    </xf>
    <xf numFmtId="4" fontId="8" fillId="0" borderId="0" xfId="58" applyNumberFormat="1" applyFont="1" applyFill="1" applyBorder="1" applyAlignment="1">
      <alignment horizontal="center" vertical="center" wrapText="1"/>
      <protection/>
    </xf>
    <xf numFmtId="4" fontId="8" fillId="0" borderId="0" xfId="64" applyNumberFormat="1" applyFont="1" applyFill="1" applyBorder="1" applyAlignment="1">
      <alignment horizontal="center" vertical="center" wrapText="1"/>
      <protection/>
    </xf>
    <xf numFmtId="4" fontId="8" fillId="0" borderId="17" xfId="64" applyNumberFormat="1" applyFont="1" applyFill="1" applyBorder="1" applyAlignment="1">
      <alignment horizontal="center" vertical="center" wrapText="1"/>
      <protection/>
    </xf>
    <xf numFmtId="0" fontId="19" fillId="0" borderId="0" xfId="65" applyFont="1" applyFill="1" applyBorder="1" applyAlignment="1">
      <alignment horizontal="justify" vertical="justify" wrapText="1"/>
      <protection/>
    </xf>
    <xf numFmtId="4" fontId="19" fillId="0" borderId="0" xfId="65" applyNumberFormat="1" applyFont="1" applyFill="1" applyBorder="1" applyAlignment="1">
      <alignment horizontal="right"/>
      <protection/>
    </xf>
    <xf numFmtId="0" fontId="3" fillId="36" borderId="19" xfId="66" applyFont="1" applyFill="1" applyBorder="1" applyAlignment="1">
      <alignment horizontal="justify" vertical="justify" wrapText="1"/>
      <protection/>
    </xf>
    <xf numFmtId="4" fontId="3" fillId="36" borderId="19" xfId="66" applyNumberFormat="1" applyFont="1" applyFill="1" applyBorder="1" applyAlignment="1">
      <alignment horizontal="justify" vertical="justify" wrapText="1"/>
      <protection/>
    </xf>
    <xf numFmtId="4" fontId="38" fillId="33" borderId="22" xfId="0" applyNumberFormat="1" applyFont="1" applyFill="1" applyBorder="1" applyAlignment="1">
      <alignment horizontal="right"/>
    </xf>
    <xf numFmtId="0" fontId="3" fillId="0" borderId="0" xfId="66" applyFont="1" applyFill="1" applyBorder="1" applyAlignment="1">
      <alignment horizontal="justify" vertical="justify" wrapText="1"/>
      <protection/>
    </xf>
    <xf numFmtId="4" fontId="3" fillId="0" borderId="0" xfId="66" applyNumberFormat="1" applyFont="1" applyFill="1" applyBorder="1" applyAlignment="1">
      <alignment horizontal="justify" vertical="justify" wrapText="1"/>
      <protection/>
    </xf>
    <xf numFmtId="0" fontId="19" fillId="0" borderId="0" xfId="66" applyFont="1" applyFill="1" applyBorder="1" applyAlignment="1">
      <alignment horizontal="left" vertical="center" wrapText="1"/>
      <protection/>
    </xf>
    <xf numFmtId="0" fontId="19" fillId="0" borderId="0" xfId="66" applyFont="1" applyFill="1" applyBorder="1" applyAlignment="1">
      <alignment horizontal="left" vertical="justify" wrapText="1"/>
      <protection/>
    </xf>
    <xf numFmtId="4" fontId="19" fillId="0" borderId="0" xfId="66" applyNumberFormat="1" applyFont="1" applyFill="1" applyBorder="1" applyAlignment="1">
      <alignment horizontal="left" vertical="center"/>
      <protection/>
    </xf>
    <xf numFmtId="4" fontId="19" fillId="0" borderId="0" xfId="66" applyNumberFormat="1" applyFont="1" applyFill="1" applyBorder="1" applyAlignment="1">
      <alignment horizontal="left"/>
      <protection/>
    </xf>
    <xf numFmtId="49" fontId="61" fillId="33" borderId="23" xfId="63" applyNumberFormat="1" applyFont="1" applyFill="1" applyBorder="1" applyAlignment="1">
      <alignment horizontal="center" vertical="center" wrapText="1"/>
      <protection/>
    </xf>
    <xf numFmtId="0" fontId="62" fillId="33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4" fontId="60" fillId="33" borderId="14" xfId="64" applyNumberFormat="1" applyFont="1" applyFill="1" applyBorder="1" applyAlignment="1">
      <alignment horizontal="left" vertical="center"/>
      <protection/>
    </xf>
    <xf numFmtId="4" fontId="60" fillId="33" borderId="0" xfId="64" applyNumberFormat="1" applyFont="1" applyFill="1" applyBorder="1" applyAlignment="1">
      <alignment horizontal="left" vertical="center"/>
      <protection/>
    </xf>
    <xf numFmtId="4" fontId="60" fillId="33" borderId="15" xfId="64" applyNumberFormat="1" applyFont="1" applyFill="1" applyBorder="1" applyAlignment="1">
      <alignment horizontal="left" vertical="center"/>
      <protection/>
    </xf>
    <xf numFmtId="0" fontId="5" fillId="33" borderId="14" xfId="0" applyFont="1" applyFill="1" applyBorder="1" applyAlignment="1">
      <alignment horizontal="left" vertical="center" wrapText="1" readingOrder="1"/>
    </xf>
    <xf numFmtId="0" fontId="5" fillId="33" borderId="0" xfId="0" applyFont="1" applyFill="1" applyBorder="1" applyAlignment="1">
      <alignment horizontal="left" vertical="center" wrapText="1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4" fontId="60" fillId="33" borderId="14" xfId="58" applyNumberFormat="1" applyFont="1" applyFill="1" applyBorder="1" applyAlignment="1">
      <alignment horizontal="left" vertical="center"/>
      <protection/>
    </xf>
    <xf numFmtId="4" fontId="60" fillId="33" borderId="0" xfId="58" applyNumberFormat="1" applyFont="1" applyFill="1" applyBorder="1" applyAlignment="1">
      <alignment horizontal="left" vertical="center"/>
      <protection/>
    </xf>
    <xf numFmtId="4" fontId="60" fillId="33" borderId="15" xfId="58" applyNumberFormat="1" applyFont="1" applyFill="1" applyBorder="1" applyAlignment="1">
      <alignment horizontal="left" vertical="center"/>
      <protection/>
    </xf>
    <xf numFmtId="0" fontId="5" fillId="33" borderId="16" xfId="64" applyFont="1" applyFill="1" applyBorder="1" applyAlignment="1">
      <alignment horizontal="left"/>
      <protection/>
    </xf>
    <xf numFmtId="0" fontId="5" fillId="33" borderId="17" xfId="64" applyFont="1" applyFill="1" applyBorder="1" applyAlignment="1">
      <alignment horizontal="left"/>
      <protection/>
    </xf>
    <xf numFmtId="0" fontId="5" fillId="33" borderId="18" xfId="64" applyFont="1" applyFill="1" applyBorder="1" applyAlignment="1">
      <alignment horizontal="left"/>
      <protection/>
    </xf>
    <xf numFmtId="0" fontId="9" fillId="0" borderId="23" xfId="61" applyFont="1" applyBorder="1" applyAlignment="1">
      <alignment horizontal="left" vertical="top"/>
      <protection/>
    </xf>
    <xf numFmtId="0" fontId="9" fillId="0" borderId="22" xfId="61" applyFont="1" applyBorder="1" applyAlignment="1">
      <alignment horizontal="left" vertical="top"/>
      <protection/>
    </xf>
    <xf numFmtId="10" fontId="9" fillId="0" borderId="23" xfId="69" applyNumberFormat="1" applyFont="1" applyBorder="1" applyAlignment="1">
      <alignment horizontal="center"/>
    </xf>
    <xf numFmtId="10" fontId="9" fillId="0" borderId="22" xfId="69" applyNumberFormat="1" applyFont="1" applyBorder="1" applyAlignment="1">
      <alignment horizontal="center"/>
    </xf>
    <xf numFmtId="10" fontId="9" fillId="0" borderId="23" xfId="61" applyNumberFormat="1" applyFont="1" applyBorder="1" applyAlignment="1">
      <alignment horizontal="center"/>
      <protection/>
    </xf>
    <xf numFmtId="0" fontId="9" fillId="0" borderId="22" xfId="61" applyFont="1" applyBorder="1" applyAlignment="1">
      <alignment horizontal="center"/>
      <protection/>
    </xf>
    <xf numFmtId="0" fontId="9" fillId="0" borderId="19" xfId="62" applyFont="1" applyFill="1" applyBorder="1" applyAlignment="1">
      <alignment horizontal="center" vertical="top"/>
      <protection/>
    </xf>
    <xf numFmtId="1" fontId="9" fillId="0" borderId="23" xfId="61" applyNumberFormat="1" applyFont="1" applyBorder="1" applyAlignment="1">
      <alignment horizontal="left" vertical="top"/>
      <protection/>
    </xf>
    <xf numFmtId="1" fontId="9" fillId="0" borderId="22" xfId="61" applyNumberFormat="1" applyFont="1" applyBorder="1" applyAlignment="1">
      <alignment horizontal="left" vertical="top"/>
      <protection/>
    </xf>
    <xf numFmtId="44" fontId="9" fillId="0" borderId="23" xfId="49" applyFont="1" applyBorder="1" applyAlignment="1">
      <alignment horizontal="center"/>
    </xf>
    <xf numFmtId="44" fontId="9" fillId="0" borderId="22" xfId="49" applyFont="1" applyBorder="1" applyAlignment="1">
      <alignment horizontal="center"/>
    </xf>
    <xf numFmtId="0" fontId="10" fillId="0" borderId="20" xfId="61" applyFont="1" applyBorder="1" applyAlignment="1">
      <alignment horizontal="center" wrapText="1"/>
      <protection/>
    </xf>
    <xf numFmtId="0" fontId="10" fillId="0" borderId="24" xfId="61" applyFont="1" applyBorder="1" applyAlignment="1">
      <alignment horizontal="center" wrapText="1"/>
      <protection/>
    </xf>
    <xf numFmtId="0" fontId="10" fillId="0" borderId="25" xfId="61" applyFont="1" applyBorder="1" applyAlignment="1">
      <alignment horizontal="center" wrapText="1"/>
      <protection/>
    </xf>
    <xf numFmtId="0" fontId="10" fillId="0" borderId="23" xfId="61" applyFont="1" applyBorder="1" applyAlignment="1">
      <alignment horizontal="center"/>
      <protection/>
    </xf>
    <xf numFmtId="0" fontId="10" fillId="0" borderId="22" xfId="61" applyFont="1" applyBorder="1" applyAlignment="1">
      <alignment horizontal="center"/>
      <protection/>
    </xf>
    <xf numFmtId="44" fontId="9" fillId="0" borderId="11" xfId="58" applyNumberFormat="1" applyFont="1" applyBorder="1" applyAlignment="1">
      <alignment horizontal="center" vertical="center" wrapText="1" readingOrder="1"/>
      <protection/>
    </xf>
    <xf numFmtId="44" fontId="9" fillId="0" borderId="12" xfId="58" applyNumberFormat="1" applyFont="1" applyBorder="1" applyAlignment="1">
      <alignment horizontal="center" vertical="center" wrapText="1" readingOrder="1"/>
      <protection/>
    </xf>
    <xf numFmtId="44" fontId="9" fillId="0" borderId="14" xfId="58" applyNumberFormat="1" applyFont="1" applyBorder="1" applyAlignment="1">
      <alignment horizontal="center" vertical="center" wrapText="1" readingOrder="1"/>
      <protection/>
    </xf>
    <xf numFmtId="44" fontId="9" fillId="0" borderId="0" xfId="58" applyNumberFormat="1" applyFont="1" applyBorder="1" applyAlignment="1">
      <alignment horizontal="center" vertical="center" wrapText="1" readingOrder="1"/>
      <protection/>
    </xf>
    <xf numFmtId="4" fontId="8" fillId="0" borderId="14" xfId="58" applyNumberFormat="1" applyFont="1" applyFill="1" applyBorder="1" applyAlignment="1">
      <alignment horizontal="center" vertical="center" wrapText="1" readingOrder="1"/>
      <protection/>
    </xf>
    <xf numFmtId="4" fontId="8" fillId="0" borderId="0" xfId="58" applyNumberFormat="1" applyFont="1" applyFill="1" applyBorder="1" applyAlignment="1">
      <alignment horizontal="center" vertical="center" wrapText="1" readingOrder="1"/>
      <protection/>
    </xf>
    <xf numFmtId="0" fontId="8" fillId="0" borderId="14" xfId="64" applyFont="1" applyFill="1" applyBorder="1" applyAlignment="1">
      <alignment horizontal="center" wrapText="1"/>
      <protection/>
    </xf>
    <xf numFmtId="0" fontId="8" fillId="0" borderId="0" xfId="64" applyFont="1" applyFill="1" applyBorder="1" applyAlignment="1">
      <alignment horizontal="center" wrapText="1"/>
      <protection/>
    </xf>
    <xf numFmtId="0" fontId="10" fillId="0" borderId="21" xfId="61" applyFont="1" applyBorder="1" applyAlignment="1">
      <alignment horizontal="center"/>
      <protection/>
    </xf>
    <xf numFmtId="4" fontId="8" fillId="0" borderId="14" xfId="58" applyNumberFormat="1" applyFont="1" applyFill="1" applyBorder="1" applyAlignment="1">
      <alignment horizontal="center" vertical="center" wrapText="1"/>
      <protection/>
    </xf>
    <xf numFmtId="4" fontId="8" fillId="0" borderId="0" xfId="58" applyNumberFormat="1" applyFont="1" applyFill="1" applyBorder="1" applyAlignment="1">
      <alignment horizontal="center" vertical="center" wrapText="1"/>
      <protection/>
    </xf>
    <xf numFmtId="4" fontId="8" fillId="0" borderId="16" xfId="64" applyNumberFormat="1" applyFont="1" applyFill="1" applyBorder="1" applyAlignment="1">
      <alignment horizontal="center" vertical="center" wrapText="1"/>
      <protection/>
    </xf>
    <xf numFmtId="4" fontId="8" fillId="0" borderId="17" xfId="64" applyNumberFormat="1" applyFont="1" applyFill="1" applyBorder="1" applyAlignment="1">
      <alignment horizontal="center" vertical="center" wrapText="1"/>
      <protection/>
    </xf>
    <xf numFmtId="0" fontId="9" fillId="0" borderId="23" xfId="64" applyFont="1" applyFill="1" applyBorder="1" applyAlignment="1">
      <alignment horizontal="center" vertical="center" wrapText="1"/>
      <protection/>
    </xf>
    <xf numFmtId="0" fontId="9" fillId="0" borderId="21" xfId="64" applyFont="1" applyFill="1" applyBorder="1" applyAlignment="1">
      <alignment horizontal="center" vertical="center" wrapText="1"/>
      <protection/>
    </xf>
    <xf numFmtId="0" fontId="9" fillId="0" borderId="22" xfId="64" applyFont="1" applyFill="1" applyBorder="1" applyAlignment="1">
      <alignment horizontal="center" vertical="center" wrapText="1"/>
      <protection/>
    </xf>
    <xf numFmtId="4" fontId="8" fillId="0" borderId="14" xfId="64" applyNumberFormat="1" applyFont="1" applyFill="1" applyBorder="1" applyAlignment="1">
      <alignment horizontal="center" vertical="center" wrapText="1"/>
      <protection/>
    </xf>
    <xf numFmtId="4" fontId="8" fillId="0" borderId="0" xfId="64" applyNumberFormat="1" applyFont="1" applyFill="1" applyBorder="1" applyAlignment="1">
      <alignment horizontal="center" vertical="center" wrapText="1"/>
      <protection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Euro 2 2" xfId="46"/>
    <cellStyle name="Hyperlink" xfId="47"/>
    <cellStyle name="Followed Hyperlink" xfId="48"/>
    <cellStyle name="Currency" xfId="49"/>
    <cellStyle name="Currency [0]" xfId="50"/>
    <cellStyle name="Moeda 2" xfId="51"/>
    <cellStyle name="Moeda 3" xfId="52"/>
    <cellStyle name="Neutro" xfId="53"/>
    <cellStyle name="Normal 10" xfId="54"/>
    <cellStyle name="Normal 2" xfId="55"/>
    <cellStyle name="Normal 2 2" xfId="56"/>
    <cellStyle name="Normal 2 2 2" xfId="57"/>
    <cellStyle name="Normal 2 3" xfId="58"/>
    <cellStyle name="Normal 3" xfId="59"/>
    <cellStyle name="Normal 4" xfId="60"/>
    <cellStyle name="Normal_CRONOGRAMA" xfId="61"/>
    <cellStyle name="Normal_CRUZEI~1" xfId="62"/>
    <cellStyle name="Normal_P_Getulio Vargas" xfId="63"/>
    <cellStyle name="Normal_P_Getulio Vargas 2" xfId="64"/>
    <cellStyle name="Normal_RUAS 3,4,7 e 8 R-1" xfId="65"/>
    <cellStyle name="Normal_RUAS 3,4,7 e 8 R-1 2 2" xfId="66"/>
    <cellStyle name="Nota" xfId="67"/>
    <cellStyle name="Percent" xfId="68"/>
    <cellStyle name="Porcentagem 2" xfId="69"/>
    <cellStyle name="Porcentagem 3" xfId="70"/>
    <cellStyle name="Ruim" xfId="71"/>
    <cellStyle name="Saída" xfId="72"/>
    <cellStyle name="Comma [0]" xfId="73"/>
    <cellStyle name="Texto de Aviso" xfId="74"/>
    <cellStyle name="Texto Explicativo" xfId="75"/>
    <cellStyle name="Título" xfId="76"/>
    <cellStyle name="Título 1" xfId="77"/>
    <cellStyle name="Título 1 1" xfId="78"/>
    <cellStyle name="Título 1 1 1" xfId="79"/>
    <cellStyle name="Título 1 1_PLAN   (2)" xfId="80"/>
    <cellStyle name="Título 2" xfId="81"/>
    <cellStyle name="Título 3" xfId="82"/>
    <cellStyle name="Título 4" xfId="83"/>
    <cellStyle name="Total" xfId="84"/>
    <cellStyle name="Comma" xfId="85"/>
    <cellStyle name="Vírgula 2" xfId="86"/>
    <cellStyle name="Vírgula 3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6573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6573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6573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171450</xdr:rowOff>
    </xdr:from>
    <xdr:to>
      <xdr:col>8</xdr:col>
      <xdr:colOff>2114550</xdr:colOff>
      <xdr:row>7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64100" y="1181100"/>
          <a:ext cx="20764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view="pageBreakPreview" zoomScale="70" zoomScaleSheetLayoutView="70" zoomScalePageLayoutView="0" workbookViewId="0" topLeftCell="A46">
      <selection activeCell="B10" sqref="B10:B11"/>
    </sheetView>
  </sheetViews>
  <sheetFormatPr defaultColWidth="9.140625" defaultRowHeight="15"/>
  <cols>
    <col min="2" max="2" width="23.7109375" style="0" customWidth="1"/>
    <col min="3" max="3" width="104.00390625" style="1" customWidth="1"/>
    <col min="4" max="4" width="11.140625" style="0" customWidth="1"/>
    <col min="5" max="5" width="11.7109375" style="0" customWidth="1"/>
    <col min="6" max="6" width="17.57421875" style="0" bestFit="1" customWidth="1"/>
    <col min="7" max="7" width="21.421875" style="0" bestFit="1" customWidth="1"/>
    <col min="8" max="8" width="17.421875" style="0" customWidth="1"/>
    <col min="9" max="9" width="18.7109375" style="0" bestFit="1" customWidth="1"/>
  </cols>
  <sheetData>
    <row r="1" spans="1:7" ht="15">
      <c r="A1" s="2"/>
      <c r="B1" s="3"/>
      <c r="C1" s="4" t="s">
        <v>22</v>
      </c>
      <c r="D1" s="5"/>
      <c r="E1" s="6"/>
      <c r="F1" s="7"/>
      <c r="G1" s="8"/>
    </row>
    <row r="2" spans="1:7" ht="15">
      <c r="A2" s="9"/>
      <c r="B2" s="10"/>
      <c r="C2" s="11" t="s">
        <v>23</v>
      </c>
      <c r="D2" s="12"/>
      <c r="E2" s="13"/>
      <c r="F2" s="14"/>
      <c r="G2" s="15"/>
    </row>
    <row r="3" spans="1:7" ht="15">
      <c r="A3" s="9"/>
      <c r="B3" s="10"/>
      <c r="C3" s="11" t="s">
        <v>24</v>
      </c>
      <c r="D3" s="122" t="s">
        <v>77</v>
      </c>
      <c r="E3" s="123"/>
      <c r="F3" s="123"/>
      <c r="G3" s="124"/>
    </row>
    <row r="4" spans="1:7" ht="15">
      <c r="A4" s="9"/>
      <c r="B4" s="10"/>
      <c r="C4" s="68" t="s">
        <v>204</v>
      </c>
      <c r="D4" s="125" t="s">
        <v>208</v>
      </c>
      <c r="E4" s="126"/>
      <c r="F4" s="126"/>
      <c r="G4" s="127"/>
    </row>
    <row r="5" spans="1:7" ht="30">
      <c r="A5" s="9"/>
      <c r="B5" s="10"/>
      <c r="C5" s="42" t="s">
        <v>203</v>
      </c>
      <c r="D5" s="128" t="s">
        <v>205</v>
      </c>
      <c r="E5" s="129"/>
      <c r="F5" s="129"/>
      <c r="G5" s="130"/>
    </row>
    <row r="6" spans="1:7" ht="15">
      <c r="A6" s="9"/>
      <c r="B6" s="10"/>
      <c r="C6" s="16" t="s">
        <v>258</v>
      </c>
      <c r="D6" s="131" t="s">
        <v>207</v>
      </c>
      <c r="E6" s="132"/>
      <c r="F6" s="132"/>
      <c r="G6" s="133"/>
    </row>
    <row r="7" spans="1:7" ht="15">
      <c r="A7" s="9"/>
      <c r="B7" s="10"/>
      <c r="C7" s="43"/>
      <c r="D7" s="131" t="s">
        <v>206</v>
      </c>
      <c r="E7" s="132"/>
      <c r="F7" s="132"/>
      <c r="G7" s="133"/>
    </row>
    <row r="8" spans="1:7" ht="15">
      <c r="A8" s="17"/>
      <c r="B8" s="18"/>
      <c r="C8" s="19"/>
      <c r="D8" s="134" t="s">
        <v>58</v>
      </c>
      <c r="E8" s="135"/>
      <c r="F8" s="135"/>
      <c r="G8" s="136"/>
    </row>
    <row r="9" spans="1:7" ht="17.25">
      <c r="A9" s="116" t="s">
        <v>25</v>
      </c>
      <c r="B9" s="117"/>
      <c r="C9" s="117"/>
      <c r="D9" s="117"/>
      <c r="E9" s="117"/>
      <c r="F9" s="117"/>
      <c r="G9" s="117"/>
    </row>
    <row r="10" spans="1:9" s="54" customFormat="1" ht="12.75" customHeight="1">
      <c r="A10" s="118" t="s">
        <v>26</v>
      </c>
      <c r="B10" s="119" t="s">
        <v>59</v>
      </c>
      <c r="C10" s="119" t="s">
        <v>27</v>
      </c>
      <c r="D10" s="118" t="s">
        <v>11</v>
      </c>
      <c r="E10" s="120" t="s">
        <v>28</v>
      </c>
      <c r="F10" s="121" t="s">
        <v>29</v>
      </c>
      <c r="G10" s="121"/>
      <c r="H10" s="121"/>
      <c r="I10" s="121"/>
    </row>
    <row r="11" spans="1:9" s="54" customFormat="1" ht="12.75" customHeight="1">
      <c r="A11" s="118"/>
      <c r="B11" s="119"/>
      <c r="C11" s="119"/>
      <c r="D11" s="118"/>
      <c r="E11" s="120"/>
      <c r="F11" s="55" t="s">
        <v>81</v>
      </c>
      <c r="G11" s="55" t="s">
        <v>82</v>
      </c>
      <c r="H11" s="55" t="s">
        <v>83</v>
      </c>
      <c r="I11" s="53" t="s">
        <v>84</v>
      </c>
    </row>
    <row r="12" spans="1:9" s="40" customFormat="1" ht="15">
      <c r="A12" s="40" t="s">
        <v>15</v>
      </c>
      <c r="B12" s="59"/>
      <c r="C12" s="60" t="s">
        <v>16</v>
      </c>
      <c r="D12" s="60"/>
      <c r="E12" s="60"/>
      <c r="F12" s="60"/>
      <c r="G12" s="60"/>
      <c r="H12" s="60"/>
      <c r="I12" s="58"/>
    </row>
    <row r="13" spans="1:11" s="51" customFormat="1" ht="27">
      <c r="A13" s="44" t="s">
        <v>8</v>
      </c>
      <c r="B13" s="45" t="s">
        <v>78</v>
      </c>
      <c r="C13" s="46" t="s">
        <v>138</v>
      </c>
      <c r="D13" s="47" t="s">
        <v>0</v>
      </c>
      <c r="E13" s="48">
        <v>6</v>
      </c>
      <c r="F13" s="49">
        <f>TRUNC(G19,2)</f>
        <v>227.51</v>
      </c>
      <c r="G13" s="66">
        <f>TRUNC(F13*1.2977,2)</f>
        <v>295.23</v>
      </c>
      <c r="H13" s="50">
        <f>TRUNC(E13*F13,2)</f>
        <v>1365.06</v>
      </c>
      <c r="I13" s="50">
        <f>TRUNC(E13*G13,2)</f>
        <v>1771.38</v>
      </c>
      <c r="K13" s="52"/>
    </row>
    <row r="14" spans="1:11" s="74" customFormat="1" ht="27">
      <c r="A14" s="69"/>
      <c r="B14" s="70" t="s">
        <v>79</v>
      </c>
      <c r="C14" s="77" t="s">
        <v>80</v>
      </c>
      <c r="D14" s="71" t="s">
        <v>0</v>
      </c>
      <c r="E14" s="78">
        <v>1</v>
      </c>
      <c r="F14" s="72">
        <f>TRUNC(80,2)</f>
        <v>80</v>
      </c>
      <c r="G14" s="79">
        <f>TRUNC(E14*F14,2)</f>
        <v>80</v>
      </c>
      <c r="H14" s="73"/>
      <c r="I14" s="73"/>
      <c r="K14" s="75"/>
    </row>
    <row r="15" spans="1:11" s="74" customFormat="1" ht="27">
      <c r="A15" s="69"/>
      <c r="B15" s="70" t="s">
        <v>4</v>
      </c>
      <c r="C15" s="77" t="s">
        <v>139</v>
      </c>
      <c r="D15" s="71" t="s">
        <v>5</v>
      </c>
      <c r="E15" s="78">
        <v>0.3</v>
      </c>
      <c r="F15" s="72">
        <f>TRUNC(19.37,2)</f>
        <v>19.37</v>
      </c>
      <c r="G15" s="79">
        <f>TRUNC(E15*F15,2)</f>
        <v>5.81</v>
      </c>
      <c r="H15" s="73"/>
      <c r="I15" s="73"/>
      <c r="K15" s="75"/>
    </row>
    <row r="16" spans="1:11" s="74" customFormat="1" ht="13.5">
      <c r="A16" s="69"/>
      <c r="B16" s="70" t="s">
        <v>2</v>
      </c>
      <c r="C16" s="77" t="s">
        <v>140</v>
      </c>
      <c r="D16" s="71" t="s">
        <v>3</v>
      </c>
      <c r="E16" s="78">
        <v>9.2</v>
      </c>
      <c r="F16" s="72">
        <f>TRUNC(6.94,2)</f>
        <v>6.94</v>
      </c>
      <c r="G16" s="79">
        <f>TRUNC(E16*F16,2)</f>
        <v>63.84</v>
      </c>
      <c r="H16" s="73"/>
      <c r="I16" s="73"/>
      <c r="K16" s="75"/>
    </row>
    <row r="17" spans="1:11" s="74" customFormat="1" ht="13.5">
      <c r="A17" s="69"/>
      <c r="B17" s="70" t="s">
        <v>63</v>
      </c>
      <c r="C17" s="77" t="s">
        <v>64</v>
      </c>
      <c r="D17" s="71" t="s">
        <v>6</v>
      </c>
      <c r="E17" s="78">
        <v>2.06</v>
      </c>
      <c r="F17" s="72">
        <f>TRUNC(15.2,2)</f>
        <v>15.2</v>
      </c>
      <c r="G17" s="79">
        <f>TRUNC(E17*F17,2)</f>
        <v>31.31</v>
      </c>
      <c r="H17" s="73"/>
      <c r="I17" s="73"/>
      <c r="K17" s="75"/>
    </row>
    <row r="18" spans="1:11" s="74" customFormat="1" ht="27">
      <c r="A18" s="69"/>
      <c r="B18" s="70" t="s">
        <v>65</v>
      </c>
      <c r="C18" s="77" t="s">
        <v>66</v>
      </c>
      <c r="D18" s="71" t="s">
        <v>6</v>
      </c>
      <c r="E18" s="78">
        <v>2.06</v>
      </c>
      <c r="F18" s="72">
        <f>TRUNC(22.6,2)</f>
        <v>22.6</v>
      </c>
      <c r="G18" s="79">
        <f>TRUNC(E18*F18,2)</f>
        <v>46.55</v>
      </c>
      <c r="H18" s="73"/>
      <c r="I18" s="73"/>
      <c r="K18" s="75"/>
    </row>
    <row r="19" spans="1:11" s="74" customFormat="1" ht="13.5">
      <c r="A19" s="69"/>
      <c r="B19" s="70"/>
      <c r="C19" s="77"/>
      <c r="D19" s="71"/>
      <c r="E19" s="78" t="s">
        <v>7</v>
      </c>
      <c r="F19" s="72"/>
      <c r="G19" s="79">
        <f>TRUNC(SUM(G14:G18),2)</f>
        <v>227.51</v>
      </c>
      <c r="H19" s="73"/>
      <c r="I19" s="73"/>
      <c r="K19" s="75"/>
    </row>
    <row r="20" spans="1:12" s="51" customFormat="1" ht="41.25">
      <c r="A20" s="44" t="s">
        <v>9</v>
      </c>
      <c r="B20" s="45" t="s">
        <v>108</v>
      </c>
      <c r="C20" s="56" t="s">
        <v>141</v>
      </c>
      <c r="D20" s="47" t="s">
        <v>0</v>
      </c>
      <c r="E20" s="49">
        <v>249.9</v>
      </c>
      <c r="F20" s="49">
        <f>TRUNC(G26,2)</f>
        <v>28.59</v>
      </c>
      <c r="G20" s="66">
        <f>TRUNC(F20*1.2977,2)</f>
        <v>37.1</v>
      </c>
      <c r="H20" s="50">
        <f>TRUNC(E20*F20,2)</f>
        <v>7144.64</v>
      </c>
      <c r="I20" s="50">
        <f>TRUNC(E20*G20,2)</f>
        <v>9271.29</v>
      </c>
      <c r="K20" s="52">
        <v>36.5</v>
      </c>
      <c r="L20" s="51">
        <f>K20*2</f>
        <v>73</v>
      </c>
    </row>
    <row r="21" spans="1:11" s="74" customFormat="1" ht="13.5">
      <c r="A21" s="69"/>
      <c r="B21" s="70" t="s">
        <v>109</v>
      </c>
      <c r="C21" s="80" t="s">
        <v>110</v>
      </c>
      <c r="D21" s="71" t="s">
        <v>0</v>
      </c>
      <c r="E21" s="72">
        <v>0.2625</v>
      </c>
      <c r="F21" s="72">
        <f>TRUNC(54.5,2)</f>
        <v>54.5</v>
      </c>
      <c r="G21" s="79">
        <f>TRUNC(E21*F21,2)</f>
        <v>14.3</v>
      </c>
      <c r="H21" s="73"/>
      <c r="I21" s="73"/>
      <c r="K21" s="75"/>
    </row>
    <row r="22" spans="1:11" s="74" customFormat="1" ht="27">
      <c r="A22" s="69"/>
      <c r="B22" s="70" t="s">
        <v>4</v>
      </c>
      <c r="C22" s="80" t="s">
        <v>139</v>
      </c>
      <c r="D22" s="71" t="s">
        <v>5</v>
      </c>
      <c r="E22" s="72">
        <v>0.05</v>
      </c>
      <c r="F22" s="72">
        <f>TRUNC(19.37,2)</f>
        <v>19.37</v>
      </c>
      <c r="G22" s="79">
        <f>TRUNC(E22*F22,2)</f>
        <v>0.96</v>
      </c>
      <c r="H22" s="73"/>
      <c r="I22" s="73"/>
      <c r="K22" s="75"/>
    </row>
    <row r="23" spans="1:11" s="74" customFormat="1" ht="13.5">
      <c r="A23" s="69"/>
      <c r="B23" s="70" t="s">
        <v>2</v>
      </c>
      <c r="C23" s="80" t="s">
        <v>140</v>
      </c>
      <c r="D23" s="71" t="s">
        <v>3</v>
      </c>
      <c r="E23" s="72">
        <v>0.8</v>
      </c>
      <c r="F23" s="72">
        <f>TRUNC(6.94,2)</f>
        <v>6.94</v>
      </c>
      <c r="G23" s="79">
        <f>TRUNC(E23*F23,2)</f>
        <v>5.55</v>
      </c>
      <c r="H23" s="73"/>
      <c r="I23" s="73"/>
      <c r="K23" s="75"/>
    </row>
    <row r="24" spans="1:11" s="74" customFormat="1" ht="13.5">
      <c r="A24" s="69"/>
      <c r="B24" s="70" t="s">
        <v>63</v>
      </c>
      <c r="C24" s="80" t="s">
        <v>64</v>
      </c>
      <c r="D24" s="71" t="s">
        <v>6</v>
      </c>
      <c r="E24" s="72">
        <v>0.20600000000000002</v>
      </c>
      <c r="F24" s="72">
        <f>TRUNC(15.2,2)</f>
        <v>15.2</v>
      </c>
      <c r="G24" s="79">
        <f>TRUNC(E24*F24,2)</f>
        <v>3.13</v>
      </c>
      <c r="H24" s="73"/>
      <c r="I24" s="73"/>
      <c r="K24" s="75"/>
    </row>
    <row r="25" spans="1:11" s="74" customFormat="1" ht="27">
      <c r="A25" s="69"/>
      <c r="B25" s="70" t="s">
        <v>65</v>
      </c>
      <c r="C25" s="80" t="s">
        <v>66</v>
      </c>
      <c r="D25" s="71" t="s">
        <v>6</v>
      </c>
      <c r="E25" s="72">
        <v>0.20600000000000002</v>
      </c>
      <c r="F25" s="72">
        <f>TRUNC(22.6,2)</f>
        <v>22.6</v>
      </c>
      <c r="G25" s="79">
        <f>TRUNC(E25*F25,2)</f>
        <v>4.65</v>
      </c>
      <c r="H25" s="73"/>
      <c r="I25" s="73"/>
      <c r="K25" s="75"/>
    </row>
    <row r="26" spans="1:11" s="74" customFormat="1" ht="13.5">
      <c r="A26" s="69"/>
      <c r="B26" s="70"/>
      <c r="C26" s="80"/>
      <c r="D26" s="71"/>
      <c r="E26" s="72" t="s">
        <v>7</v>
      </c>
      <c r="F26" s="72"/>
      <c r="G26" s="79">
        <f>TRUNC(SUM(G21:G25),2)</f>
        <v>28.59</v>
      </c>
      <c r="H26" s="73"/>
      <c r="I26" s="73"/>
      <c r="K26" s="75"/>
    </row>
    <row r="27" spans="1:11" s="51" customFormat="1" ht="69">
      <c r="A27" s="44" t="s">
        <v>10</v>
      </c>
      <c r="B27" s="45" t="s">
        <v>217</v>
      </c>
      <c r="C27" s="56" t="s">
        <v>226</v>
      </c>
      <c r="D27" s="47" t="s">
        <v>219</v>
      </c>
      <c r="E27" s="49">
        <v>2</v>
      </c>
      <c r="F27" s="49">
        <f>TRUNC(G29,2)</f>
        <v>700</v>
      </c>
      <c r="G27" s="66">
        <f>TRUNC(F27*1.2977,2)</f>
        <v>908.39</v>
      </c>
      <c r="H27" s="50">
        <f>TRUNC(E27*F27,2)</f>
        <v>1400</v>
      </c>
      <c r="I27" s="50">
        <f>TRUNC(E27*G27,2)</f>
        <v>1816.78</v>
      </c>
      <c r="K27" s="52"/>
    </row>
    <row r="28" spans="1:11" s="74" customFormat="1" ht="41.25">
      <c r="A28" s="69"/>
      <c r="B28" s="70" t="s">
        <v>220</v>
      </c>
      <c r="C28" s="80" t="s">
        <v>227</v>
      </c>
      <c r="D28" s="71" t="s">
        <v>222</v>
      </c>
      <c r="E28" s="72">
        <v>1</v>
      </c>
      <c r="F28" s="72">
        <f>TRUNC(700,2)</f>
        <v>700</v>
      </c>
      <c r="G28" s="79">
        <f>TRUNC(E28*F28,2)</f>
        <v>700</v>
      </c>
      <c r="H28" s="73"/>
      <c r="I28" s="73"/>
      <c r="K28" s="75"/>
    </row>
    <row r="29" spans="1:11" s="74" customFormat="1" ht="13.5">
      <c r="A29" s="69"/>
      <c r="B29" s="70"/>
      <c r="C29" s="80"/>
      <c r="D29" s="71"/>
      <c r="E29" s="72" t="s">
        <v>7</v>
      </c>
      <c r="F29" s="72"/>
      <c r="G29" s="79">
        <f>TRUNC(SUM(G28:G28),2)</f>
        <v>700</v>
      </c>
      <c r="H29" s="73"/>
      <c r="I29" s="73"/>
      <c r="K29" s="75"/>
    </row>
    <row r="30" spans="1:9" s="41" customFormat="1" ht="15">
      <c r="A30" s="61" t="s">
        <v>48</v>
      </c>
      <c r="B30" s="63"/>
      <c r="C30" s="62"/>
      <c r="D30" s="63"/>
      <c r="E30" s="63"/>
      <c r="F30" s="63"/>
      <c r="G30" s="63" t="s">
        <v>52</v>
      </c>
      <c r="H30" s="109">
        <f>H13+H20+H27</f>
        <v>9909.7</v>
      </c>
      <c r="I30" s="109">
        <f>I13+I20+I27</f>
        <v>12859.450000000003</v>
      </c>
    </row>
    <row r="31" spans="1:9" s="40" customFormat="1" ht="15">
      <c r="A31" s="40" t="s">
        <v>17</v>
      </c>
      <c r="B31" s="59"/>
      <c r="C31" s="60" t="s">
        <v>47</v>
      </c>
      <c r="D31" s="60"/>
      <c r="E31" s="60"/>
      <c r="F31" s="60"/>
      <c r="G31" s="60"/>
      <c r="H31" s="60"/>
      <c r="I31" s="58"/>
    </row>
    <row r="32" spans="2:9" s="56" customFormat="1" ht="13.5">
      <c r="B32" s="56" t="s">
        <v>229</v>
      </c>
      <c r="C32" s="56" t="s">
        <v>212</v>
      </c>
      <c r="D32" s="66" t="s">
        <v>0</v>
      </c>
      <c r="E32" s="49">
        <v>531</v>
      </c>
      <c r="F32" s="66">
        <f>TRUNC(G37,2)</f>
        <v>53.64</v>
      </c>
      <c r="G32" s="66">
        <f>TRUNC(F32*1.2977,2)</f>
        <v>69.6</v>
      </c>
      <c r="H32" s="50">
        <f>TRUNC(E32*F32,2)</f>
        <v>28482.84</v>
      </c>
      <c r="I32" s="50">
        <f>TRUNC(E32*G32,2)</f>
        <v>36957.6</v>
      </c>
    </row>
    <row r="33" spans="2:9" s="80" customFormat="1" ht="13.5">
      <c r="B33" s="80" t="s">
        <v>63</v>
      </c>
      <c r="C33" s="80" t="s">
        <v>64</v>
      </c>
      <c r="D33" s="79" t="s">
        <v>6</v>
      </c>
      <c r="E33" s="72">
        <v>0.20085</v>
      </c>
      <c r="F33" s="79">
        <f>TRUNC(15.2,2)</f>
        <v>15.2</v>
      </c>
      <c r="G33" s="79">
        <f>TRUNC(E33*F33,2)</f>
        <v>3.05</v>
      </c>
      <c r="H33" s="73"/>
      <c r="I33" s="73"/>
    </row>
    <row r="34" spans="2:9" s="80" customFormat="1" ht="13.5">
      <c r="B34" s="80" t="s">
        <v>67</v>
      </c>
      <c r="C34" s="80" t="s">
        <v>68</v>
      </c>
      <c r="D34" s="79" t="s">
        <v>6</v>
      </c>
      <c r="E34" s="72">
        <v>0.20085</v>
      </c>
      <c r="F34" s="79">
        <f>TRUNC(21,2)</f>
        <v>21</v>
      </c>
      <c r="G34" s="79">
        <f>TRUNC(E34*F34,2)</f>
        <v>4.21</v>
      </c>
      <c r="H34" s="73"/>
      <c r="I34" s="73"/>
    </row>
    <row r="35" spans="2:9" s="80" customFormat="1" ht="13.5">
      <c r="B35" s="80" t="s">
        <v>230</v>
      </c>
      <c r="C35" s="80" t="s">
        <v>231</v>
      </c>
      <c r="D35" s="79" t="s">
        <v>6</v>
      </c>
      <c r="E35" s="72">
        <v>0.20085</v>
      </c>
      <c r="F35" s="79">
        <f>TRUNC(21,2)</f>
        <v>21</v>
      </c>
      <c r="G35" s="79">
        <f>TRUNC(E35*F35,2)</f>
        <v>4.21</v>
      </c>
      <c r="H35" s="73"/>
      <c r="I35" s="73"/>
    </row>
    <row r="36" spans="2:9" s="80" customFormat="1" ht="13.5">
      <c r="B36" s="80" t="s">
        <v>232</v>
      </c>
      <c r="C36" s="80" t="s">
        <v>233</v>
      </c>
      <c r="D36" s="79" t="s">
        <v>6</v>
      </c>
      <c r="E36" s="72">
        <v>2.0085</v>
      </c>
      <c r="F36" s="79">
        <f>TRUNC(21,2)</f>
        <v>21</v>
      </c>
      <c r="G36" s="79">
        <f>TRUNC(E36*F36,2)</f>
        <v>42.17</v>
      </c>
      <c r="H36" s="73"/>
      <c r="I36" s="73"/>
    </row>
    <row r="37" spans="4:9" s="80" customFormat="1" ht="13.5">
      <c r="D37" s="79"/>
      <c r="E37" s="72" t="s">
        <v>7</v>
      </c>
      <c r="F37" s="79"/>
      <c r="G37" s="79">
        <f>TRUNC(SUM(G33:G36),2)</f>
        <v>53.64</v>
      </c>
      <c r="H37" s="73"/>
      <c r="I37" s="73"/>
    </row>
    <row r="38" spans="1:9" s="56" customFormat="1" ht="69">
      <c r="A38" s="56" t="s">
        <v>49</v>
      </c>
      <c r="B38" s="56" t="s">
        <v>256</v>
      </c>
      <c r="C38" s="56" t="s">
        <v>237</v>
      </c>
      <c r="D38" s="66" t="s">
        <v>0</v>
      </c>
      <c r="E38" s="49">
        <v>531</v>
      </c>
      <c r="F38" s="66">
        <f>TRUNC(G53,2)</f>
        <v>164.48</v>
      </c>
      <c r="G38" s="66">
        <f>TRUNC(F38*1.2977,2)</f>
        <v>213.44</v>
      </c>
      <c r="H38" s="50">
        <f>TRUNC(E38*F38,2)</f>
        <v>87338.88</v>
      </c>
      <c r="I38" s="50">
        <f>TRUNC(E38*G38,2)</f>
        <v>113336.64</v>
      </c>
    </row>
    <row r="39" spans="2:9" s="80" customFormat="1" ht="13.5">
      <c r="B39" s="80" t="s">
        <v>93</v>
      </c>
      <c r="C39" s="80" t="s">
        <v>85</v>
      </c>
      <c r="D39" s="79" t="s">
        <v>44</v>
      </c>
      <c r="E39" s="72">
        <v>0.0725</v>
      </c>
      <c r="F39" s="79">
        <f>TRUNC(80.33,2)</f>
        <v>80.33</v>
      </c>
      <c r="G39" s="79">
        <f aca="true" t="shared" si="0" ref="G39:G52">TRUNC(E39*F39,2)</f>
        <v>5.82</v>
      </c>
      <c r="H39" s="73"/>
      <c r="I39" s="73"/>
    </row>
    <row r="40" spans="2:9" s="80" customFormat="1" ht="27">
      <c r="B40" s="105">
        <v>43127</v>
      </c>
      <c r="C40" s="105" t="s">
        <v>184</v>
      </c>
      <c r="D40" s="79" t="s">
        <v>0</v>
      </c>
      <c r="E40" s="72">
        <v>1.63</v>
      </c>
      <c r="F40" s="79">
        <v>53.9</v>
      </c>
      <c r="G40" s="79">
        <f t="shared" si="0"/>
        <v>87.85</v>
      </c>
      <c r="H40" s="73"/>
      <c r="I40" s="73"/>
    </row>
    <row r="41" spans="2:9" s="80" customFormat="1" ht="13.5">
      <c r="B41" s="80" t="s">
        <v>94</v>
      </c>
      <c r="C41" s="80" t="s">
        <v>95</v>
      </c>
      <c r="D41" s="79" t="s">
        <v>0</v>
      </c>
      <c r="E41" s="72">
        <v>1.2</v>
      </c>
      <c r="F41" s="79">
        <f>TRUNC(1.1356,2)</f>
        <v>1.13</v>
      </c>
      <c r="G41" s="79">
        <f t="shared" si="0"/>
        <v>1.35</v>
      </c>
      <c r="H41" s="73"/>
      <c r="I41" s="73"/>
    </row>
    <row r="42" spans="2:9" s="80" customFormat="1" ht="13.5">
      <c r="B42" s="105" t="s">
        <v>234</v>
      </c>
      <c r="C42" s="105" t="s">
        <v>235</v>
      </c>
      <c r="D42" s="79" t="s">
        <v>1</v>
      </c>
      <c r="E42" s="72">
        <v>0.08</v>
      </c>
      <c r="F42" s="79">
        <f>TRUNC(398.44,2)</f>
        <v>398.44</v>
      </c>
      <c r="G42" s="79">
        <f t="shared" si="0"/>
        <v>31.87</v>
      </c>
      <c r="H42" s="73"/>
      <c r="I42" s="73"/>
    </row>
    <row r="43" spans="2:9" s="80" customFormat="1" ht="13.5">
      <c r="B43" s="80" t="s">
        <v>63</v>
      </c>
      <c r="C43" s="80" t="s">
        <v>64</v>
      </c>
      <c r="D43" s="79" t="s">
        <v>6</v>
      </c>
      <c r="E43" s="72">
        <v>1.15875</v>
      </c>
      <c r="F43" s="79">
        <f>TRUNC(15.2,2)</f>
        <v>15.2</v>
      </c>
      <c r="G43" s="79">
        <f t="shared" si="0"/>
        <v>17.61</v>
      </c>
      <c r="H43" s="73"/>
      <c r="I43" s="73"/>
    </row>
    <row r="44" spans="2:9" s="80" customFormat="1" ht="13.5">
      <c r="B44" s="80" t="s">
        <v>67</v>
      </c>
      <c r="C44" s="80" t="s">
        <v>68</v>
      </c>
      <c r="D44" s="79" t="s">
        <v>6</v>
      </c>
      <c r="E44" s="72">
        <v>0.6695000000000001</v>
      </c>
      <c r="F44" s="79">
        <f>TRUNC(21,2)</f>
        <v>21</v>
      </c>
      <c r="G44" s="79">
        <f t="shared" si="0"/>
        <v>14.05</v>
      </c>
      <c r="H44" s="73"/>
      <c r="I44" s="73"/>
    </row>
    <row r="45" spans="2:9" s="80" customFormat="1" ht="27">
      <c r="B45" s="80" t="s">
        <v>96</v>
      </c>
      <c r="C45" s="80" t="s">
        <v>69</v>
      </c>
      <c r="D45" s="79" t="s">
        <v>6</v>
      </c>
      <c r="E45" s="72">
        <v>0.0927</v>
      </c>
      <c r="F45" s="79">
        <f>TRUNC(21,2)</f>
        <v>21</v>
      </c>
      <c r="G45" s="79">
        <f t="shared" si="0"/>
        <v>1.94</v>
      </c>
      <c r="H45" s="73"/>
      <c r="I45" s="73"/>
    </row>
    <row r="46" spans="2:9" s="80" customFormat="1" ht="13.5">
      <c r="B46" s="80" t="s">
        <v>97</v>
      </c>
      <c r="C46" s="80" t="s">
        <v>98</v>
      </c>
      <c r="D46" s="79" t="s">
        <v>6</v>
      </c>
      <c r="E46" s="72">
        <v>0.1648</v>
      </c>
      <c r="F46" s="79">
        <f>TRUNC(21,2)</f>
        <v>21</v>
      </c>
      <c r="G46" s="79">
        <f t="shared" si="0"/>
        <v>3.46</v>
      </c>
      <c r="H46" s="73"/>
      <c r="I46" s="73"/>
    </row>
    <row r="47" spans="2:9" s="80" customFormat="1" ht="13.5">
      <c r="B47" s="80" t="s">
        <v>99</v>
      </c>
      <c r="C47" s="80" t="s">
        <v>89</v>
      </c>
      <c r="D47" s="79" t="s">
        <v>6</v>
      </c>
      <c r="E47" s="72">
        <v>0.0438</v>
      </c>
      <c r="F47" s="79">
        <f>TRUNC(0.9615,2)</f>
        <v>0.96</v>
      </c>
      <c r="G47" s="79">
        <f t="shared" si="0"/>
        <v>0.04</v>
      </c>
      <c r="H47" s="73"/>
      <c r="I47" s="73"/>
    </row>
    <row r="48" spans="2:9" s="80" customFormat="1" ht="13.5">
      <c r="B48" s="80" t="s">
        <v>100</v>
      </c>
      <c r="C48" s="80" t="s">
        <v>88</v>
      </c>
      <c r="D48" s="79" t="s">
        <v>6</v>
      </c>
      <c r="E48" s="72">
        <v>0.0188</v>
      </c>
      <c r="F48" s="79">
        <f>TRUNC(13.0673,2)</f>
        <v>13.06</v>
      </c>
      <c r="G48" s="79">
        <f t="shared" si="0"/>
        <v>0.24</v>
      </c>
      <c r="H48" s="73"/>
      <c r="I48" s="73"/>
    </row>
    <row r="49" spans="2:9" s="80" customFormat="1" ht="13.5">
      <c r="B49" s="80" t="s">
        <v>101</v>
      </c>
      <c r="C49" s="80" t="s">
        <v>70</v>
      </c>
      <c r="D49" s="79" t="s">
        <v>6</v>
      </c>
      <c r="E49" s="72">
        <v>0.036</v>
      </c>
      <c r="F49" s="79">
        <f>TRUNC(0.3291,2)</f>
        <v>0.32</v>
      </c>
      <c r="G49" s="79">
        <f t="shared" si="0"/>
        <v>0.01</v>
      </c>
      <c r="H49" s="73"/>
      <c r="I49" s="73"/>
    </row>
    <row r="50" spans="2:9" s="80" customFormat="1" ht="13.5">
      <c r="B50" s="80" t="s">
        <v>102</v>
      </c>
      <c r="C50" s="80" t="s">
        <v>71</v>
      </c>
      <c r="D50" s="79" t="s">
        <v>6</v>
      </c>
      <c r="E50" s="72">
        <v>0.036</v>
      </c>
      <c r="F50" s="79">
        <f>TRUNC(1.4991,2)</f>
        <v>1.49</v>
      </c>
      <c r="G50" s="79">
        <f t="shared" si="0"/>
        <v>0.05</v>
      </c>
      <c r="H50" s="73"/>
      <c r="I50" s="73"/>
    </row>
    <row r="51" spans="2:9" s="80" customFormat="1" ht="13.5">
      <c r="B51" s="80" t="s">
        <v>103</v>
      </c>
      <c r="C51" s="80" t="s">
        <v>87</v>
      </c>
      <c r="D51" s="79" t="s">
        <v>6</v>
      </c>
      <c r="E51" s="72">
        <v>0.0292</v>
      </c>
      <c r="F51" s="79">
        <f>TRUNC(2.178,2)</f>
        <v>2.17</v>
      </c>
      <c r="G51" s="79">
        <f t="shared" si="0"/>
        <v>0.06</v>
      </c>
      <c r="H51" s="73"/>
      <c r="I51" s="73"/>
    </row>
    <row r="52" spans="2:9" s="80" customFormat="1" ht="13.5">
      <c r="B52" s="80" t="s">
        <v>104</v>
      </c>
      <c r="C52" s="80" t="s">
        <v>86</v>
      </c>
      <c r="D52" s="79" t="s">
        <v>6</v>
      </c>
      <c r="E52" s="72">
        <v>0.0125</v>
      </c>
      <c r="F52" s="79">
        <f>TRUNC(10.7352,2)</f>
        <v>10.73</v>
      </c>
      <c r="G52" s="79">
        <f t="shared" si="0"/>
        <v>0.13</v>
      </c>
      <c r="H52" s="73"/>
      <c r="I52" s="73"/>
    </row>
    <row r="53" spans="4:9" s="80" customFormat="1" ht="13.5">
      <c r="D53" s="79"/>
      <c r="E53" s="72" t="s">
        <v>7</v>
      </c>
      <c r="F53" s="79"/>
      <c r="G53" s="79">
        <f>TRUNC(SUM(G39:G52),2)</f>
        <v>164.48</v>
      </c>
      <c r="H53" s="73"/>
      <c r="I53" s="73"/>
    </row>
    <row r="54" spans="1:9" s="41" customFormat="1" ht="15">
      <c r="A54" s="61" t="s">
        <v>48</v>
      </c>
      <c r="B54" s="63"/>
      <c r="C54" s="62"/>
      <c r="D54" s="63"/>
      <c r="E54" s="63"/>
      <c r="F54" s="63"/>
      <c r="G54" s="63" t="s">
        <v>105</v>
      </c>
      <c r="H54" s="64">
        <f>H38</f>
        <v>87338.88</v>
      </c>
      <c r="I54" s="64">
        <f>I38+I32</f>
        <v>150294.24</v>
      </c>
    </row>
    <row r="55" spans="1:9" s="40" customFormat="1" ht="15">
      <c r="A55" s="40" t="s">
        <v>18</v>
      </c>
      <c r="B55" s="59"/>
      <c r="C55" s="60" t="s">
        <v>60</v>
      </c>
      <c r="D55" s="60"/>
      <c r="E55" s="60"/>
      <c r="F55" s="60"/>
      <c r="G55" s="60"/>
      <c r="H55" s="60"/>
      <c r="I55" s="58"/>
    </row>
    <row r="56" spans="1:9" s="56" customFormat="1" ht="41.25">
      <c r="A56" s="107" t="s">
        <v>50</v>
      </c>
      <c r="B56" s="107" t="s">
        <v>257</v>
      </c>
      <c r="C56" s="107" t="s">
        <v>148</v>
      </c>
      <c r="D56" s="107" t="s">
        <v>0</v>
      </c>
      <c r="E56" s="107">
        <v>297.99</v>
      </c>
      <c r="F56" s="108">
        <f>TRUNC(G65,2)</f>
        <v>60.66</v>
      </c>
      <c r="G56" s="66">
        <f>TRUNC(F56*1.2977,2)</f>
        <v>78.71</v>
      </c>
      <c r="H56" s="50">
        <f>TRUNC(E56*F56,2)</f>
        <v>18076.07</v>
      </c>
      <c r="I56" s="50">
        <f>TRUNC(E56*G56,2)</f>
        <v>23454.79</v>
      </c>
    </row>
    <row r="57" spans="1:9" s="80" customFormat="1" ht="13.5">
      <c r="A57" s="110"/>
      <c r="B57" s="110" t="s">
        <v>238</v>
      </c>
      <c r="C57" s="110" t="s">
        <v>239</v>
      </c>
      <c r="D57" s="110" t="s">
        <v>5</v>
      </c>
      <c r="E57" s="110">
        <v>0.0797</v>
      </c>
      <c r="F57" s="111">
        <f>TRUNC(26.5,2)</f>
        <v>26.5</v>
      </c>
      <c r="G57" s="79">
        <f aca="true" t="shared" si="1" ref="G57:G64">TRUNC(E57*F57,2)</f>
        <v>2.11</v>
      </c>
      <c r="H57" s="73"/>
      <c r="I57" s="73"/>
    </row>
    <row r="58" spans="1:9" s="80" customFormat="1" ht="13.5">
      <c r="A58" s="110"/>
      <c r="B58" s="110" t="s">
        <v>195</v>
      </c>
      <c r="C58" s="110" t="s">
        <v>150</v>
      </c>
      <c r="D58" s="110" t="s">
        <v>5</v>
      </c>
      <c r="E58" s="110">
        <v>0.0025</v>
      </c>
      <c r="F58" s="111">
        <f>TRUNC(49.29,2)</f>
        <v>49.29</v>
      </c>
      <c r="G58" s="79">
        <f t="shared" si="1"/>
        <v>0.12</v>
      </c>
      <c r="H58" s="73"/>
      <c r="I58" s="73"/>
    </row>
    <row r="59" spans="1:9" s="80" customFormat="1" ht="27">
      <c r="A59" s="110"/>
      <c r="B59" s="110" t="s">
        <v>196</v>
      </c>
      <c r="C59" s="110" t="s">
        <v>152</v>
      </c>
      <c r="D59" s="110" t="s">
        <v>3</v>
      </c>
      <c r="E59" s="110">
        <v>0</v>
      </c>
      <c r="F59" s="111">
        <f>TRUNC(58.25,2)</f>
        <v>58.25</v>
      </c>
      <c r="G59" s="79">
        <f t="shared" si="1"/>
        <v>0</v>
      </c>
      <c r="H59" s="73"/>
      <c r="I59" s="73"/>
    </row>
    <row r="60" spans="1:9" s="80" customFormat="1" ht="27">
      <c r="A60" s="110"/>
      <c r="B60" s="110" t="s">
        <v>197</v>
      </c>
      <c r="C60" s="110" t="s">
        <v>90</v>
      </c>
      <c r="D60" s="110" t="s">
        <v>3</v>
      </c>
      <c r="E60" s="110">
        <v>0</v>
      </c>
      <c r="F60" s="111">
        <f>TRUNC(97.58,2)</f>
        <v>97.58</v>
      </c>
      <c r="G60" s="79">
        <f t="shared" si="1"/>
        <v>0</v>
      </c>
      <c r="H60" s="73"/>
      <c r="I60" s="73"/>
    </row>
    <row r="61" spans="1:9" s="80" customFormat="1" ht="27">
      <c r="A61" s="110"/>
      <c r="B61" s="112" t="s">
        <v>228</v>
      </c>
      <c r="C61" s="113" t="s">
        <v>147</v>
      </c>
      <c r="D61" s="114" t="s">
        <v>0</v>
      </c>
      <c r="E61" s="115">
        <v>1.05</v>
      </c>
      <c r="F61" s="115">
        <v>34.45</v>
      </c>
      <c r="G61" s="79">
        <f t="shared" si="1"/>
        <v>36.17</v>
      </c>
      <c r="H61" s="73"/>
      <c r="I61" s="73"/>
    </row>
    <row r="62" spans="1:9" s="80" customFormat="1" ht="13.5">
      <c r="A62" s="110"/>
      <c r="B62" s="110" t="s">
        <v>198</v>
      </c>
      <c r="C62" s="110" t="s">
        <v>91</v>
      </c>
      <c r="D62" s="110" t="s">
        <v>6</v>
      </c>
      <c r="E62" s="94">
        <v>0.44</v>
      </c>
      <c r="F62" s="111">
        <f>TRUNC(22.39,2)</f>
        <v>22.39</v>
      </c>
      <c r="G62" s="79">
        <f t="shared" si="1"/>
        <v>9.85</v>
      </c>
      <c r="H62" s="73"/>
      <c r="I62" s="73"/>
    </row>
    <row r="63" spans="1:9" s="80" customFormat="1" ht="13.5">
      <c r="A63" s="110"/>
      <c r="B63" s="110" t="s">
        <v>199</v>
      </c>
      <c r="C63" s="110" t="s">
        <v>92</v>
      </c>
      <c r="D63" s="110" t="s">
        <v>6</v>
      </c>
      <c r="E63" s="94">
        <v>0.44</v>
      </c>
      <c r="F63" s="111">
        <f>TRUNC(28.21,2)</f>
        <v>28.21</v>
      </c>
      <c r="G63" s="79">
        <f t="shared" si="1"/>
        <v>12.41</v>
      </c>
      <c r="H63" s="73"/>
      <c r="I63" s="73"/>
    </row>
    <row r="64" spans="1:9" s="80" customFormat="1" ht="27">
      <c r="A64" s="110"/>
      <c r="B64" s="110" t="s">
        <v>200</v>
      </c>
      <c r="C64" s="110" t="s">
        <v>240</v>
      </c>
      <c r="D64" s="110" t="s">
        <v>1</v>
      </c>
      <c r="E64" s="110">
        <v>0</v>
      </c>
      <c r="F64" s="111">
        <f>TRUNC(329.7,2)</f>
        <v>329.7</v>
      </c>
      <c r="G64" s="79">
        <f t="shared" si="1"/>
        <v>0</v>
      </c>
      <c r="H64" s="73"/>
      <c r="I64" s="73"/>
    </row>
    <row r="65" spans="1:9" s="80" customFormat="1" ht="13.5">
      <c r="A65" s="110"/>
      <c r="B65" s="110"/>
      <c r="C65" s="110"/>
      <c r="D65" s="110"/>
      <c r="E65" s="110" t="s">
        <v>7</v>
      </c>
      <c r="F65" s="111"/>
      <c r="G65" s="79">
        <f>TRUNC(SUM(G57:G64),2)</f>
        <v>60.66</v>
      </c>
      <c r="H65" s="73"/>
      <c r="I65" s="73"/>
    </row>
    <row r="66" spans="1:9" s="41" customFormat="1" ht="15">
      <c r="A66" s="61" t="s">
        <v>48</v>
      </c>
      <c r="B66" s="63"/>
      <c r="C66" s="62"/>
      <c r="D66" s="63"/>
      <c r="E66" s="63"/>
      <c r="F66" s="63"/>
      <c r="G66" s="63" t="s">
        <v>51</v>
      </c>
      <c r="H66" s="67">
        <f>H56</f>
        <v>18076.07</v>
      </c>
      <c r="I66" s="67">
        <f>I56</f>
        <v>23454.79</v>
      </c>
    </row>
    <row r="67" spans="1:9" s="40" customFormat="1" ht="15">
      <c r="A67" s="40" t="s">
        <v>19</v>
      </c>
      <c r="B67" s="59"/>
      <c r="C67" s="60" t="s">
        <v>61</v>
      </c>
      <c r="D67" s="60"/>
      <c r="E67" s="60"/>
      <c r="F67" s="60"/>
      <c r="G67" s="60"/>
      <c r="H67" s="60"/>
      <c r="I67" s="58"/>
    </row>
    <row r="68" spans="1:9" s="56" customFormat="1" ht="41.25">
      <c r="A68" s="56" t="s">
        <v>12</v>
      </c>
      <c r="B68" s="56" t="s">
        <v>241</v>
      </c>
      <c r="C68" s="56" t="s">
        <v>165</v>
      </c>
      <c r="D68" s="66" t="s">
        <v>0</v>
      </c>
      <c r="E68" s="56">
        <v>41.8</v>
      </c>
      <c r="F68" s="66">
        <f>TRUNC(G74,2)</f>
        <v>21.73</v>
      </c>
      <c r="G68" s="66">
        <f>TRUNC(F68*1.2977,2)</f>
        <v>28.19</v>
      </c>
      <c r="H68" s="50">
        <f>TRUNC(E68*F68,2)</f>
        <v>908.31</v>
      </c>
      <c r="I68" s="50">
        <f>TRUNC(E68*G68,2)</f>
        <v>1178.34</v>
      </c>
    </row>
    <row r="69" spans="2:9" s="80" customFormat="1" ht="13.5">
      <c r="B69" s="80" t="s">
        <v>54</v>
      </c>
      <c r="C69" s="80" t="s">
        <v>72</v>
      </c>
      <c r="D69" s="79" t="s">
        <v>45</v>
      </c>
      <c r="E69" s="80">
        <v>0.035</v>
      </c>
      <c r="F69" s="79">
        <f>TRUNC(260.81,2)</f>
        <v>260.81</v>
      </c>
      <c r="G69" s="79">
        <f>TRUNC(E69*F69,2)</f>
        <v>9.12</v>
      </c>
      <c r="H69" s="73"/>
      <c r="I69" s="73"/>
    </row>
    <row r="70" spans="2:9" s="80" customFormat="1" ht="13.5">
      <c r="B70" s="80" t="s">
        <v>55</v>
      </c>
      <c r="C70" s="80" t="s">
        <v>73</v>
      </c>
      <c r="D70" s="79" t="s">
        <v>5</v>
      </c>
      <c r="E70" s="80">
        <v>0.025</v>
      </c>
      <c r="F70" s="79">
        <f>TRUNC(18.44,2)</f>
        <v>18.44</v>
      </c>
      <c r="G70" s="79">
        <f>TRUNC(E70*F70,2)</f>
        <v>0.46</v>
      </c>
      <c r="H70" s="73"/>
      <c r="I70" s="73"/>
    </row>
    <row r="71" spans="2:9" s="80" customFormat="1" ht="13.5">
      <c r="B71" s="80" t="s">
        <v>46</v>
      </c>
      <c r="C71" s="80" t="s">
        <v>74</v>
      </c>
      <c r="D71" s="79" t="s">
        <v>45</v>
      </c>
      <c r="E71" s="80">
        <v>0.05</v>
      </c>
      <c r="F71" s="79">
        <f>TRUNC(96.05,2)</f>
        <v>96.05</v>
      </c>
      <c r="G71" s="79">
        <f>TRUNC(E71*F71,2)</f>
        <v>4.8</v>
      </c>
      <c r="H71" s="73"/>
      <c r="I71" s="73"/>
    </row>
    <row r="72" spans="2:9" s="80" customFormat="1" ht="13.5">
      <c r="B72" s="80" t="s">
        <v>63</v>
      </c>
      <c r="C72" s="80" t="s">
        <v>64</v>
      </c>
      <c r="D72" s="79" t="s">
        <v>6</v>
      </c>
      <c r="E72" s="80">
        <v>0.12875</v>
      </c>
      <c r="F72" s="79">
        <f>TRUNC(15.2,2)</f>
        <v>15.2</v>
      </c>
      <c r="G72" s="79">
        <f>TRUNC(E72*F72,2)</f>
        <v>1.95</v>
      </c>
      <c r="H72" s="73"/>
      <c r="I72" s="73"/>
    </row>
    <row r="73" spans="2:9" s="80" customFormat="1" ht="13.5">
      <c r="B73" s="80" t="s">
        <v>242</v>
      </c>
      <c r="C73" s="80" t="s">
        <v>243</v>
      </c>
      <c r="D73" s="79" t="s">
        <v>6</v>
      </c>
      <c r="E73" s="80">
        <v>0.2575</v>
      </c>
      <c r="F73" s="79">
        <f>TRUNC(21,2)</f>
        <v>21</v>
      </c>
      <c r="G73" s="79">
        <f>TRUNC(E73*F73,2)</f>
        <v>5.4</v>
      </c>
      <c r="H73" s="73"/>
      <c r="I73" s="73"/>
    </row>
    <row r="74" spans="4:9" s="80" customFormat="1" ht="13.5">
      <c r="D74" s="79"/>
      <c r="E74" s="80" t="s">
        <v>7</v>
      </c>
      <c r="F74" s="79"/>
      <c r="G74" s="79">
        <f>TRUNC(SUM(G69:G73),2)</f>
        <v>21.73</v>
      </c>
      <c r="H74" s="73"/>
      <c r="I74" s="73"/>
    </row>
    <row r="75" spans="1:12" s="56" customFormat="1" ht="27">
      <c r="A75" s="56" t="s">
        <v>13</v>
      </c>
      <c r="B75" s="56" t="s">
        <v>244</v>
      </c>
      <c r="C75" s="56" t="s">
        <v>160</v>
      </c>
      <c r="D75" s="56" t="s">
        <v>0</v>
      </c>
      <c r="E75" s="49">
        <v>531</v>
      </c>
      <c r="F75" s="57">
        <f>TRUNC(G80,2)</f>
        <v>118.01</v>
      </c>
      <c r="G75" s="66">
        <f>TRUNC(F75*1.2977,2)</f>
        <v>153.14</v>
      </c>
      <c r="H75" s="50">
        <f>TRUNC(E75*F75,2)</f>
        <v>62663.31</v>
      </c>
      <c r="I75" s="50">
        <f>TRUNC(E75*G75,2)</f>
        <v>81317.34</v>
      </c>
      <c r="L75" s="56">
        <v>9.9</v>
      </c>
    </row>
    <row r="76" spans="2:9" s="80" customFormat="1" ht="13.5">
      <c r="B76" s="80" t="s">
        <v>161</v>
      </c>
      <c r="C76" s="80" t="s">
        <v>162</v>
      </c>
      <c r="D76" s="80" t="s">
        <v>5</v>
      </c>
      <c r="E76" s="72">
        <v>0.27</v>
      </c>
      <c r="F76" s="81">
        <f>TRUNC(398.6131,2)</f>
        <v>398.61</v>
      </c>
      <c r="G76" s="79">
        <f>TRUNC(E76*F76,2)</f>
        <v>107.62</v>
      </c>
      <c r="H76" s="73"/>
      <c r="I76" s="73"/>
    </row>
    <row r="77" spans="2:9" s="80" customFormat="1" ht="13.5">
      <c r="B77" s="80" t="s">
        <v>163</v>
      </c>
      <c r="C77" s="80" t="s">
        <v>164</v>
      </c>
      <c r="D77" s="80" t="s">
        <v>11</v>
      </c>
      <c r="E77" s="72">
        <v>0.5</v>
      </c>
      <c r="F77" s="81">
        <f>TRUNC(0.77,2)</f>
        <v>0.77</v>
      </c>
      <c r="G77" s="79">
        <f>TRUNC(E77*F77,2)</f>
        <v>0.38</v>
      </c>
      <c r="H77" s="73"/>
      <c r="I77" s="73"/>
    </row>
    <row r="78" spans="2:9" s="80" customFormat="1" ht="13.5">
      <c r="B78" s="80" t="s">
        <v>63</v>
      </c>
      <c r="C78" s="80" t="s">
        <v>64</v>
      </c>
      <c r="D78" s="80" t="s">
        <v>6</v>
      </c>
      <c r="E78" s="72">
        <v>0.1751</v>
      </c>
      <c r="F78" s="81">
        <f>TRUNC(15.2,2)</f>
        <v>15.2</v>
      </c>
      <c r="G78" s="79">
        <f>TRUNC(E78*F78,2)</f>
        <v>2.66</v>
      </c>
      <c r="H78" s="73"/>
      <c r="I78" s="73"/>
    </row>
    <row r="79" spans="2:9" s="80" customFormat="1" ht="13.5">
      <c r="B79" s="80" t="s">
        <v>242</v>
      </c>
      <c r="C79" s="80" t="s">
        <v>243</v>
      </c>
      <c r="D79" s="80" t="s">
        <v>6</v>
      </c>
      <c r="E79" s="72">
        <v>0.3502</v>
      </c>
      <c r="F79" s="81">
        <f>TRUNC(21,2)</f>
        <v>21</v>
      </c>
      <c r="G79" s="79">
        <f>TRUNC(E79*F79,2)</f>
        <v>7.35</v>
      </c>
      <c r="H79" s="73"/>
      <c r="I79" s="73"/>
    </row>
    <row r="80" spans="5:9" s="80" customFormat="1" ht="13.5">
      <c r="E80" s="72" t="s">
        <v>7</v>
      </c>
      <c r="F80" s="81"/>
      <c r="G80" s="79">
        <f>TRUNC(SUM(G76:G79),2)</f>
        <v>118.01</v>
      </c>
      <c r="H80" s="73"/>
      <c r="I80" s="73"/>
    </row>
    <row r="81" spans="1:9" s="56" customFormat="1" ht="27">
      <c r="A81" s="56" t="s">
        <v>14</v>
      </c>
      <c r="B81" s="56" t="s">
        <v>245</v>
      </c>
      <c r="C81" s="56" t="s">
        <v>187</v>
      </c>
      <c r="D81" s="56" t="s">
        <v>0</v>
      </c>
      <c r="E81" s="56">
        <v>41.8</v>
      </c>
      <c r="F81" s="57">
        <f>TRUNC(G85,2)</f>
        <v>15.48</v>
      </c>
      <c r="G81" s="66">
        <f>TRUNC(F81*1.2977,2)</f>
        <v>20.08</v>
      </c>
      <c r="H81" s="50">
        <f>TRUNC(E81*F81,2)</f>
        <v>647.06</v>
      </c>
      <c r="I81" s="50">
        <f>TRUNC(E81*G81,2)</f>
        <v>839.34</v>
      </c>
    </row>
    <row r="82" spans="2:9" s="80" customFormat="1" ht="13.5">
      <c r="B82" s="80" t="s">
        <v>246</v>
      </c>
      <c r="C82" s="80" t="s">
        <v>143</v>
      </c>
      <c r="D82" s="80" t="s">
        <v>144</v>
      </c>
      <c r="E82" s="80">
        <v>0.33</v>
      </c>
      <c r="F82" s="81">
        <f>TRUNC(25.62,2)</f>
        <v>25.62</v>
      </c>
      <c r="G82" s="79">
        <f>TRUNC(E82*F82,2)</f>
        <v>8.45</v>
      </c>
      <c r="H82" s="73"/>
      <c r="I82" s="73"/>
    </row>
    <row r="83" spans="2:9" s="80" customFormat="1" ht="13.5">
      <c r="B83" s="80" t="s">
        <v>198</v>
      </c>
      <c r="C83" s="80" t="s">
        <v>91</v>
      </c>
      <c r="D83" s="80" t="s">
        <v>6</v>
      </c>
      <c r="E83" s="80">
        <v>0.069</v>
      </c>
      <c r="F83" s="81">
        <f>TRUNC(22.39,2)</f>
        <v>22.39</v>
      </c>
      <c r="G83" s="79">
        <f>TRUNC(E83*F83,2)</f>
        <v>1.54</v>
      </c>
      <c r="H83" s="73"/>
      <c r="I83" s="73"/>
    </row>
    <row r="84" spans="2:9" s="80" customFormat="1" ht="13.5">
      <c r="B84" s="80" t="s">
        <v>247</v>
      </c>
      <c r="C84" s="80" t="s">
        <v>167</v>
      </c>
      <c r="D84" s="80" t="s">
        <v>6</v>
      </c>
      <c r="E84" s="80">
        <v>0.187</v>
      </c>
      <c r="F84" s="81">
        <f>TRUNC(29.41,2)</f>
        <v>29.41</v>
      </c>
      <c r="G84" s="79">
        <f>TRUNC(E84*F84,2)</f>
        <v>5.49</v>
      </c>
      <c r="H84" s="73"/>
      <c r="I84" s="73"/>
    </row>
    <row r="85" spans="5:9" s="80" customFormat="1" ht="13.5">
      <c r="E85" s="80" t="s">
        <v>7</v>
      </c>
      <c r="F85" s="81"/>
      <c r="G85" s="79">
        <f>TRUNC(SUM(G82:G84),2)</f>
        <v>15.48</v>
      </c>
      <c r="H85" s="73"/>
      <c r="I85" s="73"/>
    </row>
    <row r="86" spans="1:9" s="56" customFormat="1" ht="13.5">
      <c r="A86" s="56" t="s">
        <v>194</v>
      </c>
      <c r="B86" s="56" t="s">
        <v>248</v>
      </c>
      <c r="C86" s="56" t="s">
        <v>171</v>
      </c>
      <c r="D86" s="56" t="s">
        <v>0</v>
      </c>
      <c r="E86" s="56">
        <v>41.8</v>
      </c>
      <c r="F86" s="57">
        <f>TRUNC(G90,2)</f>
        <v>3.55</v>
      </c>
      <c r="G86" s="66">
        <f>TRUNC(F86*1.2977,2)</f>
        <v>4.6</v>
      </c>
      <c r="H86" s="50">
        <f>TRUNC(E86*F86,2)</f>
        <v>148.39</v>
      </c>
      <c r="I86" s="50">
        <f>TRUNC(E86*G86,2)</f>
        <v>192.28</v>
      </c>
    </row>
    <row r="87" spans="2:9" s="80" customFormat="1" ht="13.5">
      <c r="B87" s="80" t="s">
        <v>249</v>
      </c>
      <c r="C87" s="80" t="s">
        <v>169</v>
      </c>
      <c r="D87" s="80" t="s">
        <v>144</v>
      </c>
      <c r="E87" s="80">
        <v>0.16</v>
      </c>
      <c r="F87" s="81">
        <f>TRUNC(10.39,2)</f>
        <v>10.39</v>
      </c>
      <c r="G87" s="79">
        <f>TRUNC(E87*F87,2)</f>
        <v>1.66</v>
      </c>
      <c r="H87" s="73"/>
      <c r="I87" s="73"/>
    </row>
    <row r="88" spans="2:9" s="80" customFormat="1" ht="13.5">
      <c r="B88" s="80" t="s">
        <v>198</v>
      </c>
      <c r="C88" s="80" t="s">
        <v>91</v>
      </c>
      <c r="D88" s="80" t="s">
        <v>6</v>
      </c>
      <c r="E88" s="80">
        <v>0.014</v>
      </c>
      <c r="F88" s="81">
        <f>TRUNC(22.39,2)</f>
        <v>22.39</v>
      </c>
      <c r="G88" s="79">
        <f>TRUNC(E88*F88,2)</f>
        <v>0.31</v>
      </c>
      <c r="H88" s="73"/>
      <c r="I88" s="73"/>
    </row>
    <row r="89" spans="2:9" s="80" customFormat="1" ht="13.5">
      <c r="B89" s="80" t="s">
        <v>247</v>
      </c>
      <c r="C89" s="80" t="s">
        <v>167</v>
      </c>
      <c r="D89" s="80" t="s">
        <v>6</v>
      </c>
      <c r="E89" s="80">
        <v>0.054</v>
      </c>
      <c r="F89" s="81">
        <f>TRUNC(29.41,2)</f>
        <v>29.41</v>
      </c>
      <c r="G89" s="79">
        <f>TRUNC(E89*F89,2)</f>
        <v>1.58</v>
      </c>
      <c r="H89" s="73"/>
      <c r="I89" s="73"/>
    </row>
    <row r="90" spans="5:9" s="80" customFormat="1" ht="13.5">
      <c r="E90" s="80" t="s">
        <v>7</v>
      </c>
      <c r="F90" s="81"/>
      <c r="G90" s="79">
        <f>TRUNC(SUM(G87:G89),2)</f>
        <v>3.55</v>
      </c>
      <c r="H90" s="73"/>
      <c r="I90" s="73"/>
    </row>
    <row r="91" spans="1:9" s="41" customFormat="1" ht="15">
      <c r="A91" s="61" t="s">
        <v>48</v>
      </c>
      <c r="B91" s="63"/>
      <c r="C91" s="62"/>
      <c r="D91" s="63"/>
      <c r="E91" s="63"/>
      <c r="F91" s="63" t="s">
        <v>53</v>
      </c>
      <c r="G91" s="63"/>
      <c r="H91" s="109">
        <f>H68+H75+H81+H86</f>
        <v>64367.06999999999</v>
      </c>
      <c r="I91" s="109">
        <f>I68+I75+I81+I86</f>
        <v>83527.29999999999</v>
      </c>
    </row>
    <row r="92" spans="1:9" s="40" customFormat="1" ht="15">
      <c r="A92" s="40" t="s">
        <v>20</v>
      </c>
      <c r="B92" s="59"/>
      <c r="C92" s="60" t="s">
        <v>62</v>
      </c>
      <c r="D92" s="60"/>
      <c r="E92" s="60"/>
      <c r="F92" s="60"/>
      <c r="G92" s="60"/>
      <c r="H92" s="60"/>
      <c r="I92" s="58"/>
    </row>
    <row r="93" spans="1:9" s="56" customFormat="1" ht="41.25">
      <c r="A93" s="56" t="s">
        <v>106</v>
      </c>
      <c r="B93" s="56" t="s">
        <v>250</v>
      </c>
      <c r="C93" s="56" t="s">
        <v>181</v>
      </c>
      <c r="D93" s="56" t="s">
        <v>11</v>
      </c>
      <c r="E93" s="56">
        <v>3</v>
      </c>
      <c r="F93" s="57">
        <f>TRUNC(G96,2)</f>
        <v>279.39</v>
      </c>
      <c r="G93" s="66">
        <f>TRUNC(F93*1.2977,2)</f>
        <v>362.56</v>
      </c>
      <c r="H93" s="50">
        <f>TRUNC(E93*F93,2)</f>
        <v>838.17</v>
      </c>
      <c r="I93" s="50">
        <f>TRUNC(E93*G93,2)</f>
        <v>1087.68</v>
      </c>
    </row>
    <row r="94" spans="2:9" s="80" customFormat="1" ht="13.5">
      <c r="B94" s="80" t="s">
        <v>63</v>
      </c>
      <c r="C94" s="80" t="s">
        <v>64</v>
      </c>
      <c r="D94" s="80" t="s">
        <v>6</v>
      </c>
      <c r="E94" s="80">
        <v>0.618</v>
      </c>
      <c r="F94" s="81">
        <f>TRUNC(15.2,2)</f>
        <v>15.2</v>
      </c>
      <c r="G94" s="79">
        <f>TRUNC(E94*F94,2)</f>
        <v>9.39</v>
      </c>
      <c r="H94" s="73"/>
      <c r="I94" s="73"/>
    </row>
    <row r="95" spans="2:9" s="80" customFormat="1" ht="27">
      <c r="B95" s="80" t="s">
        <v>182</v>
      </c>
      <c r="C95" s="80" t="s">
        <v>183</v>
      </c>
      <c r="D95" s="80" t="s">
        <v>11</v>
      </c>
      <c r="E95" s="80">
        <v>1</v>
      </c>
      <c r="F95" s="81">
        <f>TRUNC(270,2)</f>
        <v>270</v>
      </c>
      <c r="G95" s="79">
        <f>TRUNC(E95*F95,2)</f>
        <v>270</v>
      </c>
      <c r="H95" s="73"/>
      <c r="I95" s="73"/>
    </row>
    <row r="96" spans="5:9" s="80" customFormat="1" ht="13.5">
      <c r="E96" s="80" t="s">
        <v>7</v>
      </c>
      <c r="F96" s="81"/>
      <c r="G96" s="79">
        <f>TRUNC(SUM(G94:G95),2)</f>
        <v>279.39</v>
      </c>
      <c r="H96" s="73"/>
      <c r="I96" s="73"/>
    </row>
    <row r="97" spans="1:9" s="56" customFormat="1" ht="54.75">
      <c r="A97" s="56" t="s">
        <v>107</v>
      </c>
      <c r="B97" s="56" t="s">
        <v>251</v>
      </c>
      <c r="C97" s="56" t="s">
        <v>172</v>
      </c>
      <c r="D97" s="56" t="s">
        <v>173</v>
      </c>
      <c r="E97" s="56">
        <v>217.75</v>
      </c>
      <c r="F97" s="57">
        <f>TRUNC(G99,2)</f>
        <v>12</v>
      </c>
      <c r="G97" s="66">
        <f>TRUNC(F97*1.2977,2)</f>
        <v>15.57</v>
      </c>
      <c r="H97" s="50">
        <f>TRUNC(E97*F97,2)</f>
        <v>2613</v>
      </c>
      <c r="I97" s="50">
        <f>TRUNC(E97*G97,2)</f>
        <v>3390.36</v>
      </c>
    </row>
    <row r="98" spans="2:9" s="80" customFormat="1" ht="27">
      <c r="B98" s="80" t="s">
        <v>174</v>
      </c>
      <c r="C98" s="80" t="s">
        <v>175</v>
      </c>
      <c r="D98" s="80" t="s">
        <v>173</v>
      </c>
      <c r="E98" s="80">
        <v>1</v>
      </c>
      <c r="F98" s="81">
        <f>TRUNC(12,2)</f>
        <v>12</v>
      </c>
      <c r="G98" s="79">
        <f>TRUNC(E98*F98,2)</f>
        <v>12</v>
      </c>
      <c r="H98" s="76"/>
      <c r="I98" s="76"/>
    </row>
    <row r="99" spans="5:9" s="80" customFormat="1" ht="13.5">
      <c r="E99" s="80" t="s">
        <v>7</v>
      </c>
      <c r="F99" s="81"/>
      <c r="G99" s="79">
        <f>TRUNC(SUM(G98:G98),2)</f>
        <v>12</v>
      </c>
      <c r="H99" s="76"/>
      <c r="I99" s="76"/>
    </row>
    <row r="100" spans="1:9" s="56" customFormat="1" ht="27">
      <c r="A100" s="56" t="s">
        <v>201</v>
      </c>
      <c r="B100" s="56" t="s">
        <v>252</v>
      </c>
      <c r="C100" s="56" t="s">
        <v>177</v>
      </c>
      <c r="D100" s="56" t="s">
        <v>0</v>
      </c>
      <c r="E100" s="56">
        <v>217.75</v>
      </c>
      <c r="F100" s="57">
        <f>TRUNC(G102,2)</f>
        <v>6.26</v>
      </c>
      <c r="G100" s="66">
        <f>TRUNC(F100*1.2977,2)</f>
        <v>8.12</v>
      </c>
      <c r="H100" s="50">
        <f>TRUNC(E100*F100,2)</f>
        <v>1363.11</v>
      </c>
      <c r="I100" s="50">
        <f>TRUNC(E100*G100,2)</f>
        <v>1768.13</v>
      </c>
    </row>
    <row r="101" spans="2:9" s="80" customFormat="1" ht="13.5">
      <c r="B101" s="80" t="s">
        <v>63</v>
      </c>
      <c r="C101" s="80" t="s">
        <v>64</v>
      </c>
      <c r="D101" s="80" t="s">
        <v>6</v>
      </c>
      <c r="E101" s="80">
        <v>0.41200000000000003</v>
      </c>
      <c r="F101" s="81">
        <f>TRUNC(15.2,2)</f>
        <v>15.2</v>
      </c>
      <c r="G101" s="79">
        <f>TRUNC(E101*F101,2)</f>
        <v>6.26</v>
      </c>
      <c r="H101" s="76"/>
      <c r="I101" s="76"/>
    </row>
    <row r="102" spans="5:9" s="80" customFormat="1" ht="13.5">
      <c r="E102" s="80" t="s">
        <v>7</v>
      </c>
      <c r="F102" s="81"/>
      <c r="G102" s="79">
        <f>TRUNC(SUM(G101:G101),2)</f>
        <v>6.26</v>
      </c>
      <c r="H102" s="76"/>
      <c r="I102" s="76"/>
    </row>
    <row r="103" spans="1:9" s="56" customFormat="1" ht="45" customHeight="1">
      <c r="A103" s="56" t="s">
        <v>202</v>
      </c>
      <c r="B103" s="56" t="s">
        <v>253</v>
      </c>
      <c r="C103" s="56" t="s">
        <v>178</v>
      </c>
      <c r="D103" s="56" t="s">
        <v>179</v>
      </c>
      <c r="E103" s="56">
        <v>318</v>
      </c>
      <c r="F103" s="57">
        <f>TRUNC(G105,2)</f>
        <v>0.2</v>
      </c>
      <c r="G103" s="66">
        <f>TRUNC(F103*1.2977,2)</f>
        <v>0.25</v>
      </c>
      <c r="H103" s="50">
        <f>TRUNC(E103*F103,2)</f>
        <v>63.6</v>
      </c>
      <c r="I103" s="50">
        <f>TRUNC(E103*G103,2)</f>
        <v>79.5</v>
      </c>
    </row>
    <row r="104" spans="2:9" s="80" customFormat="1" ht="13.5">
      <c r="B104" s="80" t="s">
        <v>254</v>
      </c>
      <c r="C104" s="80" t="s">
        <v>255</v>
      </c>
      <c r="D104" s="80" t="s">
        <v>6</v>
      </c>
      <c r="E104" s="80">
        <v>0.00121</v>
      </c>
      <c r="F104" s="81">
        <f>TRUNC(165.6188,2)</f>
        <v>165.61</v>
      </c>
      <c r="G104" s="79">
        <f>TRUNC(E104*F104,2)</f>
        <v>0.2</v>
      </c>
      <c r="H104" s="76"/>
      <c r="I104" s="76"/>
    </row>
    <row r="105" spans="5:9" s="80" customFormat="1" ht="13.5">
      <c r="E105" s="80" t="s">
        <v>7</v>
      </c>
      <c r="F105" s="81"/>
      <c r="G105" s="79">
        <f>TRUNC(SUM(G104:G104),2)</f>
        <v>0.2</v>
      </c>
      <c r="H105" s="76"/>
      <c r="I105" s="76"/>
    </row>
    <row r="106" spans="1:9" s="41" customFormat="1" ht="15">
      <c r="A106" s="61" t="s">
        <v>48</v>
      </c>
      <c r="B106" s="63"/>
      <c r="C106" s="62"/>
      <c r="D106" s="63"/>
      <c r="E106" s="63"/>
      <c r="F106" s="63" t="s">
        <v>56</v>
      </c>
      <c r="G106" s="63"/>
      <c r="H106" s="64">
        <f>H103+H100+H97+H93</f>
        <v>4877.88</v>
      </c>
      <c r="I106" s="64">
        <f>I103+I100+I97+I93</f>
        <v>6325.67</v>
      </c>
    </row>
    <row r="107" spans="1:9" s="41" customFormat="1" ht="15">
      <c r="A107" s="61" t="s">
        <v>48</v>
      </c>
      <c r="B107" s="63"/>
      <c r="C107" s="62"/>
      <c r="D107" s="63"/>
      <c r="E107" s="63"/>
      <c r="F107" s="63" t="s">
        <v>57</v>
      </c>
      <c r="G107" s="63"/>
      <c r="H107" s="109">
        <f>H66+H54+H30+H91+H106</f>
        <v>184569.6</v>
      </c>
      <c r="I107" s="109">
        <f>I66+I54+I30+I91+I106</f>
        <v>276461.45</v>
      </c>
    </row>
    <row r="108" spans="1:9" s="41" customFormat="1" ht="15">
      <c r="A108" s="61" t="s">
        <v>48</v>
      </c>
      <c r="B108" s="63"/>
      <c r="C108" s="62"/>
      <c r="D108" s="63"/>
      <c r="E108" s="63"/>
      <c r="F108" s="63"/>
      <c r="G108" s="63"/>
      <c r="H108" s="64"/>
      <c r="I108" s="109"/>
    </row>
    <row r="110" spans="2:7" ht="57">
      <c r="B110" t="s">
        <v>217</v>
      </c>
      <c r="C110" s="1" t="s">
        <v>218</v>
      </c>
      <c r="D110" t="s">
        <v>219</v>
      </c>
      <c r="E110">
        <v>1</v>
      </c>
      <c r="F110">
        <f>TRUNC(515.7279,2)</f>
        <v>515.72</v>
      </c>
      <c r="G110">
        <f>TRUNC(E110*F110,2)</f>
        <v>515.72</v>
      </c>
    </row>
    <row r="111" spans="2:7" ht="14.25">
      <c r="B111" t="s">
        <v>220</v>
      </c>
      <c r="C111" s="1" t="s">
        <v>221</v>
      </c>
      <c r="D111" t="s">
        <v>222</v>
      </c>
      <c r="E111">
        <v>1</v>
      </c>
      <c r="F111">
        <f>TRUNC(515.7279,2)</f>
        <v>515.72</v>
      </c>
      <c r="G111">
        <f>TRUNC(E111*F111,2)</f>
        <v>515.72</v>
      </c>
    </row>
    <row r="112" spans="5:7" ht="14.25">
      <c r="E112" t="s">
        <v>7</v>
      </c>
      <c r="G112">
        <f>TRUNC(SUM(G111:G111),2)</f>
        <v>515.72</v>
      </c>
    </row>
  </sheetData>
  <sheetProtection/>
  <mergeCells count="13">
    <mergeCell ref="D3:G3"/>
    <mergeCell ref="D4:G4"/>
    <mergeCell ref="D5:G5"/>
    <mergeCell ref="D6:G6"/>
    <mergeCell ref="D7:G7"/>
    <mergeCell ref="D8:G8"/>
    <mergeCell ref="A9:G9"/>
    <mergeCell ref="A10:A11"/>
    <mergeCell ref="B10:B11"/>
    <mergeCell ref="C10:C11"/>
    <mergeCell ref="D10:D11"/>
    <mergeCell ref="E10:E11"/>
    <mergeCell ref="F10:I10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SheetLayoutView="100" zoomScalePageLayoutView="0" workbookViewId="0" topLeftCell="D90">
      <selection activeCell="D4" sqref="D4:G4"/>
    </sheetView>
  </sheetViews>
  <sheetFormatPr defaultColWidth="9.140625" defaultRowHeight="15"/>
  <cols>
    <col min="2" max="2" width="23.7109375" style="0" customWidth="1"/>
    <col min="3" max="3" width="104.00390625" style="1" customWidth="1"/>
    <col min="4" max="4" width="11.140625" style="0" customWidth="1"/>
    <col min="5" max="5" width="11.7109375" style="0" customWidth="1"/>
    <col min="6" max="6" width="17.57421875" style="0" bestFit="1" customWidth="1"/>
    <col min="7" max="7" width="21.421875" style="0" bestFit="1" customWidth="1"/>
    <col min="8" max="8" width="17.421875" style="0" customWidth="1"/>
    <col min="9" max="9" width="18.7109375" style="0" bestFit="1" customWidth="1"/>
  </cols>
  <sheetData>
    <row r="1" spans="1:7" ht="15">
      <c r="A1" s="2"/>
      <c r="B1" s="3"/>
      <c r="C1" s="4" t="s">
        <v>22</v>
      </c>
      <c r="D1" s="5"/>
      <c r="E1" s="6"/>
      <c r="F1" s="7"/>
      <c r="G1" s="8"/>
    </row>
    <row r="2" spans="1:7" ht="15">
      <c r="A2" s="9"/>
      <c r="B2" s="10"/>
      <c r="C2" s="11" t="s">
        <v>23</v>
      </c>
      <c r="D2" s="12"/>
      <c r="E2" s="13"/>
      <c r="F2" s="14"/>
      <c r="G2" s="15"/>
    </row>
    <row r="3" spans="1:7" ht="15">
      <c r="A3" s="9"/>
      <c r="B3" s="10"/>
      <c r="C3" s="11" t="s">
        <v>24</v>
      </c>
      <c r="D3" s="122" t="s">
        <v>77</v>
      </c>
      <c r="E3" s="123"/>
      <c r="F3" s="123"/>
      <c r="G3" s="124"/>
    </row>
    <row r="4" spans="1:7" ht="15">
      <c r="A4" s="9"/>
      <c r="B4" s="10"/>
      <c r="C4" s="68" t="s">
        <v>204</v>
      </c>
      <c r="D4" s="125" t="s">
        <v>259</v>
      </c>
      <c r="E4" s="126"/>
      <c r="F4" s="126"/>
      <c r="G4" s="127"/>
    </row>
    <row r="5" spans="1:7" ht="30">
      <c r="A5" s="9"/>
      <c r="B5" s="10"/>
      <c r="C5" s="42" t="s">
        <v>203</v>
      </c>
      <c r="D5" s="128" t="s">
        <v>205</v>
      </c>
      <c r="E5" s="129"/>
      <c r="F5" s="129"/>
      <c r="G5" s="130"/>
    </row>
    <row r="6" spans="1:7" ht="15">
      <c r="A6" s="9"/>
      <c r="B6" s="10"/>
      <c r="C6" s="16" t="s">
        <v>225</v>
      </c>
      <c r="D6" s="131" t="s">
        <v>207</v>
      </c>
      <c r="E6" s="132"/>
      <c r="F6" s="132"/>
      <c r="G6" s="133"/>
    </row>
    <row r="7" spans="1:7" ht="15">
      <c r="A7" s="9"/>
      <c r="B7" s="10"/>
      <c r="C7" s="43"/>
      <c r="D7" s="131" t="s">
        <v>206</v>
      </c>
      <c r="E7" s="132"/>
      <c r="F7" s="132"/>
      <c r="G7" s="133"/>
    </row>
    <row r="8" spans="1:7" ht="15">
      <c r="A8" s="17"/>
      <c r="B8" s="18"/>
      <c r="C8" s="19"/>
      <c r="D8" s="134" t="s">
        <v>58</v>
      </c>
      <c r="E8" s="135"/>
      <c r="F8" s="135"/>
      <c r="G8" s="136"/>
    </row>
    <row r="9" spans="1:7" ht="17.25">
      <c r="A9" s="116" t="s">
        <v>25</v>
      </c>
      <c r="B9" s="117"/>
      <c r="C9" s="117"/>
      <c r="D9" s="117"/>
      <c r="E9" s="117"/>
      <c r="F9" s="117"/>
      <c r="G9" s="117"/>
    </row>
    <row r="10" spans="1:9" s="54" customFormat="1" ht="12.75" customHeight="1">
      <c r="A10" s="118" t="s">
        <v>26</v>
      </c>
      <c r="B10" s="119" t="s">
        <v>59</v>
      </c>
      <c r="C10" s="119" t="s">
        <v>27</v>
      </c>
      <c r="D10" s="118" t="s">
        <v>11</v>
      </c>
      <c r="E10" s="120" t="s">
        <v>28</v>
      </c>
      <c r="F10" s="121" t="s">
        <v>29</v>
      </c>
      <c r="G10" s="121"/>
      <c r="H10" s="121"/>
      <c r="I10" s="121"/>
    </row>
    <row r="11" spans="1:9" s="54" customFormat="1" ht="12.75" customHeight="1">
      <c r="A11" s="118"/>
      <c r="B11" s="119"/>
      <c r="C11" s="119"/>
      <c r="D11" s="118"/>
      <c r="E11" s="120"/>
      <c r="F11" s="55" t="s">
        <v>81</v>
      </c>
      <c r="G11" s="55" t="s">
        <v>82</v>
      </c>
      <c r="H11" s="55" t="s">
        <v>83</v>
      </c>
      <c r="I11" s="53" t="s">
        <v>84</v>
      </c>
    </row>
    <row r="12" spans="1:9" s="40" customFormat="1" ht="15">
      <c r="A12" s="40" t="s">
        <v>15</v>
      </c>
      <c r="B12" s="59"/>
      <c r="C12" s="60" t="s">
        <v>16</v>
      </c>
      <c r="D12" s="60"/>
      <c r="E12" s="60"/>
      <c r="F12" s="60"/>
      <c r="G12" s="60"/>
      <c r="H12" s="60"/>
      <c r="I12" s="58"/>
    </row>
    <row r="13" spans="1:11" s="51" customFormat="1" ht="27">
      <c r="A13" s="44" t="s">
        <v>8</v>
      </c>
      <c r="B13" s="45" t="s">
        <v>111</v>
      </c>
      <c r="C13" s="46" t="s">
        <v>138</v>
      </c>
      <c r="D13" s="47" t="s">
        <v>0</v>
      </c>
      <c r="E13" s="48">
        <v>6</v>
      </c>
      <c r="F13" s="49">
        <f>TRUNC(G19,2)</f>
        <v>239.52</v>
      </c>
      <c r="G13" s="66">
        <f>TRUNC(F13*1.2338,2)</f>
        <v>295.51</v>
      </c>
      <c r="H13" s="50">
        <f>TRUNC(E13*F13,2)</f>
        <v>1437.12</v>
      </c>
      <c r="I13" s="50">
        <f>TRUNC(E13*G13,2)</f>
        <v>1773.06</v>
      </c>
      <c r="K13" s="52"/>
    </row>
    <row r="14" spans="1:11" s="74" customFormat="1" ht="27">
      <c r="A14" s="69"/>
      <c r="B14" s="70" t="s">
        <v>79</v>
      </c>
      <c r="C14" s="77" t="s">
        <v>80</v>
      </c>
      <c r="D14" s="71" t="s">
        <v>0</v>
      </c>
      <c r="E14" s="78">
        <v>1</v>
      </c>
      <c r="F14" s="72">
        <f>TRUNC(80,2)</f>
        <v>80</v>
      </c>
      <c r="G14" s="79">
        <f>TRUNC(E14*F14,2)</f>
        <v>80</v>
      </c>
      <c r="H14" s="73"/>
      <c r="I14" s="73"/>
      <c r="K14" s="75"/>
    </row>
    <row r="15" spans="1:11" s="74" customFormat="1" ht="27">
      <c r="A15" s="69"/>
      <c r="B15" s="70" t="s">
        <v>4</v>
      </c>
      <c r="C15" s="77" t="s">
        <v>139</v>
      </c>
      <c r="D15" s="71" t="s">
        <v>5</v>
      </c>
      <c r="E15" s="78">
        <v>0.3</v>
      </c>
      <c r="F15" s="72">
        <f>TRUNC(19.37,2)</f>
        <v>19.37</v>
      </c>
      <c r="G15" s="79">
        <f>TRUNC(E15*F15,2)</f>
        <v>5.81</v>
      </c>
      <c r="H15" s="73"/>
      <c r="I15" s="73"/>
      <c r="K15" s="75"/>
    </row>
    <row r="16" spans="1:11" s="74" customFormat="1" ht="13.5">
      <c r="A16" s="69"/>
      <c r="B16" s="70" t="s">
        <v>2</v>
      </c>
      <c r="C16" s="77" t="s">
        <v>140</v>
      </c>
      <c r="D16" s="71" t="s">
        <v>3</v>
      </c>
      <c r="E16" s="78">
        <v>9.2</v>
      </c>
      <c r="F16" s="72">
        <f>TRUNC(6.94,2)</f>
        <v>6.94</v>
      </c>
      <c r="G16" s="79">
        <f>TRUNC(E16*F16,2)</f>
        <v>63.84</v>
      </c>
      <c r="H16" s="73"/>
      <c r="I16" s="73"/>
      <c r="K16" s="75"/>
    </row>
    <row r="17" spans="1:11" s="74" customFormat="1" ht="13.5">
      <c r="A17" s="69"/>
      <c r="B17" s="70" t="s">
        <v>112</v>
      </c>
      <c r="C17" s="77" t="s">
        <v>113</v>
      </c>
      <c r="D17" s="71" t="s">
        <v>6</v>
      </c>
      <c r="E17" s="78">
        <v>2.06</v>
      </c>
      <c r="F17" s="72">
        <f>TRUNC(17.54,2)</f>
        <v>17.54</v>
      </c>
      <c r="G17" s="79">
        <f>TRUNC(E17*F17,2)</f>
        <v>36.13</v>
      </c>
      <c r="H17" s="73"/>
      <c r="I17" s="73"/>
      <c r="K17" s="75"/>
    </row>
    <row r="18" spans="1:11" s="74" customFormat="1" ht="13.5">
      <c r="A18" s="69"/>
      <c r="B18" s="70" t="s">
        <v>114</v>
      </c>
      <c r="C18" s="77" t="s">
        <v>115</v>
      </c>
      <c r="D18" s="71" t="s">
        <v>6</v>
      </c>
      <c r="E18" s="78">
        <v>2.06</v>
      </c>
      <c r="F18" s="72">
        <f>TRUNC(26.09,2)</f>
        <v>26.09</v>
      </c>
      <c r="G18" s="79">
        <f>TRUNC(E18*F18,2)</f>
        <v>53.74</v>
      </c>
      <c r="H18" s="73"/>
      <c r="I18" s="73"/>
      <c r="K18" s="75"/>
    </row>
    <row r="19" spans="1:11" s="74" customFormat="1" ht="13.5">
      <c r="A19" s="69"/>
      <c r="B19" s="70"/>
      <c r="C19" s="77"/>
      <c r="D19" s="71"/>
      <c r="E19" s="78" t="s">
        <v>7</v>
      </c>
      <c r="F19" s="72"/>
      <c r="G19" s="79">
        <f>TRUNC(SUM(G14:G18),2)</f>
        <v>239.52</v>
      </c>
      <c r="H19" s="73"/>
      <c r="I19" s="73"/>
      <c r="K19" s="75"/>
    </row>
    <row r="20" spans="1:12" s="51" customFormat="1" ht="41.25">
      <c r="A20" s="44" t="s">
        <v>9</v>
      </c>
      <c r="B20" s="45" t="s">
        <v>116</v>
      </c>
      <c r="C20" s="56" t="s">
        <v>141</v>
      </c>
      <c r="D20" s="47" t="s">
        <v>0</v>
      </c>
      <c r="E20" s="49">
        <v>249.9</v>
      </c>
      <c r="F20" s="49">
        <f>TRUNC(G26,2)</f>
        <v>29.79</v>
      </c>
      <c r="G20" s="66">
        <f>TRUNC(F20*1.2338,2)</f>
        <v>36.75</v>
      </c>
      <c r="H20" s="50">
        <f>TRUNC(E20*F20,2)</f>
        <v>7444.52</v>
      </c>
      <c r="I20" s="50">
        <f>TRUNC(E20*G20,2)</f>
        <v>9183.82</v>
      </c>
      <c r="K20" s="52">
        <v>36.5</v>
      </c>
      <c r="L20" s="51">
        <f>K20*2</f>
        <v>73</v>
      </c>
    </row>
    <row r="21" spans="1:11" s="74" customFormat="1" ht="13.5">
      <c r="A21" s="69"/>
      <c r="B21" s="70" t="s">
        <v>109</v>
      </c>
      <c r="C21" s="80" t="s">
        <v>110</v>
      </c>
      <c r="D21" s="71" t="s">
        <v>0</v>
      </c>
      <c r="E21" s="72">
        <v>0.2625</v>
      </c>
      <c r="F21" s="72">
        <f>TRUNC(54.5,2)</f>
        <v>54.5</v>
      </c>
      <c r="G21" s="79">
        <f>TRUNC(E21*F21,2)</f>
        <v>14.3</v>
      </c>
      <c r="H21" s="73"/>
      <c r="I21" s="73"/>
      <c r="K21" s="75"/>
    </row>
    <row r="22" spans="1:11" s="74" customFormat="1" ht="27">
      <c r="A22" s="69"/>
      <c r="B22" s="70" t="s">
        <v>4</v>
      </c>
      <c r="C22" s="80" t="s">
        <v>139</v>
      </c>
      <c r="D22" s="71" t="s">
        <v>5</v>
      </c>
      <c r="E22" s="72">
        <v>0.05</v>
      </c>
      <c r="F22" s="72">
        <f>TRUNC(19.37,2)</f>
        <v>19.37</v>
      </c>
      <c r="G22" s="79">
        <f>TRUNC(E22*F22,2)</f>
        <v>0.96</v>
      </c>
      <c r="H22" s="73"/>
      <c r="I22" s="73"/>
      <c r="K22" s="75"/>
    </row>
    <row r="23" spans="1:11" s="74" customFormat="1" ht="13.5">
      <c r="A23" s="69"/>
      <c r="B23" s="70" t="s">
        <v>2</v>
      </c>
      <c r="C23" s="80" t="s">
        <v>140</v>
      </c>
      <c r="D23" s="71" t="s">
        <v>3</v>
      </c>
      <c r="E23" s="72">
        <v>0.8</v>
      </c>
      <c r="F23" s="72">
        <f>TRUNC(6.94,2)</f>
        <v>6.94</v>
      </c>
      <c r="G23" s="79">
        <f>TRUNC(E23*F23,2)</f>
        <v>5.55</v>
      </c>
      <c r="H23" s="73"/>
      <c r="I23" s="73"/>
      <c r="K23" s="75"/>
    </row>
    <row r="24" spans="1:11" s="74" customFormat="1" ht="13.5">
      <c r="A24" s="69"/>
      <c r="B24" s="70" t="s">
        <v>112</v>
      </c>
      <c r="C24" s="80" t="s">
        <v>113</v>
      </c>
      <c r="D24" s="71" t="s">
        <v>6</v>
      </c>
      <c r="E24" s="72">
        <v>0.20600000000000002</v>
      </c>
      <c r="F24" s="72">
        <f>TRUNC(17.54,2)</f>
        <v>17.54</v>
      </c>
      <c r="G24" s="79">
        <f>TRUNC(E24*F24,2)</f>
        <v>3.61</v>
      </c>
      <c r="H24" s="73"/>
      <c r="I24" s="73"/>
      <c r="K24" s="75"/>
    </row>
    <row r="25" spans="1:11" s="74" customFormat="1" ht="13.5">
      <c r="A25" s="69"/>
      <c r="B25" s="70" t="s">
        <v>114</v>
      </c>
      <c r="C25" s="80" t="s">
        <v>115</v>
      </c>
      <c r="D25" s="71" t="s">
        <v>6</v>
      </c>
      <c r="E25" s="72">
        <v>0.20600000000000002</v>
      </c>
      <c r="F25" s="72">
        <f>TRUNC(26.09,2)</f>
        <v>26.09</v>
      </c>
      <c r="G25" s="79">
        <f>TRUNC(E25*F25,2)</f>
        <v>5.37</v>
      </c>
      <c r="H25" s="73"/>
      <c r="I25" s="73"/>
      <c r="K25" s="75"/>
    </row>
    <row r="26" spans="1:11" s="74" customFormat="1" ht="13.5">
      <c r="A26" s="69"/>
      <c r="B26" s="70"/>
      <c r="C26" s="80"/>
      <c r="D26" s="71"/>
      <c r="E26" s="72" t="s">
        <v>7</v>
      </c>
      <c r="F26" s="72"/>
      <c r="G26" s="79">
        <f>TRUNC(SUM(G21:G25),2)</f>
        <v>29.79</v>
      </c>
      <c r="H26" s="73"/>
      <c r="I26" s="73"/>
      <c r="K26" s="75"/>
    </row>
    <row r="27" spans="1:11" s="51" customFormat="1" ht="69">
      <c r="A27" s="44" t="s">
        <v>10</v>
      </c>
      <c r="B27" s="45" t="s">
        <v>223</v>
      </c>
      <c r="C27" s="56" t="s">
        <v>226</v>
      </c>
      <c r="D27" s="47" t="s">
        <v>219</v>
      </c>
      <c r="E27" s="49">
        <v>2</v>
      </c>
      <c r="F27" s="49">
        <f>TRUNC(G29,2)</f>
        <v>700</v>
      </c>
      <c r="G27" s="66">
        <f>TRUNC(F27*1.2338,2)</f>
        <v>863.66</v>
      </c>
      <c r="H27" s="50">
        <f>TRUNC(E27*F27,2)</f>
        <v>1400</v>
      </c>
      <c r="I27" s="50">
        <f>TRUNC(E27*G27,2)</f>
        <v>1727.32</v>
      </c>
      <c r="K27" s="52"/>
    </row>
    <row r="28" spans="1:11" s="74" customFormat="1" ht="41.25">
      <c r="A28" s="69"/>
      <c r="B28" s="70" t="s">
        <v>220</v>
      </c>
      <c r="C28" s="80" t="s">
        <v>227</v>
      </c>
      <c r="D28" s="71" t="s">
        <v>222</v>
      </c>
      <c r="E28" s="72">
        <v>1</v>
      </c>
      <c r="F28" s="72">
        <f>TRUNC(700,2)</f>
        <v>700</v>
      </c>
      <c r="G28" s="79">
        <f>TRUNC(E28*F28,2)</f>
        <v>700</v>
      </c>
      <c r="H28" s="73"/>
      <c r="I28" s="73"/>
      <c r="K28" s="75"/>
    </row>
    <row r="29" spans="1:11" s="74" customFormat="1" ht="13.5">
      <c r="A29" s="69"/>
      <c r="B29" s="70"/>
      <c r="C29" s="80"/>
      <c r="D29" s="71"/>
      <c r="E29" s="72" t="s">
        <v>7</v>
      </c>
      <c r="F29" s="72"/>
      <c r="G29" s="79">
        <f>TRUNC(SUM(G28:G28),2)</f>
        <v>700</v>
      </c>
      <c r="H29" s="73"/>
      <c r="I29" s="73"/>
      <c r="K29" s="75"/>
    </row>
    <row r="30" spans="1:9" s="41" customFormat="1" ht="15">
      <c r="A30" s="61" t="s">
        <v>48</v>
      </c>
      <c r="B30" s="63"/>
      <c r="C30" s="62"/>
      <c r="D30" s="63"/>
      <c r="E30" s="63"/>
      <c r="F30" s="63"/>
      <c r="G30" s="63" t="s">
        <v>52</v>
      </c>
      <c r="H30" s="109">
        <f>H13+H20+H27</f>
        <v>10281.64</v>
      </c>
      <c r="I30" s="65">
        <f>I13+I20+I27</f>
        <v>12684.199999999999</v>
      </c>
    </row>
    <row r="31" spans="1:9" s="40" customFormat="1" ht="15">
      <c r="A31" s="40" t="s">
        <v>17</v>
      </c>
      <c r="B31" s="59"/>
      <c r="C31" s="60" t="s">
        <v>47</v>
      </c>
      <c r="D31" s="60"/>
      <c r="E31" s="60"/>
      <c r="F31" s="60"/>
      <c r="G31" s="60"/>
      <c r="H31" s="60"/>
      <c r="I31" s="58"/>
    </row>
    <row r="32" spans="1:9" s="56" customFormat="1" ht="49.5" customHeight="1">
      <c r="A32" s="56" t="s">
        <v>49</v>
      </c>
      <c r="B32" s="56" t="s">
        <v>211</v>
      </c>
      <c r="C32" s="56" t="s">
        <v>212</v>
      </c>
      <c r="D32" s="66" t="s">
        <v>0</v>
      </c>
      <c r="E32" s="49">
        <v>531</v>
      </c>
      <c r="F32" s="66">
        <f>TRUNC(G37,2)</f>
        <v>61.92</v>
      </c>
      <c r="G32" s="66">
        <f>TRUNC(F32*1.2338,2)</f>
        <v>76.39</v>
      </c>
      <c r="H32" s="50">
        <f>TRUNC(E32*F32,2)</f>
        <v>32879.52</v>
      </c>
      <c r="I32" s="50">
        <f>TRUNC(E32*G32,2)</f>
        <v>40563.09</v>
      </c>
    </row>
    <row r="33" spans="2:9" s="80" customFormat="1" ht="13.5">
      <c r="B33" s="80" t="s">
        <v>112</v>
      </c>
      <c r="C33" s="80" t="s">
        <v>113</v>
      </c>
      <c r="D33" s="79" t="s">
        <v>6</v>
      </c>
      <c r="E33" s="72">
        <v>0.20085</v>
      </c>
      <c r="F33" s="79">
        <f>TRUNC(17.54,2)</f>
        <v>17.54</v>
      </c>
      <c r="G33" s="79">
        <f>TRUNC(E33*F33,2)</f>
        <v>3.52</v>
      </c>
      <c r="H33" s="73"/>
      <c r="I33" s="73"/>
    </row>
    <row r="34" spans="2:9" s="80" customFormat="1" ht="13.5">
      <c r="B34" s="80" t="s">
        <v>121</v>
      </c>
      <c r="C34" s="80" t="s">
        <v>122</v>
      </c>
      <c r="D34" s="79" t="s">
        <v>6</v>
      </c>
      <c r="E34" s="72">
        <v>0.20085</v>
      </c>
      <c r="F34" s="79">
        <f>TRUNC(24.24,2)</f>
        <v>24.24</v>
      </c>
      <c r="G34" s="79">
        <f>TRUNC(E34*F34,2)</f>
        <v>4.86</v>
      </c>
      <c r="H34" s="73"/>
      <c r="I34" s="73"/>
    </row>
    <row r="35" spans="2:9" s="80" customFormat="1" ht="13.5">
      <c r="B35" s="80" t="s">
        <v>213</v>
      </c>
      <c r="C35" s="80" t="s">
        <v>214</v>
      </c>
      <c r="D35" s="79" t="s">
        <v>6</v>
      </c>
      <c r="E35" s="72">
        <v>2.0085</v>
      </c>
      <c r="F35" s="79">
        <f>TRUNC(24.24,2)</f>
        <v>24.24</v>
      </c>
      <c r="G35" s="79">
        <f>TRUNC(E35*F35,2)</f>
        <v>48.68</v>
      </c>
      <c r="H35" s="73"/>
      <c r="I35" s="73"/>
    </row>
    <row r="36" spans="2:9" s="80" customFormat="1" ht="13.5">
      <c r="B36" s="80" t="s">
        <v>215</v>
      </c>
      <c r="C36" s="80" t="s">
        <v>216</v>
      </c>
      <c r="D36" s="79" t="s">
        <v>6</v>
      </c>
      <c r="E36" s="72">
        <v>0.20085</v>
      </c>
      <c r="F36" s="79">
        <f>TRUNC(24.24,2)</f>
        <v>24.24</v>
      </c>
      <c r="G36" s="79">
        <f>TRUNC(E36*F36,2)</f>
        <v>4.86</v>
      </c>
      <c r="H36" s="73"/>
      <c r="I36" s="73"/>
    </row>
    <row r="37" spans="4:9" s="80" customFormat="1" ht="13.5">
      <c r="D37" s="79"/>
      <c r="E37" s="72" t="s">
        <v>7</v>
      </c>
      <c r="F37" s="79"/>
      <c r="G37" s="79">
        <f>TRUNC(SUM(G33:G36),2)</f>
        <v>61.92</v>
      </c>
      <c r="H37" s="73"/>
      <c r="I37" s="73"/>
    </row>
    <row r="38" spans="1:9" s="56" customFormat="1" ht="54.75">
      <c r="A38" s="56" t="s">
        <v>17</v>
      </c>
      <c r="B38" s="56" t="s">
        <v>192</v>
      </c>
      <c r="C38" s="56" t="s">
        <v>224</v>
      </c>
      <c r="D38" s="66" t="s">
        <v>0</v>
      </c>
      <c r="E38" s="49">
        <v>531</v>
      </c>
      <c r="F38" s="66">
        <f>TRUNC(G53,2)</f>
        <v>163.72</v>
      </c>
      <c r="G38" s="66">
        <f>TRUNC(F38*1.2338,2)</f>
        <v>201.99</v>
      </c>
      <c r="H38" s="50">
        <f>TRUNC(E38*F38,2)</f>
        <v>86935.32</v>
      </c>
      <c r="I38" s="50">
        <f>TRUNC(E38*G38,2)</f>
        <v>107256.69</v>
      </c>
    </row>
    <row r="39" spans="2:9" s="80" customFormat="1" ht="23.25" customHeight="1">
      <c r="B39" s="80" t="s">
        <v>93</v>
      </c>
      <c r="C39" s="80" t="s">
        <v>85</v>
      </c>
      <c r="D39" s="79" t="s">
        <v>44</v>
      </c>
      <c r="E39" s="72">
        <v>0</v>
      </c>
      <c r="F39" s="79">
        <v>80.33</v>
      </c>
      <c r="G39" s="79">
        <f aca="true" t="shared" si="0" ref="G39:G52">TRUNC(E39*F39,2)</f>
        <v>0</v>
      </c>
      <c r="H39" s="73"/>
      <c r="I39" s="73"/>
    </row>
    <row r="40" spans="2:10" s="105" customFormat="1" ht="27">
      <c r="B40" s="105" t="s">
        <v>236</v>
      </c>
      <c r="C40" s="105" t="s">
        <v>184</v>
      </c>
      <c r="D40" s="95" t="s">
        <v>0</v>
      </c>
      <c r="E40" s="106">
        <v>1.625</v>
      </c>
      <c r="F40" s="95">
        <v>53.9</v>
      </c>
      <c r="G40" s="95">
        <f t="shared" si="0"/>
        <v>87.58</v>
      </c>
      <c r="H40" s="96"/>
      <c r="I40" s="96"/>
      <c r="J40" s="105">
        <f>E40/2</f>
        <v>0.8125</v>
      </c>
    </row>
    <row r="41" spans="2:9" s="80" customFormat="1" ht="13.5">
      <c r="B41" s="80" t="s">
        <v>94</v>
      </c>
      <c r="C41" s="80" t="s">
        <v>95</v>
      </c>
      <c r="D41" s="79" t="s">
        <v>0</v>
      </c>
      <c r="E41" s="72">
        <v>0</v>
      </c>
      <c r="F41" s="79">
        <v>1.1356</v>
      </c>
      <c r="G41" s="79">
        <f t="shared" si="0"/>
        <v>0</v>
      </c>
      <c r="H41" s="73"/>
      <c r="I41" s="73"/>
    </row>
    <row r="42" spans="2:9" s="105" customFormat="1" ht="13.5">
      <c r="B42" s="105" t="s">
        <v>145</v>
      </c>
      <c r="C42" s="105" t="s">
        <v>146</v>
      </c>
      <c r="D42" s="95" t="s">
        <v>1</v>
      </c>
      <c r="E42" s="95">
        <v>0.08</v>
      </c>
      <c r="F42" s="95">
        <v>410.55</v>
      </c>
      <c r="G42" s="95">
        <f t="shared" si="0"/>
        <v>32.84</v>
      </c>
      <c r="H42" s="96"/>
      <c r="I42" s="96"/>
    </row>
    <row r="43" spans="2:9" s="80" customFormat="1" ht="13.5">
      <c r="B43" s="80" t="s">
        <v>112</v>
      </c>
      <c r="C43" s="80" t="s">
        <v>113</v>
      </c>
      <c r="D43" s="79" t="s">
        <v>6</v>
      </c>
      <c r="E43" s="72">
        <v>1.15875</v>
      </c>
      <c r="F43" s="79">
        <v>17.54</v>
      </c>
      <c r="G43" s="79">
        <f t="shared" si="0"/>
        <v>20.32</v>
      </c>
      <c r="H43" s="73"/>
      <c r="I43" s="73"/>
    </row>
    <row r="44" spans="2:9" s="80" customFormat="1" ht="13.5">
      <c r="B44" s="80" t="s">
        <v>117</v>
      </c>
      <c r="C44" s="80" t="s">
        <v>118</v>
      </c>
      <c r="D44" s="79" t="s">
        <v>6</v>
      </c>
      <c r="E44" s="72">
        <v>0.1648</v>
      </c>
      <c r="F44" s="79">
        <v>24.24</v>
      </c>
      <c r="G44" s="79">
        <f t="shared" si="0"/>
        <v>3.99</v>
      </c>
      <c r="H44" s="73"/>
      <c r="I44" s="73"/>
    </row>
    <row r="45" spans="2:9" s="80" customFormat="1" ht="13.5">
      <c r="B45" s="80" t="s">
        <v>119</v>
      </c>
      <c r="C45" s="80" t="s">
        <v>120</v>
      </c>
      <c r="D45" s="79" t="s">
        <v>6</v>
      </c>
      <c r="E45" s="72">
        <v>0.0927</v>
      </c>
      <c r="F45" s="79">
        <v>24.24</v>
      </c>
      <c r="G45" s="79">
        <f t="shared" si="0"/>
        <v>2.24</v>
      </c>
      <c r="H45" s="73"/>
      <c r="I45" s="73"/>
    </row>
    <row r="46" spans="2:9" s="80" customFormat="1" ht="13.5">
      <c r="B46" s="80" t="s">
        <v>121</v>
      </c>
      <c r="C46" s="80" t="s">
        <v>122</v>
      </c>
      <c r="D46" s="79" t="s">
        <v>6</v>
      </c>
      <c r="E46" s="72">
        <v>0.6695000000000001</v>
      </c>
      <c r="F46" s="79">
        <v>24.24</v>
      </c>
      <c r="G46" s="79">
        <f t="shared" si="0"/>
        <v>16.22</v>
      </c>
      <c r="H46" s="73"/>
      <c r="I46" s="73"/>
    </row>
    <row r="47" spans="2:9" s="80" customFormat="1" ht="13.5">
      <c r="B47" s="80" t="s">
        <v>123</v>
      </c>
      <c r="C47" s="80" t="s">
        <v>124</v>
      </c>
      <c r="D47" s="79" t="s">
        <v>6</v>
      </c>
      <c r="E47" s="72">
        <v>0.0292</v>
      </c>
      <c r="F47" s="79">
        <v>2.178</v>
      </c>
      <c r="G47" s="79">
        <f t="shared" si="0"/>
        <v>0.06</v>
      </c>
      <c r="H47" s="73"/>
      <c r="I47" s="73"/>
    </row>
    <row r="48" spans="2:9" s="80" customFormat="1" ht="13.5">
      <c r="B48" s="80" t="s">
        <v>125</v>
      </c>
      <c r="C48" s="80" t="s">
        <v>126</v>
      </c>
      <c r="D48" s="79" t="s">
        <v>6</v>
      </c>
      <c r="E48" s="72">
        <v>0.0125</v>
      </c>
      <c r="F48" s="79">
        <v>10.7352</v>
      </c>
      <c r="G48" s="79">
        <f t="shared" si="0"/>
        <v>0.13</v>
      </c>
      <c r="H48" s="73"/>
      <c r="I48" s="73"/>
    </row>
    <row r="49" spans="2:9" s="80" customFormat="1" ht="13.5">
      <c r="B49" s="80" t="s">
        <v>127</v>
      </c>
      <c r="C49" s="80" t="s">
        <v>128</v>
      </c>
      <c r="D49" s="79" t="s">
        <v>6</v>
      </c>
      <c r="E49" s="72">
        <v>0.0438</v>
      </c>
      <c r="F49" s="79">
        <v>0.9615</v>
      </c>
      <c r="G49" s="79">
        <f t="shared" si="0"/>
        <v>0.04</v>
      </c>
      <c r="H49" s="73"/>
      <c r="I49" s="73"/>
    </row>
    <row r="50" spans="2:9" s="80" customFormat="1" ht="13.5">
      <c r="B50" s="80" t="s">
        <v>129</v>
      </c>
      <c r="C50" s="80" t="s">
        <v>130</v>
      </c>
      <c r="D50" s="79" t="s">
        <v>6</v>
      </c>
      <c r="E50" s="72">
        <v>0.0188</v>
      </c>
      <c r="F50" s="79">
        <v>13.0673</v>
      </c>
      <c r="G50" s="79">
        <f t="shared" si="0"/>
        <v>0.24</v>
      </c>
      <c r="H50" s="73"/>
      <c r="I50" s="73"/>
    </row>
    <row r="51" spans="2:9" s="80" customFormat="1" ht="13.5">
      <c r="B51" s="80" t="s">
        <v>131</v>
      </c>
      <c r="C51" s="80" t="s">
        <v>132</v>
      </c>
      <c r="D51" s="79" t="s">
        <v>6</v>
      </c>
      <c r="E51" s="72">
        <v>0.036</v>
      </c>
      <c r="F51" s="79">
        <v>0.3291</v>
      </c>
      <c r="G51" s="79">
        <f t="shared" si="0"/>
        <v>0.01</v>
      </c>
      <c r="H51" s="73"/>
      <c r="I51" s="73"/>
    </row>
    <row r="52" spans="2:9" s="80" customFormat="1" ht="13.5">
      <c r="B52" s="80" t="s">
        <v>133</v>
      </c>
      <c r="C52" s="80" t="s">
        <v>134</v>
      </c>
      <c r="D52" s="79" t="s">
        <v>6</v>
      </c>
      <c r="E52" s="72">
        <v>0.036</v>
      </c>
      <c r="F52" s="79">
        <v>1.4991</v>
      </c>
      <c r="G52" s="79">
        <f t="shared" si="0"/>
        <v>0.05</v>
      </c>
      <c r="H52" s="73"/>
      <c r="I52" s="73"/>
    </row>
    <row r="53" spans="4:9" s="80" customFormat="1" ht="13.5">
      <c r="D53" s="79"/>
      <c r="E53" s="72" t="s">
        <v>7</v>
      </c>
      <c r="F53" s="79"/>
      <c r="G53" s="79">
        <f>TRUNC(SUM(G39:G52),2)</f>
        <v>163.72</v>
      </c>
      <c r="H53" s="73"/>
      <c r="I53" s="73"/>
    </row>
    <row r="54" spans="1:9" s="41" customFormat="1" ht="15">
      <c r="A54" s="61" t="s">
        <v>48</v>
      </c>
      <c r="B54" s="63"/>
      <c r="C54" s="62"/>
      <c r="D54" s="63"/>
      <c r="E54" s="63"/>
      <c r="F54" s="63"/>
      <c r="G54" s="63" t="s">
        <v>105</v>
      </c>
      <c r="H54" s="64">
        <f>H38</f>
        <v>86935.32</v>
      </c>
      <c r="I54" s="64">
        <f>I38+I32</f>
        <v>147819.78</v>
      </c>
    </row>
    <row r="55" spans="1:9" s="40" customFormat="1" ht="15">
      <c r="A55" s="40" t="s">
        <v>18</v>
      </c>
      <c r="B55" s="59"/>
      <c r="C55" s="60" t="s">
        <v>60</v>
      </c>
      <c r="D55" s="60"/>
      <c r="E55" s="60"/>
      <c r="F55" s="60"/>
      <c r="G55" s="60"/>
      <c r="H55" s="60"/>
      <c r="I55" s="58"/>
    </row>
    <row r="56" spans="1:9" s="56" customFormat="1" ht="41.25">
      <c r="A56" s="107" t="s">
        <v>50</v>
      </c>
      <c r="B56" s="107" t="s">
        <v>193</v>
      </c>
      <c r="C56" s="107" t="s">
        <v>210</v>
      </c>
      <c r="D56" s="107" t="s">
        <v>0</v>
      </c>
      <c r="E56" s="107">
        <v>297.99</v>
      </c>
      <c r="F56" s="108">
        <v>60.27</v>
      </c>
      <c r="G56" s="66">
        <f>TRUNC(F56*1.2338,2)</f>
        <v>74.36</v>
      </c>
      <c r="H56" s="50">
        <f>TRUNC(E56*F56,2)</f>
        <v>17959.85</v>
      </c>
      <c r="I56" s="50">
        <f>TRUNC(E56*G56,2)</f>
        <v>22158.53</v>
      </c>
    </row>
    <row r="57" spans="1:9" s="80" customFormat="1" ht="27">
      <c r="A57" s="110"/>
      <c r="B57" s="112" t="s">
        <v>228</v>
      </c>
      <c r="C57" s="113" t="s">
        <v>147</v>
      </c>
      <c r="D57" s="114" t="s">
        <v>0</v>
      </c>
      <c r="E57" s="115">
        <v>1.05</v>
      </c>
      <c r="F57" s="115">
        <v>34.45</v>
      </c>
      <c r="G57" s="95">
        <v>36.17</v>
      </c>
      <c r="H57" s="73"/>
      <c r="I57" s="73"/>
    </row>
    <row r="58" spans="1:12" s="80" customFormat="1" ht="13.5">
      <c r="A58" s="110"/>
      <c r="B58" s="110" t="s">
        <v>149</v>
      </c>
      <c r="C58" s="110" t="s">
        <v>150</v>
      </c>
      <c r="D58" s="110" t="s">
        <v>5</v>
      </c>
      <c r="E58" s="110">
        <v>0.0025</v>
      </c>
      <c r="F58" s="111">
        <v>49.29</v>
      </c>
      <c r="G58" s="79">
        <v>0.11</v>
      </c>
      <c r="H58" s="73"/>
      <c r="I58" s="73"/>
      <c r="J58" s="110"/>
      <c r="K58" s="110"/>
      <c r="L58" s="110"/>
    </row>
    <row r="59" spans="1:12" s="80" customFormat="1" ht="27">
      <c r="A59" s="110"/>
      <c r="B59" s="110" t="s">
        <v>151</v>
      </c>
      <c r="C59" s="110" t="s">
        <v>152</v>
      </c>
      <c r="D59" s="110" t="s">
        <v>3</v>
      </c>
      <c r="E59" s="110">
        <v>0</v>
      </c>
      <c r="F59" s="111">
        <v>58.25</v>
      </c>
      <c r="G59" s="79">
        <v>0</v>
      </c>
      <c r="H59" s="73"/>
      <c r="I59" s="73"/>
      <c r="J59" s="110"/>
      <c r="K59" s="110"/>
      <c r="L59" s="110"/>
    </row>
    <row r="60" spans="1:12" s="80" customFormat="1" ht="27">
      <c r="A60" s="110"/>
      <c r="B60" s="110" t="s">
        <v>153</v>
      </c>
      <c r="C60" s="110" t="s">
        <v>90</v>
      </c>
      <c r="D60" s="110" t="s">
        <v>3</v>
      </c>
      <c r="E60" s="110">
        <v>0</v>
      </c>
      <c r="F60" s="111">
        <v>99.81</v>
      </c>
      <c r="G60" s="79">
        <v>0</v>
      </c>
      <c r="H60" s="73"/>
      <c r="I60" s="73"/>
      <c r="J60" s="110"/>
      <c r="K60" s="110"/>
      <c r="L60" s="110"/>
    </row>
    <row r="61" spans="1:12" s="80" customFormat="1" ht="27">
      <c r="A61" s="110"/>
      <c r="B61" s="110" t="s">
        <v>154</v>
      </c>
      <c r="C61" s="110" t="s">
        <v>155</v>
      </c>
      <c r="D61" s="110" t="s">
        <v>0</v>
      </c>
      <c r="E61" s="110">
        <v>0</v>
      </c>
      <c r="F61" s="111">
        <v>38.78</v>
      </c>
      <c r="G61" s="79">
        <v>0</v>
      </c>
      <c r="H61" s="73"/>
      <c r="I61" s="73"/>
      <c r="J61" s="110"/>
      <c r="K61" s="110"/>
      <c r="L61" s="110"/>
    </row>
    <row r="62" spans="1:12" s="80" customFormat="1" ht="13.5">
      <c r="A62" s="110"/>
      <c r="B62" s="110" t="s">
        <v>156</v>
      </c>
      <c r="C62" s="110" t="s">
        <v>91</v>
      </c>
      <c r="D62" s="110" t="s">
        <v>6</v>
      </c>
      <c r="E62" s="94">
        <v>0.44</v>
      </c>
      <c r="F62" s="111">
        <f>TRUNC(24.73,2)</f>
        <v>24.73</v>
      </c>
      <c r="G62" s="79">
        <v>10.45</v>
      </c>
      <c r="H62" s="73"/>
      <c r="I62" s="73"/>
      <c r="J62" s="110"/>
      <c r="K62" s="110"/>
      <c r="L62" s="110"/>
    </row>
    <row r="63" spans="1:12" s="80" customFormat="1" ht="13.5">
      <c r="A63" s="110"/>
      <c r="B63" s="110" t="s">
        <v>157</v>
      </c>
      <c r="C63" s="110" t="s">
        <v>92</v>
      </c>
      <c r="D63" s="110" t="s">
        <v>6</v>
      </c>
      <c r="E63" s="94">
        <v>0.44</v>
      </c>
      <c r="F63" s="111">
        <f>TRUNC(31.45,2)</f>
        <v>31.45</v>
      </c>
      <c r="G63" s="79">
        <v>13.54</v>
      </c>
      <c r="H63" s="73"/>
      <c r="I63" s="73"/>
      <c r="J63" s="110"/>
      <c r="K63" s="110"/>
      <c r="L63" s="110"/>
    </row>
    <row r="64" spans="1:12" s="80" customFormat="1" ht="27">
      <c r="A64" s="110"/>
      <c r="B64" s="110" t="s">
        <v>158</v>
      </c>
      <c r="C64" s="110" t="s">
        <v>185</v>
      </c>
      <c r="D64" s="110" t="s">
        <v>1</v>
      </c>
      <c r="E64" s="110">
        <v>0</v>
      </c>
      <c r="F64" s="111">
        <f>TRUNC(339.621352,2)</f>
        <v>339.62</v>
      </c>
      <c r="G64" s="79">
        <v>0</v>
      </c>
      <c r="H64" s="73"/>
      <c r="I64" s="73"/>
      <c r="J64" s="110"/>
      <c r="K64" s="110"/>
      <c r="L64" s="110"/>
    </row>
    <row r="65" spans="1:12" s="80" customFormat="1" ht="13.5">
      <c r="A65" s="110"/>
      <c r="B65" s="110"/>
      <c r="C65" s="110"/>
      <c r="D65" s="110"/>
      <c r="E65" s="110" t="s">
        <v>7</v>
      </c>
      <c r="F65" s="111"/>
      <c r="G65" s="79">
        <v>60.27</v>
      </c>
      <c r="H65" s="73"/>
      <c r="I65" s="73"/>
      <c r="J65" s="110"/>
      <c r="K65" s="110"/>
      <c r="L65" s="110"/>
    </row>
    <row r="66" spans="1:9" s="41" customFormat="1" ht="15">
      <c r="A66" s="61" t="s">
        <v>48</v>
      </c>
      <c r="B66" s="63"/>
      <c r="C66" s="62"/>
      <c r="D66" s="63"/>
      <c r="E66" s="63"/>
      <c r="F66" s="63"/>
      <c r="G66" s="63" t="s">
        <v>51</v>
      </c>
      <c r="H66" s="67">
        <f>H56</f>
        <v>17959.85</v>
      </c>
      <c r="I66" s="67">
        <f>I56</f>
        <v>22158.53</v>
      </c>
    </row>
    <row r="67" spans="1:9" s="40" customFormat="1" ht="15">
      <c r="A67" s="40" t="s">
        <v>19</v>
      </c>
      <c r="B67" s="59"/>
      <c r="C67" s="60" t="s">
        <v>61</v>
      </c>
      <c r="D67" s="60"/>
      <c r="E67" s="60"/>
      <c r="F67" s="60"/>
      <c r="G67" s="60"/>
      <c r="H67" s="60"/>
      <c r="I67" s="58"/>
    </row>
    <row r="68" spans="1:9" s="56" customFormat="1" ht="41.25">
      <c r="A68" s="56" t="s">
        <v>12</v>
      </c>
      <c r="B68" s="56" t="s">
        <v>135</v>
      </c>
      <c r="C68" s="56" t="s">
        <v>165</v>
      </c>
      <c r="D68" s="66" t="s">
        <v>0</v>
      </c>
      <c r="E68" s="56">
        <v>41.8</v>
      </c>
      <c r="F68" s="66">
        <f>TRUNC(G74,2)</f>
        <v>22.87</v>
      </c>
      <c r="G68" s="66">
        <f>TRUNC(F68*1.2338,2)</f>
        <v>28.21</v>
      </c>
      <c r="H68" s="50">
        <f>TRUNC(E68*F68,2)</f>
        <v>955.96</v>
      </c>
      <c r="I68" s="50">
        <f>TRUNC(E68*G68,2)</f>
        <v>1179.17</v>
      </c>
    </row>
    <row r="69" spans="1:12" s="80" customFormat="1" ht="13.5">
      <c r="A69" s="110"/>
      <c r="B69" s="110" t="s">
        <v>54</v>
      </c>
      <c r="C69" s="110" t="s">
        <v>72</v>
      </c>
      <c r="D69" s="110" t="s">
        <v>45</v>
      </c>
      <c r="E69" s="110">
        <v>0.035</v>
      </c>
      <c r="F69" s="111">
        <f>TRUNC(260.81,2)</f>
        <v>260.81</v>
      </c>
      <c r="G69" s="79">
        <f>TRUNC(E69*F69,2)</f>
        <v>9.12</v>
      </c>
      <c r="H69" s="73"/>
      <c r="I69" s="73"/>
      <c r="J69" s="110"/>
      <c r="K69" s="110"/>
      <c r="L69" s="110"/>
    </row>
    <row r="70" spans="1:12" s="80" customFormat="1" ht="13.5">
      <c r="A70" s="110"/>
      <c r="B70" s="110" t="s">
        <v>55</v>
      </c>
      <c r="C70" s="110" t="s">
        <v>73</v>
      </c>
      <c r="D70" s="110" t="s">
        <v>5</v>
      </c>
      <c r="E70" s="94">
        <v>0.025</v>
      </c>
      <c r="F70" s="111">
        <f>TRUNC(18.44,2)</f>
        <v>18.44</v>
      </c>
      <c r="G70" s="79">
        <f>TRUNC(E70*F70,2)</f>
        <v>0.46</v>
      </c>
      <c r="H70" s="73"/>
      <c r="I70" s="73"/>
      <c r="J70" s="110"/>
      <c r="K70" s="110"/>
      <c r="L70" s="110"/>
    </row>
    <row r="71" spans="1:12" s="80" customFormat="1" ht="13.5">
      <c r="A71" s="110"/>
      <c r="B71" s="110" t="s">
        <v>46</v>
      </c>
      <c r="C71" s="110" t="s">
        <v>74</v>
      </c>
      <c r="D71" s="110" t="s">
        <v>45</v>
      </c>
      <c r="E71" s="94">
        <v>0.05</v>
      </c>
      <c r="F71" s="111">
        <f>TRUNC(96.05,2)</f>
        <v>96.05</v>
      </c>
      <c r="G71" s="79">
        <f>TRUNC(E71*F71,2)</f>
        <v>4.8</v>
      </c>
      <c r="H71" s="73"/>
      <c r="I71" s="73"/>
      <c r="J71" s="110"/>
      <c r="K71" s="110"/>
      <c r="L71" s="110"/>
    </row>
    <row r="72" spans="1:12" s="80" customFormat="1" ht="13.5">
      <c r="A72" s="110"/>
      <c r="B72" s="110" t="s">
        <v>112</v>
      </c>
      <c r="C72" s="110" t="s">
        <v>113</v>
      </c>
      <c r="D72" s="110" t="s">
        <v>6</v>
      </c>
      <c r="E72" s="110">
        <v>0.12875</v>
      </c>
      <c r="F72" s="111">
        <f>TRUNC(17.54,2)</f>
        <v>17.54</v>
      </c>
      <c r="G72" s="79">
        <f>TRUNC(E72*F72,2)</f>
        <v>2.25</v>
      </c>
      <c r="H72" s="73"/>
      <c r="I72" s="73"/>
      <c r="J72" s="110"/>
      <c r="K72" s="110"/>
      <c r="L72" s="110"/>
    </row>
    <row r="73" spans="1:12" s="80" customFormat="1" ht="13.5">
      <c r="A73" s="110"/>
      <c r="B73" s="110" t="s">
        <v>136</v>
      </c>
      <c r="C73" s="110" t="s">
        <v>137</v>
      </c>
      <c r="D73" s="110" t="s">
        <v>6</v>
      </c>
      <c r="E73" s="110">
        <v>0.2575</v>
      </c>
      <c r="F73" s="111">
        <f>TRUNC(24.24,2)</f>
        <v>24.24</v>
      </c>
      <c r="G73" s="79">
        <f>TRUNC(E73*F73,2)</f>
        <v>6.24</v>
      </c>
      <c r="H73" s="73"/>
      <c r="I73" s="73"/>
      <c r="J73" s="110"/>
      <c r="K73" s="110"/>
      <c r="L73" s="110"/>
    </row>
    <row r="74" spans="1:12" s="80" customFormat="1" ht="13.5">
      <c r="A74" s="110"/>
      <c r="B74" s="110"/>
      <c r="C74" s="110"/>
      <c r="D74" s="110"/>
      <c r="E74" s="94" t="s">
        <v>7</v>
      </c>
      <c r="F74" s="111"/>
      <c r="G74" s="79">
        <f>TRUNC(SUM(G69:G73),2)</f>
        <v>22.87</v>
      </c>
      <c r="H74" s="73"/>
      <c r="I74" s="73"/>
      <c r="J74" s="110"/>
      <c r="K74" s="110"/>
      <c r="L74" s="110"/>
    </row>
    <row r="75" spans="1:12" s="56" customFormat="1" ht="27">
      <c r="A75" s="56" t="s">
        <v>13</v>
      </c>
      <c r="B75" s="56" t="s">
        <v>159</v>
      </c>
      <c r="C75" s="56" t="s">
        <v>160</v>
      </c>
      <c r="D75" s="56" t="s">
        <v>0</v>
      </c>
      <c r="E75" s="49">
        <v>531</v>
      </c>
      <c r="F75" s="57">
        <f>TRUNC(G80,2)</f>
        <v>119.55</v>
      </c>
      <c r="G75" s="66">
        <f>TRUNC(F75*1.2338,2)</f>
        <v>147.5</v>
      </c>
      <c r="H75" s="50">
        <f>TRUNC(E75*F75,2)</f>
        <v>63481.05</v>
      </c>
      <c r="I75" s="50">
        <f>TRUNC(E75*G75,2)</f>
        <v>78322.5</v>
      </c>
      <c r="L75" s="56">
        <v>9.9</v>
      </c>
    </row>
    <row r="76" spans="1:12" s="80" customFormat="1" ht="13.5">
      <c r="A76" s="110"/>
      <c r="B76" s="110" t="s">
        <v>161</v>
      </c>
      <c r="C76" s="110" t="s">
        <v>162</v>
      </c>
      <c r="D76" s="110" t="s">
        <v>5</v>
      </c>
      <c r="E76" s="110">
        <v>0.27</v>
      </c>
      <c r="F76" s="111">
        <f>TRUNC(398.6131,2)</f>
        <v>398.61</v>
      </c>
      <c r="G76" s="79">
        <f>TRUNC(E76*F76,2)</f>
        <v>107.62</v>
      </c>
      <c r="H76" s="73"/>
      <c r="I76" s="73"/>
      <c r="J76" s="110"/>
      <c r="K76" s="110"/>
      <c r="L76" s="110"/>
    </row>
    <row r="77" spans="1:12" s="80" customFormat="1" ht="13.5">
      <c r="A77" s="110"/>
      <c r="B77" s="110" t="s">
        <v>163</v>
      </c>
      <c r="C77" s="110" t="s">
        <v>164</v>
      </c>
      <c r="D77" s="110" t="s">
        <v>11</v>
      </c>
      <c r="E77" s="94">
        <v>0.5</v>
      </c>
      <c r="F77" s="111">
        <f>TRUNC(0.77,2)</f>
        <v>0.77</v>
      </c>
      <c r="G77" s="79">
        <f>TRUNC(E77*F77,2)</f>
        <v>0.38</v>
      </c>
      <c r="H77" s="73"/>
      <c r="I77" s="73"/>
      <c r="J77" s="110"/>
      <c r="K77" s="110"/>
      <c r="L77" s="110"/>
    </row>
    <row r="78" spans="1:12" s="80" customFormat="1" ht="13.5">
      <c r="A78" s="110"/>
      <c r="B78" s="110" t="s">
        <v>112</v>
      </c>
      <c r="C78" s="110" t="s">
        <v>113</v>
      </c>
      <c r="D78" s="110" t="s">
        <v>6</v>
      </c>
      <c r="E78" s="94">
        <v>0.1751</v>
      </c>
      <c r="F78" s="111">
        <f>TRUNC(17.54,2)</f>
        <v>17.54</v>
      </c>
      <c r="G78" s="79">
        <f>TRUNC(E78*F78,2)</f>
        <v>3.07</v>
      </c>
      <c r="H78" s="73"/>
      <c r="I78" s="73"/>
      <c r="J78" s="110"/>
      <c r="K78" s="110"/>
      <c r="L78" s="110"/>
    </row>
    <row r="79" spans="1:12" s="80" customFormat="1" ht="13.5">
      <c r="A79" s="110"/>
      <c r="B79" s="110" t="s">
        <v>136</v>
      </c>
      <c r="C79" s="110" t="s">
        <v>137</v>
      </c>
      <c r="D79" s="110" t="s">
        <v>6</v>
      </c>
      <c r="E79" s="110">
        <v>0.3502</v>
      </c>
      <c r="F79" s="111">
        <f>TRUNC(24.24,2)</f>
        <v>24.24</v>
      </c>
      <c r="G79" s="79">
        <f>TRUNC(E79*F79,2)</f>
        <v>8.48</v>
      </c>
      <c r="H79" s="73"/>
      <c r="I79" s="73"/>
      <c r="J79" s="110"/>
      <c r="K79" s="110"/>
      <c r="L79" s="110"/>
    </row>
    <row r="80" spans="1:12" s="80" customFormat="1" ht="13.5">
      <c r="A80" s="110"/>
      <c r="B80" s="110"/>
      <c r="C80" s="110"/>
      <c r="D80" s="110"/>
      <c r="E80" s="110" t="s">
        <v>7</v>
      </c>
      <c r="F80" s="111"/>
      <c r="G80" s="79">
        <f>TRUNC(SUM(G76:G79),2)</f>
        <v>119.55</v>
      </c>
      <c r="H80" s="73"/>
      <c r="I80" s="73"/>
      <c r="J80" s="110"/>
      <c r="K80" s="110"/>
      <c r="L80" s="110"/>
    </row>
    <row r="81" spans="1:9" s="56" customFormat="1" ht="27">
      <c r="A81" s="56" t="s">
        <v>14</v>
      </c>
      <c r="B81" s="56" t="s">
        <v>186</v>
      </c>
      <c r="C81" s="56" t="s">
        <v>187</v>
      </c>
      <c r="D81" s="56" t="s">
        <v>0</v>
      </c>
      <c r="E81" s="56">
        <v>41.8</v>
      </c>
      <c r="F81" s="57">
        <f>TRUNC(G85,2)</f>
        <v>16.25</v>
      </c>
      <c r="G81" s="66">
        <f>TRUNC(F81*1.2338,2)</f>
        <v>20.04</v>
      </c>
      <c r="H81" s="50">
        <f>TRUNC(E81*F81,2)</f>
        <v>679.25</v>
      </c>
      <c r="I81" s="50">
        <f>TRUNC(E81*G81,2)</f>
        <v>837.67</v>
      </c>
    </row>
    <row r="82" spans="1:12" s="80" customFormat="1" ht="13.5">
      <c r="A82" s="110"/>
      <c r="B82" s="110" t="s">
        <v>142</v>
      </c>
      <c r="C82" s="110" t="s">
        <v>143</v>
      </c>
      <c r="D82" s="110" t="s">
        <v>144</v>
      </c>
      <c r="E82" s="110">
        <v>0.33</v>
      </c>
      <c r="F82" s="111">
        <f>TRUNC(25.62,2)</f>
        <v>25.62</v>
      </c>
      <c r="G82" s="79">
        <f>TRUNC(E82*F82,2)</f>
        <v>8.45</v>
      </c>
      <c r="H82" s="73"/>
      <c r="I82" s="73"/>
      <c r="J82" s="110"/>
      <c r="K82" s="110"/>
      <c r="L82" s="110"/>
    </row>
    <row r="83" spans="1:12" s="80" customFormat="1" ht="13.5">
      <c r="A83" s="110"/>
      <c r="B83" s="110" t="s">
        <v>156</v>
      </c>
      <c r="C83" s="110" t="s">
        <v>91</v>
      </c>
      <c r="D83" s="110" t="s">
        <v>6</v>
      </c>
      <c r="E83" s="94">
        <v>0.069</v>
      </c>
      <c r="F83" s="111">
        <f>TRUNC(24.73,2)</f>
        <v>24.73</v>
      </c>
      <c r="G83" s="79">
        <f>TRUNC(E83*F83,2)</f>
        <v>1.7</v>
      </c>
      <c r="H83" s="73"/>
      <c r="I83" s="73"/>
      <c r="J83" s="110"/>
      <c r="K83" s="110"/>
      <c r="L83" s="110"/>
    </row>
    <row r="84" spans="1:12" s="80" customFormat="1" ht="13.5">
      <c r="A84" s="110"/>
      <c r="B84" s="110" t="s">
        <v>166</v>
      </c>
      <c r="C84" s="110" t="s">
        <v>167</v>
      </c>
      <c r="D84" s="110" t="s">
        <v>6</v>
      </c>
      <c r="E84" s="94">
        <v>0.187</v>
      </c>
      <c r="F84" s="111">
        <f>TRUNC(32.66,2)</f>
        <v>32.66</v>
      </c>
      <c r="G84" s="79">
        <f>TRUNC(E84*F84,2)</f>
        <v>6.1</v>
      </c>
      <c r="H84" s="73"/>
      <c r="I84" s="73"/>
      <c r="J84" s="110"/>
      <c r="K84" s="110"/>
      <c r="L84" s="110"/>
    </row>
    <row r="85" spans="1:12" s="80" customFormat="1" ht="13.5">
      <c r="A85" s="110"/>
      <c r="B85" s="110"/>
      <c r="C85" s="110"/>
      <c r="D85" s="110"/>
      <c r="E85" s="110" t="s">
        <v>7</v>
      </c>
      <c r="F85" s="111"/>
      <c r="G85" s="79">
        <f>TRUNC(SUM(G82:G84),2)</f>
        <v>16.25</v>
      </c>
      <c r="H85" s="73"/>
      <c r="I85" s="73"/>
      <c r="J85" s="110"/>
      <c r="K85" s="110"/>
      <c r="L85" s="110"/>
    </row>
    <row r="86" spans="1:9" s="56" customFormat="1" ht="13.5">
      <c r="A86" s="56" t="s">
        <v>194</v>
      </c>
      <c r="B86" s="56" t="s">
        <v>170</v>
      </c>
      <c r="C86" s="56" t="s">
        <v>171</v>
      </c>
      <c r="D86" s="56" t="s">
        <v>0</v>
      </c>
      <c r="E86" s="56">
        <v>41.8</v>
      </c>
      <c r="F86" s="57">
        <f>TRUNC(G90,2)</f>
        <v>3.76</v>
      </c>
      <c r="G86" s="66">
        <f>TRUNC(F86*1.2338,2)</f>
        <v>4.63</v>
      </c>
      <c r="H86" s="50">
        <f>TRUNC(E86*F86,2)</f>
        <v>157.16</v>
      </c>
      <c r="I86" s="50">
        <f>TRUNC(E86*G86,2)</f>
        <v>193.53</v>
      </c>
    </row>
    <row r="87" spans="1:12" s="80" customFormat="1" ht="13.5">
      <c r="A87" s="110"/>
      <c r="B87" s="110" t="s">
        <v>168</v>
      </c>
      <c r="C87" s="110" t="s">
        <v>169</v>
      </c>
      <c r="D87" s="110" t="s">
        <v>144</v>
      </c>
      <c r="E87" s="110">
        <v>0.16</v>
      </c>
      <c r="F87" s="111">
        <f>TRUNC(10.39,2)</f>
        <v>10.39</v>
      </c>
      <c r="G87" s="79">
        <f>TRUNC(E87*F87,2)</f>
        <v>1.66</v>
      </c>
      <c r="H87" s="73"/>
      <c r="I87" s="73"/>
      <c r="J87" s="110"/>
      <c r="K87" s="110"/>
      <c r="L87" s="110"/>
    </row>
    <row r="88" spans="1:12" s="80" customFormat="1" ht="13.5">
      <c r="A88" s="110"/>
      <c r="B88" s="110" t="s">
        <v>156</v>
      </c>
      <c r="C88" s="110" t="s">
        <v>91</v>
      </c>
      <c r="D88" s="110" t="s">
        <v>6</v>
      </c>
      <c r="E88" s="94">
        <v>0.014</v>
      </c>
      <c r="F88" s="111">
        <f>TRUNC(24.73,2)</f>
        <v>24.73</v>
      </c>
      <c r="G88" s="79">
        <f>TRUNC(E88*F88,2)</f>
        <v>0.34</v>
      </c>
      <c r="H88" s="73"/>
      <c r="I88" s="73"/>
      <c r="J88" s="110"/>
      <c r="K88" s="110"/>
      <c r="L88" s="110"/>
    </row>
    <row r="89" spans="1:12" s="80" customFormat="1" ht="13.5">
      <c r="A89" s="110"/>
      <c r="B89" s="110" t="s">
        <v>166</v>
      </c>
      <c r="C89" s="110" t="s">
        <v>167</v>
      </c>
      <c r="D89" s="110" t="s">
        <v>6</v>
      </c>
      <c r="E89" s="94">
        <v>0.054</v>
      </c>
      <c r="F89" s="111">
        <f>TRUNC(32.66,2)</f>
        <v>32.66</v>
      </c>
      <c r="G89" s="79">
        <f>TRUNC(E89*F89,2)</f>
        <v>1.76</v>
      </c>
      <c r="H89" s="73"/>
      <c r="I89" s="73"/>
      <c r="J89" s="110"/>
      <c r="K89" s="110"/>
      <c r="L89" s="110"/>
    </row>
    <row r="90" spans="1:12" s="80" customFormat="1" ht="13.5">
      <c r="A90" s="110"/>
      <c r="B90" s="110"/>
      <c r="C90" s="110"/>
      <c r="D90" s="110"/>
      <c r="E90" s="110" t="s">
        <v>7</v>
      </c>
      <c r="F90" s="111"/>
      <c r="G90" s="79">
        <f>TRUNC(SUM(G87:G89),2)</f>
        <v>3.76</v>
      </c>
      <c r="H90" s="73"/>
      <c r="I90" s="73"/>
      <c r="J90" s="110"/>
      <c r="K90" s="110"/>
      <c r="L90" s="110"/>
    </row>
    <row r="91" spans="1:9" s="41" customFormat="1" ht="15">
      <c r="A91" s="61" t="s">
        <v>48</v>
      </c>
      <c r="B91" s="63"/>
      <c r="C91" s="62"/>
      <c r="D91" s="63"/>
      <c r="E91" s="63"/>
      <c r="F91" s="63" t="s">
        <v>53</v>
      </c>
      <c r="G91" s="63"/>
      <c r="H91" s="109">
        <f>H68+H75+H81+H86</f>
        <v>65273.420000000006</v>
      </c>
      <c r="I91" s="65">
        <f>I68+I75+I81+I86</f>
        <v>80532.87</v>
      </c>
    </row>
    <row r="92" spans="1:9" s="40" customFormat="1" ht="15">
      <c r="A92" s="40" t="s">
        <v>20</v>
      </c>
      <c r="B92" s="59"/>
      <c r="C92" s="60" t="s">
        <v>62</v>
      </c>
      <c r="D92" s="60"/>
      <c r="E92" s="60"/>
      <c r="F92" s="60"/>
      <c r="G92" s="60"/>
      <c r="H92" s="60"/>
      <c r="I92" s="58"/>
    </row>
    <row r="93" spans="1:9" s="56" customFormat="1" ht="41.25">
      <c r="A93" s="56" t="s">
        <v>106</v>
      </c>
      <c r="B93" s="56" t="s">
        <v>180</v>
      </c>
      <c r="C93" s="56" t="s">
        <v>181</v>
      </c>
      <c r="D93" s="56" t="s">
        <v>11</v>
      </c>
      <c r="E93" s="56">
        <v>3</v>
      </c>
      <c r="F93" s="57">
        <f>TRUNC(G96,2)</f>
        <v>280.83</v>
      </c>
      <c r="G93" s="66">
        <f>TRUNC(F93*1.2338,2)</f>
        <v>346.48</v>
      </c>
      <c r="H93" s="50">
        <f>TRUNC(E93*F93,2)</f>
        <v>842.49</v>
      </c>
      <c r="I93" s="50">
        <f>TRUNC(E93*G93,2)</f>
        <v>1039.44</v>
      </c>
    </row>
    <row r="94" spans="2:9" s="80" customFormat="1" ht="13.5">
      <c r="B94" s="80" t="s">
        <v>112</v>
      </c>
      <c r="C94" s="80" t="s">
        <v>113</v>
      </c>
      <c r="D94" s="80" t="s">
        <v>6</v>
      </c>
      <c r="E94" s="80">
        <v>0.618</v>
      </c>
      <c r="F94" s="81">
        <f>TRUNC(17.54,2)</f>
        <v>17.54</v>
      </c>
      <c r="G94" s="79">
        <f>TRUNC(E94*F94,2)</f>
        <v>10.83</v>
      </c>
      <c r="H94" s="73"/>
      <c r="I94" s="73"/>
    </row>
    <row r="95" spans="2:9" s="80" customFormat="1" ht="27">
      <c r="B95" s="80" t="s">
        <v>182</v>
      </c>
      <c r="C95" s="80" t="s">
        <v>183</v>
      </c>
      <c r="D95" s="80" t="s">
        <v>11</v>
      </c>
      <c r="E95" s="80">
        <v>1</v>
      </c>
      <c r="F95" s="81">
        <f>TRUNC(270,2)</f>
        <v>270</v>
      </c>
      <c r="G95" s="79">
        <f>TRUNC(E95*F95,2)</f>
        <v>270</v>
      </c>
      <c r="H95" s="73"/>
      <c r="I95" s="73"/>
    </row>
    <row r="96" spans="5:9" s="80" customFormat="1" ht="13.5">
      <c r="E96" s="80" t="s">
        <v>7</v>
      </c>
      <c r="F96" s="81"/>
      <c r="G96" s="79">
        <f>TRUNC(SUM(G94:G95),2)</f>
        <v>280.83</v>
      </c>
      <c r="H96" s="73"/>
      <c r="I96" s="73"/>
    </row>
    <row r="97" spans="1:9" s="56" customFormat="1" ht="54.75">
      <c r="A97" s="56" t="s">
        <v>107</v>
      </c>
      <c r="B97" s="56" t="s">
        <v>188</v>
      </c>
      <c r="C97" s="56" t="s">
        <v>172</v>
      </c>
      <c r="D97" s="56" t="s">
        <v>173</v>
      </c>
      <c r="E97" s="56">
        <v>217.75</v>
      </c>
      <c r="F97" s="57">
        <f>TRUNC(12,2)</f>
        <v>12</v>
      </c>
      <c r="G97" s="66">
        <f>TRUNC(F97*1.2338,2)</f>
        <v>14.8</v>
      </c>
      <c r="H97" s="50">
        <f>TRUNC(E97*F97,2)</f>
        <v>2613</v>
      </c>
      <c r="I97" s="50">
        <f>TRUNC(E97*G97,2)</f>
        <v>3222.7</v>
      </c>
    </row>
    <row r="98" spans="2:9" s="80" customFormat="1" ht="27">
      <c r="B98" s="80" t="s">
        <v>174</v>
      </c>
      <c r="C98" s="80" t="s">
        <v>175</v>
      </c>
      <c r="D98" s="80" t="s">
        <v>173</v>
      </c>
      <c r="E98" s="80">
        <v>1</v>
      </c>
      <c r="F98" s="81">
        <f>TRUNC(12,2)</f>
        <v>12</v>
      </c>
      <c r="G98" s="79">
        <f>TRUNC(E98*F98,2)</f>
        <v>12</v>
      </c>
      <c r="H98" s="76"/>
      <c r="I98" s="76"/>
    </row>
    <row r="99" spans="5:9" s="80" customFormat="1" ht="13.5">
      <c r="E99" s="80" t="s">
        <v>7</v>
      </c>
      <c r="F99" s="81"/>
      <c r="G99" s="79">
        <f>TRUNC(SUM(G98:G98),2)</f>
        <v>12</v>
      </c>
      <c r="H99" s="76"/>
      <c r="I99" s="76"/>
    </row>
    <row r="100" spans="1:9" s="56" customFormat="1" ht="27">
      <c r="A100" s="56" t="s">
        <v>201</v>
      </c>
      <c r="B100" s="56" t="s">
        <v>176</v>
      </c>
      <c r="C100" s="56" t="s">
        <v>177</v>
      </c>
      <c r="D100" s="56" t="s">
        <v>0</v>
      </c>
      <c r="E100" s="56">
        <v>217.75</v>
      </c>
      <c r="F100" s="57">
        <f>TRUNC(G102,2)</f>
        <v>7.22</v>
      </c>
      <c r="G100" s="66">
        <f>TRUNC(F100*1.2338,2)</f>
        <v>8.9</v>
      </c>
      <c r="H100" s="50">
        <f>TRUNC(E100*F100,2)</f>
        <v>1572.15</v>
      </c>
      <c r="I100" s="50">
        <f>TRUNC(E100*G100,2)</f>
        <v>1937.97</v>
      </c>
    </row>
    <row r="101" spans="2:9" s="80" customFormat="1" ht="13.5">
      <c r="B101" s="80" t="s">
        <v>112</v>
      </c>
      <c r="C101" s="80" t="s">
        <v>113</v>
      </c>
      <c r="D101" s="80" t="s">
        <v>6</v>
      </c>
      <c r="E101" s="80">
        <v>0.41200000000000003</v>
      </c>
      <c r="F101" s="80">
        <f>TRUNC(17.54,2)</f>
        <v>17.54</v>
      </c>
      <c r="G101" s="79">
        <f>TRUNC(E101*F101,2)</f>
        <v>7.22</v>
      </c>
      <c r="H101" s="76"/>
      <c r="I101" s="76"/>
    </row>
    <row r="102" spans="5:9" s="80" customFormat="1" ht="13.5">
      <c r="E102" s="80" t="s">
        <v>7</v>
      </c>
      <c r="G102" s="79">
        <f>TRUNC(SUM(G101:G101),2)</f>
        <v>7.22</v>
      </c>
      <c r="H102" s="76"/>
      <c r="I102" s="76"/>
    </row>
    <row r="103" spans="1:9" s="56" customFormat="1" ht="45" customHeight="1">
      <c r="A103" s="56" t="s">
        <v>202</v>
      </c>
      <c r="B103" s="56" t="s">
        <v>189</v>
      </c>
      <c r="C103" s="56" t="s">
        <v>178</v>
      </c>
      <c r="D103" s="56" t="s">
        <v>179</v>
      </c>
      <c r="E103" s="56">
        <v>318</v>
      </c>
      <c r="F103" s="57">
        <f>TRUNC(G105,2)</f>
        <v>0.2</v>
      </c>
      <c r="G103" s="66">
        <f>TRUNC(F103*1.2338,2)</f>
        <v>0.24</v>
      </c>
      <c r="H103" s="50">
        <f>TRUNC(E103*F103,2)</f>
        <v>63.6</v>
      </c>
      <c r="I103" s="50">
        <f>TRUNC(E103*G103,2)</f>
        <v>76.32</v>
      </c>
    </row>
    <row r="104" spans="2:9" s="80" customFormat="1" ht="13.5">
      <c r="B104" s="80" t="s">
        <v>190</v>
      </c>
      <c r="C104" s="80" t="s">
        <v>191</v>
      </c>
      <c r="D104" s="80" t="s">
        <v>6</v>
      </c>
      <c r="E104" s="80">
        <v>0.00121</v>
      </c>
      <c r="F104" s="80">
        <f>TRUNC(168.8588,2)</f>
        <v>168.85</v>
      </c>
      <c r="G104" s="79">
        <f>TRUNC(E104*F104,2)</f>
        <v>0.2</v>
      </c>
      <c r="H104" s="76"/>
      <c r="I104" s="76"/>
    </row>
    <row r="105" spans="5:9" s="80" customFormat="1" ht="13.5">
      <c r="E105" s="80" t="s">
        <v>7</v>
      </c>
      <c r="G105" s="79">
        <f>TRUNC(SUM(G104:G104),2)</f>
        <v>0.2</v>
      </c>
      <c r="H105" s="76"/>
      <c r="I105" s="76"/>
    </row>
    <row r="106" spans="1:9" s="41" customFormat="1" ht="15">
      <c r="A106" s="61" t="s">
        <v>48</v>
      </c>
      <c r="B106" s="63"/>
      <c r="C106" s="62"/>
      <c r="D106" s="63"/>
      <c r="E106" s="63"/>
      <c r="F106" s="63" t="s">
        <v>56</v>
      </c>
      <c r="G106" s="63"/>
      <c r="H106" s="64">
        <f>H103+H100+H97+H93</f>
        <v>5091.24</v>
      </c>
      <c r="I106" s="64">
        <f>I103+I100+I97+I93</f>
        <v>6276.43</v>
      </c>
    </row>
    <row r="107" spans="1:9" s="41" customFormat="1" ht="15">
      <c r="A107" s="61" t="s">
        <v>48</v>
      </c>
      <c r="B107" s="63"/>
      <c r="C107" s="62"/>
      <c r="D107" s="63"/>
      <c r="E107" s="63"/>
      <c r="F107" s="63" t="s">
        <v>57</v>
      </c>
      <c r="G107" s="63"/>
      <c r="H107" s="109">
        <f>H66+H54+H30+H91+H106</f>
        <v>185541.47</v>
      </c>
      <c r="I107" s="65">
        <f>I66+I54+I30+I91+I106</f>
        <v>269471.81</v>
      </c>
    </row>
    <row r="108" spans="1:9" s="41" customFormat="1" ht="15">
      <c r="A108" s="61" t="s">
        <v>48</v>
      </c>
      <c r="B108" s="63"/>
      <c r="C108" s="62"/>
      <c r="D108" s="63"/>
      <c r="E108" s="63"/>
      <c r="F108" s="63"/>
      <c r="G108" s="63"/>
      <c r="H108" s="64"/>
      <c r="I108" s="65"/>
    </row>
  </sheetData>
  <sheetProtection/>
  <mergeCells count="13">
    <mergeCell ref="A9:G9"/>
    <mergeCell ref="A10:A11"/>
    <mergeCell ref="B10:B11"/>
    <mergeCell ref="C10:C11"/>
    <mergeCell ref="D10:D11"/>
    <mergeCell ref="E10:E11"/>
    <mergeCell ref="F10:I10"/>
    <mergeCell ref="D3:G3"/>
    <mergeCell ref="D4:G4"/>
    <mergeCell ref="D5:G5"/>
    <mergeCell ref="D6:G6"/>
    <mergeCell ref="D7:G7"/>
    <mergeCell ref="D8:G8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70" zoomScaleSheetLayoutView="70" zoomScalePageLayoutView="0" workbookViewId="0" topLeftCell="A1">
      <selection activeCell="A10" sqref="A10:A11"/>
    </sheetView>
  </sheetViews>
  <sheetFormatPr defaultColWidth="9.140625" defaultRowHeight="15"/>
  <cols>
    <col min="2" max="2" width="23.7109375" style="0" customWidth="1"/>
    <col min="3" max="3" width="104.00390625" style="1" customWidth="1"/>
    <col min="4" max="4" width="11.140625" style="0" customWidth="1"/>
    <col min="5" max="5" width="11.7109375" style="0" customWidth="1"/>
    <col min="6" max="6" width="17.57421875" style="0" bestFit="1" customWidth="1"/>
    <col min="7" max="7" width="21.421875" style="0" bestFit="1" customWidth="1"/>
    <col min="8" max="8" width="17.421875" style="0" customWidth="1"/>
    <col min="9" max="9" width="18.7109375" style="0" bestFit="1" customWidth="1"/>
  </cols>
  <sheetData>
    <row r="1" spans="1:7" ht="15">
      <c r="A1" s="2"/>
      <c r="B1" s="3"/>
      <c r="C1" s="4" t="s">
        <v>22</v>
      </c>
      <c r="D1" s="5"/>
      <c r="E1" s="6"/>
      <c r="F1" s="7"/>
      <c r="G1" s="8"/>
    </row>
    <row r="2" spans="1:7" ht="15">
      <c r="A2" s="9"/>
      <c r="B2" s="10"/>
      <c r="C2" s="11" t="s">
        <v>23</v>
      </c>
      <c r="D2" s="12"/>
      <c r="E2" s="13"/>
      <c r="F2" s="14"/>
      <c r="G2" s="15"/>
    </row>
    <row r="3" spans="1:7" ht="15">
      <c r="A3" s="9"/>
      <c r="B3" s="10"/>
      <c r="C3" s="11" t="s">
        <v>24</v>
      </c>
      <c r="D3" s="122" t="s">
        <v>77</v>
      </c>
      <c r="E3" s="123"/>
      <c r="F3" s="123"/>
      <c r="G3" s="124"/>
    </row>
    <row r="4" spans="1:7" ht="15.75" customHeight="1">
      <c r="A4" s="9"/>
      <c r="B4" s="10"/>
      <c r="C4" s="68" t="s">
        <v>204</v>
      </c>
      <c r="D4" s="125" t="s">
        <v>259</v>
      </c>
      <c r="E4" s="126"/>
      <c r="F4" s="126"/>
      <c r="G4" s="127"/>
    </row>
    <row r="5" spans="1:7" ht="30">
      <c r="A5" s="9"/>
      <c r="B5" s="10"/>
      <c r="C5" s="42" t="s">
        <v>203</v>
      </c>
      <c r="D5" s="128" t="s">
        <v>205</v>
      </c>
      <c r="E5" s="129"/>
      <c r="F5" s="129"/>
      <c r="G5" s="130"/>
    </row>
    <row r="6" spans="1:7" ht="15">
      <c r="A6" s="9"/>
      <c r="B6" s="10"/>
      <c r="C6" s="16" t="s">
        <v>225</v>
      </c>
      <c r="D6" s="131" t="s">
        <v>207</v>
      </c>
      <c r="E6" s="132"/>
      <c r="F6" s="132"/>
      <c r="G6" s="133"/>
    </row>
    <row r="7" spans="1:7" ht="15">
      <c r="A7" s="9"/>
      <c r="B7" s="10"/>
      <c r="C7" s="43"/>
      <c r="D7" s="131" t="s">
        <v>206</v>
      </c>
      <c r="E7" s="132"/>
      <c r="F7" s="132"/>
      <c r="G7" s="133"/>
    </row>
    <row r="8" spans="1:7" ht="15">
      <c r="A8" s="17"/>
      <c r="B8" s="18"/>
      <c r="C8" s="19"/>
      <c r="D8" s="134" t="s">
        <v>58</v>
      </c>
      <c r="E8" s="135"/>
      <c r="F8" s="135"/>
      <c r="G8" s="136"/>
    </row>
    <row r="9" spans="1:7" ht="17.25">
      <c r="A9" s="116" t="s">
        <v>261</v>
      </c>
      <c r="B9" s="117"/>
      <c r="C9" s="117"/>
      <c r="D9" s="117"/>
      <c r="E9" s="117"/>
      <c r="F9" s="117"/>
      <c r="G9" s="117"/>
    </row>
    <row r="10" spans="1:9" s="54" customFormat="1" ht="12.75" customHeight="1">
      <c r="A10" s="118" t="s">
        <v>26</v>
      </c>
      <c r="B10" s="119" t="s">
        <v>59</v>
      </c>
      <c r="C10" s="119" t="s">
        <v>27</v>
      </c>
      <c r="D10" s="118" t="s">
        <v>11</v>
      </c>
      <c r="E10" s="120" t="s">
        <v>28</v>
      </c>
      <c r="F10" s="121" t="s">
        <v>29</v>
      </c>
      <c r="G10" s="121"/>
      <c r="H10" s="121"/>
      <c r="I10" s="121"/>
    </row>
    <row r="11" spans="1:9" s="54" customFormat="1" ht="12.75" customHeight="1">
      <c r="A11" s="118"/>
      <c r="B11" s="119"/>
      <c r="C11" s="119"/>
      <c r="D11" s="118"/>
      <c r="E11" s="120"/>
      <c r="F11" s="55" t="s">
        <v>81</v>
      </c>
      <c r="G11" s="55" t="s">
        <v>82</v>
      </c>
      <c r="H11" s="55" t="s">
        <v>83</v>
      </c>
      <c r="I11" s="53" t="s">
        <v>84</v>
      </c>
    </row>
    <row r="12" spans="1:9" s="40" customFormat="1" ht="15">
      <c r="A12" s="40" t="s">
        <v>15</v>
      </c>
      <c r="B12" s="59"/>
      <c r="C12" s="60" t="s">
        <v>16</v>
      </c>
      <c r="D12" s="60"/>
      <c r="E12" s="60"/>
      <c r="F12" s="60"/>
      <c r="G12" s="60"/>
      <c r="H12" s="60"/>
      <c r="I12" s="58"/>
    </row>
    <row r="13" spans="1:11" s="51" customFormat="1" ht="27">
      <c r="A13" s="44" t="s">
        <v>8</v>
      </c>
      <c r="B13" s="45" t="s">
        <v>111</v>
      </c>
      <c r="C13" s="46" t="s">
        <v>138</v>
      </c>
      <c r="D13" s="47" t="s">
        <v>0</v>
      </c>
      <c r="E13" s="48">
        <v>6</v>
      </c>
      <c r="F13" s="49">
        <f>TRUNC('NÃO DESONERADA'!F13,2)</f>
        <v>239.52</v>
      </c>
      <c r="G13" s="66">
        <f>TRUNC(F13*1.2338,2)</f>
        <v>295.51</v>
      </c>
      <c r="H13" s="50">
        <f>TRUNC(E13*F13,2)</f>
        <v>1437.12</v>
      </c>
      <c r="I13" s="50">
        <f>TRUNC(E13*G13,2)</f>
        <v>1773.06</v>
      </c>
      <c r="K13" s="52"/>
    </row>
    <row r="14" spans="1:12" s="51" customFormat="1" ht="41.25">
      <c r="A14" s="44" t="s">
        <v>9</v>
      </c>
      <c r="B14" s="45" t="s">
        <v>116</v>
      </c>
      <c r="C14" s="56" t="s">
        <v>141</v>
      </c>
      <c r="D14" s="47" t="s">
        <v>0</v>
      </c>
      <c r="E14" s="49">
        <v>249.9</v>
      </c>
      <c r="F14" s="49">
        <f>TRUNC('NÃO DESONERADA'!F20,2)</f>
        <v>29.79</v>
      </c>
      <c r="G14" s="66">
        <f>TRUNC(F14*1.2338,2)</f>
        <v>36.75</v>
      </c>
      <c r="H14" s="50">
        <f>TRUNC(E14*F14,2)</f>
        <v>7444.52</v>
      </c>
      <c r="I14" s="50">
        <f>TRUNC(E14*G14,2)</f>
        <v>9183.82</v>
      </c>
      <c r="K14" s="52">
        <v>36.5</v>
      </c>
      <c r="L14" s="51">
        <f>K14*2</f>
        <v>73</v>
      </c>
    </row>
    <row r="15" spans="1:11" s="51" customFormat="1" ht="69">
      <c r="A15" s="44" t="s">
        <v>10</v>
      </c>
      <c r="B15" s="45" t="s">
        <v>223</v>
      </c>
      <c r="C15" s="56" t="s">
        <v>226</v>
      </c>
      <c r="D15" s="47" t="s">
        <v>219</v>
      </c>
      <c r="E15" s="49">
        <v>2</v>
      </c>
      <c r="F15" s="49">
        <f>TRUNC('NÃO DESONERADA'!F27,2)</f>
        <v>700</v>
      </c>
      <c r="G15" s="66">
        <f>TRUNC(F15*1.2338,2)</f>
        <v>863.66</v>
      </c>
      <c r="H15" s="50">
        <f>TRUNC(E15*F15,2)</f>
        <v>1400</v>
      </c>
      <c r="I15" s="50">
        <f>TRUNC(E15*G15,2)</f>
        <v>1727.32</v>
      </c>
      <c r="K15" s="52"/>
    </row>
    <row r="16" spans="1:9" s="41" customFormat="1" ht="15">
      <c r="A16" s="61" t="s">
        <v>48</v>
      </c>
      <c r="B16" s="63"/>
      <c r="C16" s="62"/>
      <c r="D16" s="63"/>
      <c r="E16" s="63"/>
      <c r="F16" s="63"/>
      <c r="G16" s="63" t="s">
        <v>52</v>
      </c>
      <c r="H16" s="109">
        <f>H13+H14+H15</f>
        <v>10281.64</v>
      </c>
      <c r="I16" s="109">
        <f>I13+I14+I15</f>
        <v>12684.199999999999</v>
      </c>
    </row>
    <row r="17" spans="1:9" s="40" customFormat="1" ht="15">
      <c r="A17" s="40" t="s">
        <v>17</v>
      </c>
      <c r="B17" s="59"/>
      <c r="C17" s="60" t="s">
        <v>47</v>
      </c>
      <c r="D17" s="60"/>
      <c r="E17" s="60"/>
      <c r="F17" s="60"/>
      <c r="G17" s="60"/>
      <c r="H17" s="60"/>
      <c r="I17" s="58"/>
    </row>
    <row r="18" spans="1:9" s="56" customFormat="1" ht="49.5" customHeight="1">
      <c r="A18" s="56" t="s">
        <v>49</v>
      </c>
      <c r="B18" s="56" t="s">
        <v>211</v>
      </c>
      <c r="C18" s="56" t="s">
        <v>212</v>
      </c>
      <c r="D18" s="66" t="s">
        <v>0</v>
      </c>
      <c r="E18" s="49">
        <v>531</v>
      </c>
      <c r="F18" s="66">
        <f>TRUNC('NÃO DESONERADA'!F32,2)</f>
        <v>61.92</v>
      </c>
      <c r="G18" s="66">
        <f>TRUNC(F18*1.2338,2)</f>
        <v>76.39</v>
      </c>
      <c r="H18" s="50">
        <f>TRUNC(E18*F18,2)</f>
        <v>32879.52</v>
      </c>
      <c r="I18" s="50">
        <f>TRUNC(E18*G18,2)</f>
        <v>40563.09</v>
      </c>
    </row>
    <row r="19" spans="1:9" s="56" customFormat="1" ht="54.75">
      <c r="A19" s="56" t="s">
        <v>17</v>
      </c>
      <c r="B19" s="56" t="s">
        <v>192</v>
      </c>
      <c r="C19" s="56" t="s">
        <v>224</v>
      </c>
      <c r="D19" s="66" t="s">
        <v>0</v>
      </c>
      <c r="E19" s="49">
        <v>531</v>
      </c>
      <c r="F19" s="66">
        <f>TRUNC('NÃO DESONERADA'!F38,2)</f>
        <v>163.72</v>
      </c>
      <c r="G19" s="66">
        <f>TRUNC(F19*1.2338,2)</f>
        <v>201.99</v>
      </c>
      <c r="H19" s="50">
        <f>TRUNC(E19*F19,2)</f>
        <v>86935.32</v>
      </c>
      <c r="I19" s="50">
        <f>TRUNC(E19*G19,2)</f>
        <v>107256.69</v>
      </c>
    </row>
    <row r="20" spans="1:9" s="41" customFormat="1" ht="15">
      <c r="A20" s="61" t="s">
        <v>48</v>
      </c>
      <c r="B20" s="63"/>
      <c r="C20" s="62"/>
      <c r="D20" s="63"/>
      <c r="E20" s="63"/>
      <c r="F20" s="63"/>
      <c r="G20" s="63" t="s">
        <v>105</v>
      </c>
      <c r="H20" s="64">
        <f>H19</f>
        <v>86935.32</v>
      </c>
      <c r="I20" s="64">
        <f>I19+I18</f>
        <v>147819.78</v>
      </c>
    </row>
    <row r="21" spans="1:9" s="40" customFormat="1" ht="15">
      <c r="A21" s="40" t="s">
        <v>18</v>
      </c>
      <c r="B21" s="59"/>
      <c r="C21" s="60" t="s">
        <v>60</v>
      </c>
      <c r="D21" s="60"/>
      <c r="E21" s="60"/>
      <c r="F21" s="60"/>
      <c r="G21" s="60"/>
      <c r="H21" s="60"/>
      <c r="I21" s="58"/>
    </row>
    <row r="22" spans="1:9" s="56" customFormat="1" ht="41.25">
      <c r="A22" s="107" t="s">
        <v>50</v>
      </c>
      <c r="B22" s="107" t="s">
        <v>193</v>
      </c>
      <c r="C22" s="107" t="s">
        <v>210</v>
      </c>
      <c r="D22" s="107" t="s">
        <v>0</v>
      </c>
      <c r="E22" s="107">
        <v>297.99</v>
      </c>
      <c r="F22" s="108">
        <f>'NÃO DESONERADA'!F56</f>
        <v>60.27</v>
      </c>
      <c r="G22" s="66">
        <f>TRUNC(F22*1.2338,2)</f>
        <v>74.36</v>
      </c>
      <c r="H22" s="50">
        <f>TRUNC(E22*F22,2)</f>
        <v>17959.85</v>
      </c>
      <c r="I22" s="50">
        <f>TRUNC(E22*G22,2)</f>
        <v>22158.53</v>
      </c>
    </row>
    <row r="23" spans="1:9" s="41" customFormat="1" ht="15">
      <c r="A23" s="61" t="s">
        <v>48</v>
      </c>
      <c r="B23" s="63"/>
      <c r="C23" s="62"/>
      <c r="D23" s="63"/>
      <c r="E23" s="63"/>
      <c r="F23" s="63"/>
      <c r="G23" s="63" t="s">
        <v>51</v>
      </c>
      <c r="H23" s="67">
        <f>H22</f>
        <v>17959.85</v>
      </c>
      <c r="I23" s="67">
        <f>I22</f>
        <v>22158.53</v>
      </c>
    </row>
    <row r="24" spans="1:9" s="40" customFormat="1" ht="15">
      <c r="A24" s="40" t="s">
        <v>19</v>
      </c>
      <c r="B24" s="59"/>
      <c r="C24" s="60" t="s">
        <v>61</v>
      </c>
      <c r="D24" s="60"/>
      <c r="E24" s="60"/>
      <c r="F24" s="60"/>
      <c r="G24" s="60"/>
      <c r="H24" s="60"/>
      <c r="I24" s="58"/>
    </row>
    <row r="25" spans="1:9" s="56" customFormat="1" ht="41.25">
      <c r="A25" s="56" t="s">
        <v>12</v>
      </c>
      <c r="B25" s="56" t="s">
        <v>135</v>
      </c>
      <c r="C25" s="56" t="s">
        <v>165</v>
      </c>
      <c r="D25" s="66" t="s">
        <v>0</v>
      </c>
      <c r="E25" s="56">
        <v>41.8</v>
      </c>
      <c r="F25" s="66">
        <f>TRUNC('NÃO DESONERADA'!F68,2)</f>
        <v>22.87</v>
      </c>
      <c r="G25" s="66">
        <f>TRUNC(F25*1.2338,2)</f>
        <v>28.21</v>
      </c>
      <c r="H25" s="50">
        <f>TRUNC(E25*F25,2)</f>
        <v>955.96</v>
      </c>
      <c r="I25" s="50">
        <f>TRUNC(E25*G25,2)</f>
        <v>1179.17</v>
      </c>
    </row>
    <row r="26" spans="1:12" s="56" customFormat="1" ht="27">
      <c r="A26" s="56" t="s">
        <v>13</v>
      </c>
      <c r="B26" s="56" t="s">
        <v>159</v>
      </c>
      <c r="C26" s="56" t="s">
        <v>160</v>
      </c>
      <c r="D26" s="56" t="s">
        <v>0</v>
      </c>
      <c r="E26" s="49">
        <v>531</v>
      </c>
      <c r="F26" s="57">
        <f>TRUNC('NÃO DESONERADA'!F75,2)</f>
        <v>119.55</v>
      </c>
      <c r="G26" s="66">
        <f>TRUNC(F26*1.2338,2)</f>
        <v>147.5</v>
      </c>
      <c r="H26" s="50">
        <f>TRUNC(E26*F26,2)</f>
        <v>63481.05</v>
      </c>
      <c r="I26" s="50">
        <f>TRUNC(E26*G26,2)</f>
        <v>78322.5</v>
      </c>
      <c r="L26" s="56">
        <v>9.9</v>
      </c>
    </row>
    <row r="27" spans="1:9" s="56" customFormat="1" ht="27">
      <c r="A27" s="56" t="s">
        <v>14</v>
      </c>
      <c r="B27" s="56" t="s">
        <v>186</v>
      </c>
      <c r="C27" s="56" t="s">
        <v>187</v>
      </c>
      <c r="D27" s="56" t="s">
        <v>0</v>
      </c>
      <c r="E27" s="56">
        <v>41.8</v>
      </c>
      <c r="F27" s="57">
        <f>TRUNC('NÃO DESONERADA'!F81,2)</f>
        <v>16.25</v>
      </c>
      <c r="G27" s="66">
        <f>TRUNC(F27*1.2338,2)</f>
        <v>20.04</v>
      </c>
      <c r="H27" s="50">
        <f>TRUNC(E27*F27,2)</f>
        <v>679.25</v>
      </c>
      <c r="I27" s="50">
        <f>TRUNC(E27*G27,2)</f>
        <v>837.67</v>
      </c>
    </row>
    <row r="28" spans="1:9" s="56" customFormat="1" ht="13.5">
      <c r="A28" s="56" t="s">
        <v>194</v>
      </c>
      <c r="B28" s="56" t="s">
        <v>170</v>
      </c>
      <c r="C28" s="56" t="s">
        <v>171</v>
      </c>
      <c r="D28" s="56" t="s">
        <v>0</v>
      </c>
      <c r="E28" s="56">
        <v>41.8</v>
      </c>
      <c r="F28" s="57">
        <f>TRUNC('NÃO DESONERADA'!F86,2)</f>
        <v>3.76</v>
      </c>
      <c r="G28" s="66">
        <f>TRUNC(F28*1.2338,2)</f>
        <v>4.63</v>
      </c>
      <c r="H28" s="50">
        <f>TRUNC(E28*F28,2)</f>
        <v>157.16</v>
      </c>
      <c r="I28" s="50">
        <f>TRUNC(E28*G28,2)</f>
        <v>193.53</v>
      </c>
    </row>
    <row r="29" spans="1:9" s="41" customFormat="1" ht="15">
      <c r="A29" s="61" t="s">
        <v>48</v>
      </c>
      <c r="B29" s="63"/>
      <c r="C29" s="62"/>
      <c r="D29" s="63"/>
      <c r="E29" s="63"/>
      <c r="F29" s="63" t="s">
        <v>53</v>
      </c>
      <c r="G29" s="63"/>
      <c r="H29" s="109">
        <f>H25+H26+H27+H28</f>
        <v>65273.420000000006</v>
      </c>
      <c r="I29" s="109">
        <f>I25+I26+I27+I28</f>
        <v>80532.87</v>
      </c>
    </row>
    <row r="30" spans="1:9" s="40" customFormat="1" ht="15">
      <c r="A30" s="40" t="s">
        <v>20</v>
      </c>
      <c r="B30" s="59"/>
      <c r="C30" s="60" t="s">
        <v>62</v>
      </c>
      <c r="D30" s="60"/>
      <c r="E30" s="60"/>
      <c r="F30" s="60"/>
      <c r="G30" s="60"/>
      <c r="H30" s="60"/>
      <c r="I30" s="58"/>
    </row>
    <row r="31" spans="1:9" s="56" customFormat="1" ht="41.25">
      <c r="A31" s="56" t="s">
        <v>106</v>
      </c>
      <c r="B31" s="56" t="s">
        <v>180</v>
      </c>
      <c r="C31" s="56" t="s">
        <v>181</v>
      </c>
      <c r="D31" s="56" t="s">
        <v>11</v>
      </c>
      <c r="E31" s="56">
        <v>3</v>
      </c>
      <c r="F31" s="57">
        <f>TRUNC('NÃO DESONERADA'!F93,2)</f>
        <v>280.83</v>
      </c>
      <c r="G31" s="66">
        <f>TRUNC(F31*1.2338,2)</f>
        <v>346.48</v>
      </c>
      <c r="H31" s="50">
        <f>TRUNC(E31*F31,2)</f>
        <v>842.49</v>
      </c>
      <c r="I31" s="50">
        <f>TRUNC(E31*G31,2)</f>
        <v>1039.44</v>
      </c>
    </row>
    <row r="32" spans="1:9" s="56" customFormat="1" ht="54.75">
      <c r="A32" s="56" t="s">
        <v>107</v>
      </c>
      <c r="B32" s="56" t="s">
        <v>188</v>
      </c>
      <c r="C32" s="56" t="s">
        <v>172</v>
      </c>
      <c r="D32" s="56" t="s">
        <v>173</v>
      </c>
      <c r="E32" s="56">
        <v>217.75</v>
      </c>
      <c r="F32" s="57">
        <f>TRUNC('NÃO DESONERADA'!F97,2)</f>
        <v>12</v>
      </c>
      <c r="G32" s="66">
        <f>TRUNC(F32*1.2338,2)</f>
        <v>14.8</v>
      </c>
      <c r="H32" s="50">
        <f>TRUNC(E32*F32,2)</f>
        <v>2613</v>
      </c>
      <c r="I32" s="50">
        <f>TRUNC(E32*G32,2)</f>
        <v>3222.7</v>
      </c>
    </row>
    <row r="33" spans="1:9" s="56" customFormat="1" ht="27">
      <c r="A33" s="56" t="s">
        <v>201</v>
      </c>
      <c r="B33" s="56" t="s">
        <v>176</v>
      </c>
      <c r="C33" s="56" t="s">
        <v>177</v>
      </c>
      <c r="D33" s="56" t="s">
        <v>0</v>
      </c>
      <c r="E33" s="56">
        <v>217.75</v>
      </c>
      <c r="F33" s="57">
        <f>TRUNC('NÃO DESONERADA'!F100,2)</f>
        <v>7.22</v>
      </c>
      <c r="G33" s="66">
        <f>TRUNC(F33*1.2338,2)</f>
        <v>8.9</v>
      </c>
      <c r="H33" s="50">
        <f>TRUNC(E33*F33,2)</f>
        <v>1572.15</v>
      </c>
      <c r="I33" s="50">
        <f>TRUNC(E33*G33,2)</f>
        <v>1937.97</v>
      </c>
    </row>
    <row r="34" spans="1:9" s="56" customFormat="1" ht="45" customHeight="1">
      <c r="A34" s="56" t="s">
        <v>202</v>
      </c>
      <c r="B34" s="56" t="s">
        <v>189</v>
      </c>
      <c r="C34" s="56" t="s">
        <v>178</v>
      </c>
      <c r="D34" s="56" t="s">
        <v>179</v>
      </c>
      <c r="E34" s="56">
        <v>318</v>
      </c>
      <c r="F34" s="57">
        <f>TRUNC('NÃO DESONERADA'!F103,2)</f>
        <v>0.2</v>
      </c>
      <c r="G34" s="66">
        <f>TRUNC(F34*1.2338,2)</f>
        <v>0.24</v>
      </c>
      <c r="H34" s="50">
        <f>TRUNC(E34*F34,2)</f>
        <v>63.6</v>
      </c>
      <c r="I34" s="50">
        <f>TRUNC(E34*G34,2)</f>
        <v>76.32</v>
      </c>
    </row>
    <row r="35" spans="1:9" s="41" customFormat="1" ht="15">
      <c r="A35" s="61" t="s">
        <v>48</v>
      </c>
      <c r="B35" s="63"/>
      <c r="C35" s="62"/>
      <c r="D35" s="63"/>
      <c r="E35" s="63"/>
      <c r="F35" s="63" t="s">
        <v>56</v>
      </c>
      <c r="G35" s="63"/>
      <c r="H35" s="64">
        <f>H34+H33+H32+H31</f>
        <v>5091.24</v>
      </c>
      <c r="I35" s="64">
        <f>I34+I33+I32+I31</f>
        <v>6276.43</v>
      </c>
    </row>
    <row r="36" spans="1:9" s="41" customFormat="1" ht="15">
      <c r="A36" s="61" t="s">
        <v>48</v>
      </c>
      <c r="B36" s="63"/>
      <c r="C36" s="62"/>
      <c r="D36" s="63"/>
      <c r="E36" s="63"/>
      <c r="F36" s="63" t="s">
        <v>57</v>
      </c>
      <c r="G36" s="63"/>
      <c r="H36" s="109">
        <f>H23+H20+H16+H29+H35</f>
        <v>185541.47</v>
      </c>
      <c r="I36" s="109">
        <f>I23+I20+I16+I29+I35</f>
        <v>269471.81</v>
      </c>
    </row>
    <row r="37" spans="1:9" s="41" customFormat="1" ht="15">
      <c r="A37" s="61" t="s">
        <v>48</v>
      </c>
      <c r="B37" s="63"/>
      <c r="C37" s="62"/>
      <c r="D37" s="63"/>
      <c r="E37" s="63"/>
      <c r="F37" s="63"/>
      <c r="G37" s="63"/>
      <c r="H37" s="64"/>
      <c r="I37" s="109"/>
    </row>
  </sheetData>
  <sheetProtection/>
  <mergeCells count="13">
    <mergeCell ref="A9:G9"/>
    <mergeCell ref="A10:A11"/>
    <mergeCell ref="B10:B11"/>
    <mergeCell ref="C10:C11"/>
    <mergeCell ref="D10:D11"/>
    <mergeCell ref="E10:E11"/>
    <mergeCell ref="F10:I10"/>
    <mergeCell ref="D3:G3"/>
    <mergeCell ref="D4:G4"/>
    <mergeCell ref="D5:G5"/>
    <mergeCell ref="D6:G6"/>
    <mergeCell ref="D7:G7"/>
    <mergeCell ref="D8:G8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showZeros="0" view="pageBreakPreview" zoomScale="40" zoomScaleNormal="70" zoomScaleSheetLayoutView="40" zoomScalePageLayoutView="0" workbookViewId="0" topLeftCell="A1">
      <selection activeCell="A8" sqref="A8:F8"/>
    </sheetView>
  </sheetViews>
  <sheetFormatPr defaultColWidth="9.140625" defaultRowHeight="15"/>
  <cols>
    <col min="1" max="1" width="12.7109375" style="37" bestFit="1" customWidth="1"/>
    <col min="2" max="2" width="78.28125" style="37" bestFit="1" customWidth="1"/>
    <col min="3" max="3" width="18.00390625" style="37" customWidth="1"/>
    <col min="4" max="4" width="31.57421875" style="37" customWidth="1"/>
    <col min="5" max="5" width="18.57421875" style="37" customWidth="1"/>
    <col min="6" max="8" width="34.57421875" style="37" customWidth="1"/>
    <col min="9" max="9" width="33.140625" style="37" customWidth="1"/>
    <col min="10" max="10" width="21.28125" style="22" bestFit="1" customWidth="1"/>
    <col min="11" max="11" width="19.140625" style="31" bestFit="1" customWidth="1"/>
    <col min="12" max="16384" width="8.8515625" style="22" customWidth="1"/>
  </cols>
  <sheetData>
    <row r="1" spans="1:10" ht="39.75" customHeight="1">
      <c r="A1" s="153" t="s">
        <v>22</v>
      </c>
      <c r="B1" s="154"/>
      <c r="C1" s="154"/>
      <c r="D1" s="154"/>
      <c r="E1" s="154"/>
      <c r="F1" s="154"/>
      <c r="G1" s="154"/>
      <c r="H1" s="97"/>
      <c r="I1" s="20"/>
      <c r="J1" s="21"/>
    </row>
    <row r="2" spans="1:10" ht="39.75" customHeight="1">
      <c r="A2" s="155" t="s">
        <v>23</v>
      </c>
      <c r="B2" s="156"/>
      <c r="C2" s="156"/>
      <c r="D2" s="156"/>
      <c r="E2" s="156"/>
      <c r="F2" s="156"/>
      <c r="G2" s="156"/>
      <c r="H2" s="98"/>
      <c r="I2" s="23"/>
      <c r="J2" s="21"/>
    </row>
    <row r="3" spans="1:10" ht="39.75" customHeight="1">
      <c r="A3" s="155" t="s">
        <v>76</v>
      </c>
      <c r="B3" s="156"/>
      <c r="C3" s="156"/>
      <c r="D3" s="156"/>
      <c r="E3" s="156"/>
      <c r="F3" s="156"/>
      <c r="G3" s="156"/>
      <c r="H3" s="98"/>
      <c r="I3" s="23"/>
      <c r="J3" s="21"/>
    </row>
    <row r="4" spans="1:10" ht="39.75" customHeight="1">
      <c r="A4" s="157" t="s">
        <v>209</v>
      </c>
      <c r="B4" s="158"/>
      <c r="C4" s="158"/>
      <c r="D4" s="158"/>
      <c r="E4" s="158"/>
      <c r="F4" s="158"/>
      <c r="G4" s="158"/>
      <c r="H4" s="99"/>
      <c r="I4" s="23"/>
      <c r="J4" s="21"/>
    </row>
    <row r="5" spans="1:10" ht="70.5" customHeight="1">
      <c r="A5" s="159" t="s">
        <v>203</v>
      </c>
      <c r="B5" s="160"/>
      <c r="C5" s="160"/>
      <c r="D5" s="160"/>
      <c r="E5" s="160"/>
      <c r="F5" s="160"/>
      <c r="G5" s="160"/>
      <c r="H5" s="100"/>
      <c r="I5" s="23"/>
      <c r="J5" s="21"/>
    </row>
    <row r="6" spans="1:10" ht="39.75" customHeight="1">
      <c r="A6" s="162"/>
      <c r="B6" s="163"/>
      <c r="C6" s="163"/>
      <c r="D6" s="163"/>
      <c r="E6" s="163"/>
      <c r="F6" s="163"/>
      <c r="G6" s="102"/>
      <c r="H6" s="102"/>
      <c r="I6" s="23"/>
      <c r="J6" s="21"/>
    </row>
    <row r="7" spans="1:10" ht="39.75" customHeight="1">
      <c r="A7" s="169" t="s">
        <v>260</v>
      </c>
      <c r="B7" s="170"/>
      <c r="C7" s="170"/>
      <c r="D7" s="170"/>
      <c r="E7" s="170"/>
      <c r="F7" s="170"/>
      <c r="G7" s="170"/>
      <c r="H7" s="103"/>
      <c r="I7" s="23"/>
      <c r="J7" s="21"/>
    </row>
    <row r="8" spans="1:10" ht="39.75" customHeight="1">
      <c r="A8" s="164"/>
      <c r="B8" s="165"/>
      <c r="C8" s="165"/>
      <c r="D8" s="165"/>
      <c r="E8" s="165"/>
      <c r="F8" s="165"/>
      <c r="G8" s="104"/>
      <c r="H8" s="104"/>
      <c r="I8" s="24"/>
      <c r="J8" s="21"/>
    </row>
    <row r="9" spans="1:10" ht="39.75" customHeight="1">
      <c r="A9" s="166" t="s">
        <v>30</v>
      </c>
      <c r="B9" s="167"/>
      <c r="C9" s="167"/>
      <c r="D9" s="167"/>
      <c r="E9" s="167"/>
      <c r="F9" s="167"/>
      <c r="G9" s="167"/>
      <c r="H9" s="167"/>
      <c r="I9" s="168"/>
      <c r="J9" s="21"/>
    </row>
    <row r="10" spans="1:12" ht="39.75" customHeight="1">
      <c r="A10" s="148" t="s">
        <v>26</v>
      </c>
      <c r="B10" s="148" t="s">
        <v>31</v>
      </c>
      <c r="C10" s="151" t="s">
        <v>32</v>
      </c>
      <c r="D10" s="161"/>
      <c r="E10" s="161"/>
      <c r="F10" s="161"/>
      <c r="G10" s="101"/>
      <c r="H10" s="101"/>
      <c r="I10" s="25"/>
      <c r="J10" s="21"/>
      <c r="K10" s="38"/>
      <c r="L10" s="26"/>
    </row>
    <row r="11" spans="1:12" ht="39.75" customHeight="1">
      <c r="A11" s="149"/>
      <c r="B11" s="149"/>
      <c r="C11" s="151" t="s">
        <v>33</v>
      </c>
      <c r="D11" s="152"/>
      <c r="E11" s="151" t="s">
        <v>34</v>
      </c>
      <c r="F11" s="152"/>
      <c r="G11" s="151" t="s">
        <v>262</v>
      </c>
      <c r="H11" s="152"/>
      <c r="I11" s="25" t="s">
        <v>35</v>
      </c>
      <c r="J11" s="21"/>
      <c r="K11" s="38"/>
      <c r="L11" s="26"/>
    </row>
    <row r="12" spans="1:10" ht="39.75" customHeight="1">
      <c r="A12" s="150"/>
      <c r="B12" s="150"/>
      <c r="C12" s="27" t="s">
        <v>36</v>
      </c>
      <c r="D12" s="28" t="s">
        <v>37</v>
      </c>
      <c r="E12" s="27" t="s">
        <v>36</v>
      </c>
      <c r="F12" s="28" t="s">
        <v>37</v>
      </c>
      <c r="G12" s="27" t="s">
        <v>36</v>
      </c>
      <c r="H12" s="28" t="s">
        <v>37</v>
      </c>
      <c r="I12" s="25" t="s">
        <v>38</v>
      </c>
      <c r="J12" s="21"/>
    </row>
    <row r="13" spans="1:10" ht="39.75" customHeight="1">
      <c r="A13" s="143"/>
      <c r="B13" s="143"/>
      <c r="C13" s="29"/>
      <c r="D13" s="29"/>
      <c r="E13" s="29"/>
      <c r="F13" s="29"/>
      <c r="G13" s="29"/>
      <c r="H13" s="29"/>
      <c r="I13" s="30"/>
      <c r="J13" s="31"/>
    </row>
    <row r="14" spans="1:11" ht="39.75" customHeight="1">
      <c r="A14" s="32" t="s">
        <v>15</v>
      </c>
      <c r="B14" s="33" t="s">
        <v>16</v>
      </c>
      <c r="C14" s="34">
        <v>1</v>
      </c>
      <c r="D14" s="87">
        <f>C14*I14</f>
        <v>12684.199999999999</v>
      </c>
      <c r="E14" s="82">
        <v>0</v>
      </c>
      <c r="F14" s="87">
        <f>E14*I14</f>
        <v>0</v>
      </c>
      <c r="G14" s="82">
        <v>0</v>
      </c>
      <c r="H14" s="87">
        <f>G14*I14</f>
        <v>0</v>
      </c>
      <c r="I14" s="88">
        <v>12684.199999999999</v>
      </c>
      <c r="J14" s="35"/>
      <c r="K14" s="39"/>
    </row>
    <row r="15" spans="1:11" ht="24">
      <c r="A15" s="32" t="s">
        <v>17</v>
      </c>
      <c r="B15" s="36" t="s">
        <v>47</v>
      </c>
      <c r="C15" s="34">
        <v>1</v>
      </c>
      <c r="D15" s="87">
        <f>C15*I15</f>
        <v>147819.78</v>
      </c>
      <c r="E15" s="82">
        <v>0</v>
      </c>
      <c r="F15" s="87">
        <f>E15*I15</f>
        <v>0</v>
      </c>
      <c r="G15" s="82"/>
      <c r="H15" s="87">
        <f>G15*I15</f>
        <v>0</v>
      </c>
      <c r="I15" s="88">
        <v>147819.78</v>
      </c>
      <c r="J15" s="35"/>
      <c r="K15" s="39"/>
    </row>
    <row r="16" spans="1:11" ht="39.75" customHeight="1">
      <c r="A16" s="32" t="s">
        <v>18</v>
      </c>
      <c r="B16" s="33" t="s">
        <v>75</v>
      </c>
      <c r="C16" s="82">
        <v>0</v>
      </c>
      <c r="D16" s="87">
        <f>C16*I16</f>
        <v>0</v>
      </c>
      <c r="E16" s="34">
        <v>1</v>
      </c>
      <c r="F16" s="87">
        <f>E16*I16</f>
        <v>22158.53</v>
      </c>
      <c r="G16" s="82">
        <v>0</v>
      </c>
      <c r="H16" s="87">
        <f>G16*I16</f>
        <v>0</v>
      </c>
      <c r="I16" s="88">
        <v>22158.53</v>
      </c>
      <c r="J16" s="35"/>
      <c r="K16" s="39"/>
    </row>
    <row r="17" spans="1:11" ht="39.75" customHeight="1">
      <c r="A17" s="32" t="s">
        <v>19</v>
      </c>
      <c r="B17" s="33" t="s">
        <v>21</v>
      </c>
      <c r="C17" s="82"/>
      <c r="D17" s="87">
        <f>C17*I17</f>
        <v>0</v>
      </c>
      <c r="E17" s="82">
        <v>0</v>
      </c>
      <c r="F17" s="87">
        <f>E17*I17</f>
        <v>0</v>
      </c>
      <c r="G17" s="34">
        <v>1</v>
      </c>
      <c r="H17" s="87">
        <f>G17*I17</f>
        <v>80532.87</v>
      </c>
      <c r="I17" s="88">
        <v>80532.87</v>
      </c>
      <c r="J17" s="35"/>
      <c r="K17" s="39"/>
    </row>
    <row r="18" spans="1:11" ht="39.75" customHeight="1">
      <c r="A18" s="32" t="s">
        <v>20</v>
      </c>
      <c r="B18" s="33" t="s">
        <v>39</v>
      </c>
      <c r="C18" s="34">
        <v>0.33</v>
      </c>
      <c r="D18" s="87">
        <f>C18*I18</f>
        <v>2071.2219</v>
      </c>
      <c r="E18" s="34">
        <v>0.33</v>
      </c>
      <c r="F18" s="87">
        <f>E18*I18</f>
        <v>2071.2219</v>
      </c>
      <c r="G18" s="34">
        <v>0.34</v>
      </c>
      <c r="H18" s="87">
        <f>G18*I18</f>
        <v>2133.9862000000003</v>
      </c>
      <c r="I18" s="88">
        <v>6276.43</v>
      </c>
      <c r="J18" s="35"/>
      <c r="K18" s="39"/>
    </row>
    <row r="19" spans="1:10" ht="39.75" customHeight="1">
      <c r="A19" s="83"/>
      <c r="B19" s="84"/>
      <c r="C19" s="85"/>
      <c r="D19" s="86"/>
      <c r="E19" s="86"/>
      <c r="F19" s="86"/>
      <c r="G19" s="86"/>
      <c r="H19" s="86"/>
      <c r="I19" s="89">
        <f>SUM(I14:I18)</f>
        <v>269471.81</v>
      </c>
      <c r="J19" s="35"/>
    </row>
    <row r="20" spans="1:10" ht="39.75" customHeight="1">
      <c r="A20" s="144" t="s">
        <v>40</v>
      </c>
      <c r="B20" s="145"/>
      <c r="C20" s="146">
        <f>SUM(D14:D18)</f>
        <v>162575.20190000001</v>
      </c>
      <c r="D20" s="147"/>
      <c r="E20" s="146">
        <f>SUM(F14:F18)</f>
        <v>24229.7519</v>
      </c>
      <c r="F20" s="147"/>
      <c r="G20" s="146">
        <f>SUM(H14:H18)</f>
        <v>82666.8562</v>
      </c>
      <c r="H20" s="147"/>
      <c r="I20" s="90"/>
      <c r="J20" s="31"/>
    </row>
    <row r="21" spans="1:10" ht="39.75" customHeight="1">
      <c r="A21" s="144" t="s">
        <v>41</v>
      </c>
      <c r="B21" s="145"/>
      <c r="C21" s="146">
        <f>C20</f>
        <v>162575.20190000001</v>
      </c>
      <c r="D21" s="147"/>
      <c r="E21" s="146">
        <f>C21+E20</f>
        <v>186804.95380000002</v>
      </c>
      <c r="F21" s="147"/>
      <c r="G21" s="146">
        <f>E21+G20</f>
        <v>269471.81</v>
      </c>
      <c r="H21" s="147"/>
      <c r="I21" s="91"/>
      <c r="J21" s="31"/>
    </row>
    <row r="22" spans="1:10" ht="39.75" customHeight="1">
      <c r="A22" s="137" t="s">
        <v>42</v>
      </c>
      <c r="B22" s="138"/>
      <c r="C22" s="139">
        <f>C20/I19</f>
        <v>0.6033106093732031</v>
      </c>
      <c r="D22" s="140"/>
      <c r="E22" s="139">
        <f>E20/I19</f>
        <v>0.08991572031226569</v>
      </c>
      <c r="F22" s="140"/>
      <c r="G22" s="139">
        <f>G20/I19</f>
        <v>0.30677367031453123</v>
      </c>
      <c r="H22" s="140"/>
      <c r="I22" s="92"/>
      <c r="J22" s="31"/>
    </row>
    <row r="23" spans="1:10" ht="39.75" customHeight="1">
      <c r="A23" s="137" t="s">
        <v>43</v>
      </c>
      <c r="B23" s="138"/>
      <c r="C23" s="139">
        <f>C22</f>
        <v>0.6033106093732031</v>
      </c>
      <c r="D23" s="140"/>
      <c r="E23" s="141">
        <f>C23+E22</f>
        <v>0.6932263296854688</v>
      </c>
      <c r="F23" s="142"/>
      <c r="G23" s="141">
        <f>E23+G22</f>
        <v>1</v>
      </c>
      <c r="H23" s="142"/>
      <c r="I23" s="93"/>
      <c r="J23" s="31"/>
    </row>
  </sheetData>
  <sheetProtection/>
  <mergeCells count="32">
    <mergeCell ref="A7:G7"/>
    <mergeCell ref="G11:H11"/>
    <mergeCell ref="G20:H20"/>
    <mergeCell ref="G21:H21"/>
    <mergeCell ref="G22:H22"/>
    <mergeCell ref="G23:H23"/>
    <mergeCell ref="E20:F20"/>
    <mergeCell ref="A21:B21"/>
    <mergeCell ref="C21:D21"/>
    <mergeCell ref="E21:F21"/>
    <mergeCell ref="A1:G1"/>
    <mergeCell ref="A2:G2"/>
    <mergeCell ref="A3:G3"/>
    <mergeCell ref="A4:G4"/>
    <mergeCell ref="A5:G5"/>
    <mergeCell ref="C10:F10"/>
    <mergeCell ref="A6:F6"/>
    <mergeCell ref="A8:F8"/>
    <mergeCell ref="A10:A12"/>
    <mergeCell ref="A9:I9"/>
    <mergeCell ref="A13:B13"/>
    <mergeCell ref="A20:B20"/>
    <mergeCell ref="C20:D20"/>
    <mergeCell ref="B10:B12"/>
    <mergeCell ref="C11:D11"/>
    <mergeCell ref="E11:F11"/>
    <mergeCell ref="A23:B23"/>
    <mergeCell ref="C23:D23"/>
    <mergeCell ref="E23:F23"/>
    <mergeCell ref="A22:B22"/>
    <mergeCell ref="C22:D22"/>
    <mergeCell ref="E22:F22"/>
  </mergeCells>
  <printOptions horizontalCentered="1" verticalCentered="1"/>
  <pageMargins left="0.3937007874015748" right="0.3937007874015748" top="0.984251968503937" bottom="0.3937007874015748" header="0" footer="0"/>
  <pageSetup horizontalDpi="600" verticalDpi="600" orientation="landscape" paperSize="9" scale="33" r:id="rId2"/>
  <headerFooter alignWithMargins="0">
    <oddFooter>&amp;C&amp;14&amp;A&amp;R&amp;14Página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Usuário</cp:lastModifiedBy>
  <cp:lastPrinted>2022-10-14T12:16:00Z</cp:lastPrinted>
  <dcterms:created xsi:type="dcterms:W3CDTF">2017-11-22T13:14:51Z</dcterms:created>
  <dcterms:modified xsi:type="dcterms:W3CDTF">2022-10-14T12:44:24Z</dcterms:modified>
  <cp:category/>
  <cp:version/>
  <cp:contentType/>
  <cp:contentStatus/>
</cp:coreProperties>
</file>