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redo.cunha\Google Drive\SMPU 2022\Reforma Colégio Geraldo Osório\"/>
    </mc:Choice>
  </mc:AlternateContent>
  <xr:revisionPtr revIDLastSave="0" documentId="13_ncr:1_{6CDCC304-525D-4D06-AF7F-8CA469BA7B9D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MEMÓRIA DESONERADA" sheetId="3" r:id="rId1"/>
    <sheet name="ORÇAMENTO" sheetId="7" r:id="rId2"/>
    <sheet name="CRONOGRAMA" sheetId="2" r:id="rId3"/>
  </sheets>
  <definedNames>
    <definedName name="_xlnm.Print_Area" localSheetId="2">CRONOGRAMA!$A$1:$U$27</definedName>
    <definedName name="_xlnm.Print_Area" localSheetId="0">'MEMÓRIA DESONERADA'!$A$1:$I$2594</definedName>
    <definedName name="_xlnm.Print_Area" localSheetId="1">ORÇAMENTO!$A$1:$I$345</definedName>
    <definedName name="_xlnm.Database">#REF!</definedName>
    <definedName name="orcamento">#REF!</definedName>
    <definedName name="_xlnm.Print_Titles" localSheetId="0">'MEMÓRIA DESONERADA'!$10:$11</definedName>
    <definedName name="_xlnm.Print_Titles" localSheetId="1">ORÇAMENTO!$10:$11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422" i="3" l="1"/>
  <c r="G2422" i="3" s="1"/>
  <c r="F2421" i="3"/>
  <c r="G2421" i="3" s="1"/>
  <c r="F2420" i="3"/>
  <c r="G2420" i="3" s="1"/>
  <c r="F2419" i="3"/>
  <c r="G2419" i="3" s="1"/>
  <c r="F2418" i="3"/>
  <c r="G2418" i="3" s="1"/>
  <c r="F2417" i="3"/>
  <c r="G2417" i="3" s="1"/>
  <c r="F2416" i="3"/>
  <c r="G2416" i="3" s="1"/>
  <c r="F2415" i="3"/>
  <c r="G2415" i="3" s="1"/>
  <c r="F2414" i="3"/>
  <c r="G2414" i="3" s="1"/>
  <c r="E2365" i="3"/>
  <c r="F1092" i="3"/>
  <c r="G1092" i="3" s="1"/>
  <c r="F1091" i="3"/>
  <c r="G1091" i="3" s="1"/>
  <c r="G1090" i="3"/>
  <c r="G1089" i="3"/>
  <c r="G1088" i="3"/>
  <c r="F1078" i="3"/>
  <c r="G1078" i="3" s="1"/>
  <c r="F1077" i="3"/>
  <c r="G1077" i="3" s="1"/>
  <c r="G1076" i="3"/>
  <c r="G1075" i="3"/>
  <c r="G1074" i="3"/>
  <c r="E1005" i="3"/>
  <c r="E1000" i="3"/>
  <c r="F1008" i="3"/>
  <c r="G1008" i="3" s="1"/>
  <c r="F1007" i="3"/>
  <c r="G1007" i="3" s="1"/>
  <c r="G1006" i="3"/>
  <c r="F1003" i="3"/>
  <c r="G1003" i="3" s="1"/>
  <c r="F1002" i="3"/>
  <c r="G1002" i="3" s="1"/>
  <c r="G1001" i="3"/>
  <c r="E113" i="7"/>
  <c r="F997" i="3"/>
  <c r="G997" i="3" s="1"/>
  <c r="F996" i="3"/>
  <c r="G996" i="3" s="1"/>
  <c r="F995" i="3"/>
  <c r="G995" i="3" s="1"/>
  <c r="F994" i="3"/>
  <c r="G994" i="3" s="1"/>
  <c r="F993" i="3"/>
  <c r="G993" i="3" s="1"/>
  <c r="F888" i="3"/>
  <c r="G888" i="3" s="1"/>
  <c r="G889" i="3" s="1"/>
  <c r="F887" i="3"/>
  <c r="G887" i="3" s="1"/>
  <c r="E983" i="3"/>
  <c r="F989" i="3"/>
  <c r="G989" i="3" s="1"/>
  <c r="F988" i="3"/>
  <c r="G988" i="3" s="1"/>
  <c r="F987" i="3"/>
  <c r="G987" i="3" s="1"/>
  <c r="F986" i="3"/>
  <c r="G986" i="3" s="1"/>
  <c r="F985" i="3"/>
  <c r="G985" i="3" s="1"/>
  <c r="F984" i="3"/>
  <c r="G984" i="3" s="1"/>
  <c r="E340" i="7"/>
  <c r="E328" i="7"/>
  <c r="E308" i="7"/>
  <c r="E200" i="7"/>
  <c r="E199" i="7"/>
  <c r="E195" i="7"/>
  <c r="E194" i="7"/>
  <c r="E193" i="7"/>
  <c r="E174" i="7"/>
  <c r="E166" i="7"/>
  <c r="E124" i="7"/>
  <c r="E93" i="7"/>
  <c r="E60" i="7"/>
  <c r="E59" i="7"/>
  <c r="E55" i="7"/>
  <c r="E56" i="7" s="1"/>
  <c r="E53" i="7"/>
  <c r="E52" i="7"/>
  <c r="E50" i="7"/>
  <c r="E49" i="7"/>
  <c r="E48" i="7"/>
  <c r="E44" i="7"/>
  <c r="E43" i="7"/>
  <c r="E42" i="7" s="1"/>
  <c r="E28" i="7"/>
  <c r="F2073" i="3"/>
  <c r="G2073" i="3" s="1"/>
  <c r="F2072" i="3"/>
  <c r="G2072" i="3" s="1"/>
  <c r="F2071" i="3"/>
  <c r="G2071" i="3" s="1"/>
  <c r="F2070" i="3"/>
  <c r="G2070" i="3" s="1"/>
  <c r="F2066" i="3"/>
  <c r="G2066" i="3" s="1"/>
  <c r="F2065" i="3"/>
  <c r="G2065" i="3" s="1"/>
  <c r="F2064" i="3"/>
  <c r="G2064" i="3" s="1"/>
  <c r="E1204" i="3"/>
  <c r="F2060" i="3"/>
  <c r="G2060" i="3" s="1"/>
  <c r="F2059" i="3"/>
  <c r="G2059" i="3" s="1"/>
  <c r="F2058" i="3"/>
  <c r="G2058" i="3" s="1"/>
  <c r="F2057" i="3"/>
  <c r="G2057" i="3" s="1"/>
  <c r="F2056" i="3"/>
  <c r="G2056" i="3" s="1"/>
  <c r="F2055" i="3"/>
  <c r="G2055" i="3" s="1"/>
  <c r="F2054" i="3"/>
  <c r="G2054" i="3" s="1"/>
  <c r="F2053" i="3"/>
  <c r="G2053" i="3" s="1"/>
  <c r="F2052" i="3"/>
  <c r="G2052" i="3" s="1"/>
  <c r="F2051" i="3"/>
  <c r="G2051" i="3" s="1"/>
  <c r="F2050" i="3"/>
  <c r="G2050" i="3" s="1"/>
  <c r="F2093" i="3"/>
  <c r="G2093" i="3" s="1"/>
  <c r="F2092" i="3"/>
  <c r="G2092" i="3" s="1"/>
  <c r="F2091" i="3"/>
  <c r="G2091" i="3" s="1"/>
  <c r="F2090" i="3"/>
  <c r="G2090" i="3" s="1"/>
  <c r="F2089" i="3"/>
  <c r="G2089" i="3" s="1"/>
  <c r="F2088" i="3"/>
  <c r="G2088" i="3" s="1"/>
  <c r="F2084" i="3"/>
  <c r="G2084" i="3" s="1"/>
  <c r="F2083" i="3"/>
  <c r="G2083" i="3" s="1"/>
  <c r="F2082" i="3"/>
  <c r="G2082" i="3" s="1"/>
  <c r="F2081" i="3"/>
  <c r="G2081" i="3" s="1"/>
  <c r="F2080" i="3"/>
  <c r="G2080" i="3" s="1"/>
  <c r="F2079" i="3"/>
  <c r="G2079" i="3" s="1"/>
  <c r="F2078" i="3"/>
  <c r="G2078" i="3" s="1"/>
  <c r="G2337" i="3"/>
  <c r="F2336" i="3"/>
  <c r="G2336" i="3" s="1"/>
  <c r="F2335" i="3"/>
  <c r="G2335" i="3" s="1"/>
  <c r="F2334" i="3"/>
  <c r="G2334" i="3" s="1"/>
  <c r="F2333" i="3"/>
  <c r="G2333" i="3" s="1"/>
  <c r="E2577" i="3"/>
  <c r="F2566" i="3"/>
  <c r="G2566" i="3" s="1"/>
  <c r="G2565" i="3"/>
  <c r="F2497" i="3"/>
  <c r="G2497" i="3" s="1"/>
  <c r="F2496" i="3"/>
  <c r="G2496" i="3" s="1"/>
  <c r="F2495" i="3"/>
  <c r="G2495" i="3" s="1"/>
  <c r="F2494" i="3"/>
  <c r="G2494" i="3" s="1"/>
  <c r="F2493" i="3"/>
  <c r="G2493" i="3" s="1"/>
  <c r="F2492" i="3"/>
  <c r="G2492" i="3" s="1"/>
  <c r="F2491" i="3"/>
  <c r="G2491" i="3" s="1"/>
  <c r="F2481" i="3"/>
  <c r="G2481" i="3" s="1"/>
  <c r="F2480" i="3"/>
  <c r="G2480" i="3" s="1"/>
  <c r="F2479" i="3"/>
  <c r="G2479" i="3" s="1"/>
  <c r="F2478" i="3"/>
  <c r="G2478" i="3" s="1"/>
  <c r="F2477" i="3"/>
  <c r="G2477" i="3" s="1"/>
  <c r="F1979" i="3"/>
  <c r="G1979" i="3" s="1"/>
  <c r="F1978" i="3"/>
  <c r="G1978" i="3" s="1"/>
  <c r="F1977" i="3"/>
  <c r="G1977" i="3" s="1"/>
  <c r="F1976" i="3"/>
  <c r="G1976" i="3" s="1"/>
  <c r="F1975" i="3"/>
  <c r="G1975" i="3" s="1"/>
  <c r="F1974" i="3"/>
  <c r="G1974" i="3" s="1"/>
  <c r="F1973" i="3"/>
  <c r="G1973" i="3" s="1"/>
  <c r="F1972" i="3"/>
  <c r="G1972" i="3" s="1"/>
  <c r="F1971" i="3"/>
  <c r="G1971" i="3" s="1"/>
  <c r="F1970" i="3"/>
  <c r="G1970" i="3" s="1"/>
  <c r="F1969" i="3"/>
  <c r="G1969" i="3" s="1"/>
  <c r="F1968" i="3"/>
  <c r="G1968" i="3" s="1"/>
  <c r="F1967" i="3"/>
  <c r="G1967" i="3" s="1"/>
  <c r="F1966" i="3"/>
  <c r="G1966" i="3" s="1"/>
  <c r="F1965" i="3"/>
  <c r="G1965" i="3" s="1"/>
  <c r="G1289" i="3"/>
  <c r="G1280" i="3"/>
  <c r="G1271" i="3"/>
  <c r="G1262" i="3"/>
  <c r="F980" i="3"/>
  <c r="G980" i="3" s="1"/>
  <c r="F979" i="3"/>
  <c r="G979" i="3" s="1"/>
  <c r="F978" i="3"/>
  <c r="G978" i="3" s="1"/>
  <c r="F977" i="3"/>
  <c r="G977" i="3" s="1"/>
  <c r="F976" i="3"/>
  <c r="G976" i="3" s="1"/>
  <c r="F975" i="3"/>
  <c r="G975" i="3" s="1"/>
  <c r="F974" i="3"/>
  <c r="G974" i="3" s="1"/>
  <c r="G1914" i="3"/>
  <c r="F947" i="3"/>
  <c r="G947" i="3" s="1"/>
  <c r="F946" i="3"/>
  <c r="G946" i="3" s="1"/>
  <c r="F945" i="3"/>
  <c r="G945" i="3" s="1"/>
  <c r="F941" i="3"/>
  <c r="G941" i="3" s="1"/>
  <c r="F940" i="3"/>
  <c r="G940" i="3" s="1"/>
  <c r="F939" i="3"/>
  <c r="G939" i="3" s="1"/>
  <c r="F935" i="3"/>
  <c r="G935" i="3" s="1"/>
  <c r="F934" i="3"/>
  <c r="G934" i="3" s="1"/>
  <c r="F933" i="3"/>
  <c r="G933" i="3" s="1"/>
  <c r="E922" i="3"/>
  <c r="E921" i="3"/>
  <c r="F442" i="3"/>
  <c r="G442" i="3" s="1"/>
  <c r="F441" i="3"/>
  <c r="G441" i="3" s="1"/>
  <c r="F440" i="3"/>
  <c r="G440" i="3" s="1"/>
  <c r="F439" i="3"/>
  <c r="G439" i="3" s="1"/>
  <c r="F438" i="3"/>
  <c r="G438" i="3" s="1"/>
  <c r="F435" i="3"/>
  <c r="G435" i="3" s="1"/>
  <c r="F434" i="3"/>
  <c r="G434" i="3" s="1"/>
  <c r="F433" i="3"/>
  <c r="G433" i="3" s="1"/>
  <c r="F429" i="3"/>
  <c r="G429" i="3" s="1"/>
  <c r="F428" i="3"/>
  <c r="G428" i="3" s="1"/>
  <c r="F427" i="3"/>
  <c r="G427" i="3" s="1"/>
  <c r="F426" i="3"/>
  <c r="G426" i="3" s="1"/>
  <c r="F1642" i="3"/>
  <c r="F1641" i="3" s="1"/>
  <c r="F217" i="7" s="1"/>
  <c r="G217" i="7" s="1"/>
  <c r="I217" i="7" s="1"/>
  <c r="G1643" i="3"/>
  <c r="G1644" i="3" s="1"/>
  <c r="G1255" i="3"/>
  <c r="F1158" i="3"/>
  <c r="G1158" i="3" s="1"/>
  <c r="F1157" i="3"/>
  <c r="G1157" i="3" s="1"/>
  <c r="F1156" i="3"/>
  <c r="G1156" i="3" s="1"/>
  <c r="F1155" i="3"/>
  <c r="G1155" i="3" s="1"/>
  <c r="F1154" i="3"/>
  <c r="G1154" i="3" s="1"/>
  <c r="F1143" i="3"/>
  <c r="G1143" i="3" s="1"/>
  <c r="F1142" i="3"/>
  <c r="G1142" i="3" s="1"/>
  <c r="F1141" i="3"/>
  <c r="G1141" i="3" s="1"/>
  <c r="F1140" i="3"/>
  <c r="G1140" i="3" s="1"/>
  <c r="F1139" i="3"/>
  <c r="G1139" i="3" s="1"/>
  <c r="G1026" i="3"/>
  <c r="G1017" i="3"/>
  <c r="E590" i="3"/>
  <c r="F528" i="3"/>
  <c r="G528" i="3" s="1"/>
  <c r="F527" i="3"/>
  <c r="G527" i="3" s="1"/>
  <c r="F526" i="3"/>
  <c r="G526" i="3" s="1"/>
  <c r="F525" i="3"/>
  <c r="G525" i="3" s="1"/>
  <c r="F524" i="3"/>
  <c r="G524" i="3" s="1"/>
  <c r="F523" i="3"/>
  <c r="G523" i="3" s="1"/>
  <c r="F522" i="3"/>
  <c r="G522" i="3" s="1"/>
  <c r="F521" i="3"/>
  <c r="G521" i="3" s="1"/>
  <c r="F520" i="3"/>
  <c r="G520" i="3" s="1"/>
  <c r="F503" i="3"/>
  <c r="G503" i="3" s="1"/>
  <c r="F502" i="3"/>
  <c r="G502" i="3" s="1"/>
  <c r="F501" i="3"/>
  <c r="G501" i="3" s="1"/>
  <c r="F500" i="3"/>
  <c r="G500" i="3" s="1"/>
  <c r="F499" i="3"/>
  <c r="G499" i="3" s="1"/>
  <c r="F404" i="3"/>
  <c r="G404" i="3" s="1"/>
  <c r="F403" i="3"/>
  <c r="G403" i="3" s="1"/>
  <c r="F402" i="3"/>
  <c r="G402" i="3" s="1"/>
  <c r="F401" i="3"/>
  <c r="G401" i="3" s="1"/>
  <c r="F400" i="3"/>
  <c r="G400" i="3" s="1"/>
  <c r="F399" i="3"/>
  <c r="G399" i="3" s="1"/>
  <c r="F398" i="3"/>
  <c r="G398" i="3" s="1"/>
  <c r="F397" i="3"/>
  <c r="G397" i="3" s="1"/>
  <c r="G2423" i="3" l="1"/>
  <c r="F2413" i="3" s="1"/>
  <c r="G2413" i="3" s="1"/>
  <c r="G1093" i="3"/>
  <c r="F1087" i="3" s="1"/>
  <c r="G1087" i="3" s="1"/>
  <c r="G1079" i="3"/>
  <c r="F1073" i="3" s="1"/>
  <c r="G1073" i="3" s="1"/>
  <c r="G1009" i="3"/>
  <c r="F1005" i="3" s="1"/>
  <c r="G1005" i="3" s="1"/>
  <c r="G1004" i="3"/>
  <c r="F1000" i="3" s="1"/>
  <c r="G1000" i="3" s="1"/>
  <c r="G998" i="3"/>
  <c r="F992" i="3" s="1"/>
  <c r="G990" i="3"/>
  <c r="F983" i="3" s="1"/>
  <c r="G983" i="3" s="1"/>
  <c r="F982" i="3" s="1"/>
  <c r="F137" i="7" s="1"/>
  <c r="G137" i="7" s="1"/>
  <c r="I137" i="7" s="1"/>
  <c r="G2074" i="3"/>
  <c r="F2069" i="3" s="1"/>
  <c r="F2068" i="3" s="1"/>
  <c r="G2068" i="3" s="1"/>
  <c r="I2068" i="3" s="1"/>
  <c r="H217" i="7"/>
  <c r="G2067" i="3"/>
  <c r="F2063" i="3" s="1"/>
  <c r="G2063" i="3" s="1"/>
  <c r="G2061" i="3"/>
  <c r="F2049" i="3" s="1"/>
  <c r="G2049" i="3" s="1"/>
  <c r="G2094" i="3"/>
  <c r="F2087" i="3" s="1"/>
  <c r="G2087" i="3" s="1"/>
  <c r="G2338" i="3"/>
  <c r="F2332" i="3" s="1"/>
  <c r="G2332" i="3" s="1"/>
  <c r="G2085" i="3"/>
  <c r="G2567" i="3"/>
  <c r="F2564" i="3" s="1"/>
  <c r="F336" i="7" s="1"/>
  <c r="G2498" i="3"/>
  <c r="F2490" i="3" s="1"/>
  <c r="G2490" i="3" s="1"/>
  <c r="G2482" i="3"/>
  <c r="F2476" i="3" s="1"/>
  <c r="G2476" i="3" s="1"/>
  <c r="G1980" i="3"/>
  <c r="F1964" i="3" s="1"/>
  <c r="G1964" i="3" s="1"/>
  <c r="G981" i="3"/>
  <c r="F973" i="3" s="1"/>
  <c r="G973" i="3" s="1"/>
  <c r="F972" i="3" s="1"/>
  <c r="G948" i="3"/>
  <c r="F944" i="3" s="1"/>
  <c r="G944" i="3" s="1"/>
  <c r="G942" i="3"/>
  <c r="F938" i="3" s="1"/>
  <c r="G938" i="3" s="1"/>
  <c r="G936" i="3"/>
  <c r="F932" i="3" s="1"/>
  <c r="G932" i="3" s="1"/>
  <c r="G443" i="3"/>
  <c r="F437" i="3" s="1"/>
  <c r="G437" i="3" s="1"/>
  <c r="G436" i="3"/>
  <c r="F432" i="3" s="1"/>
  <c r="G430" i="3"/>
  <c r="F425" i="3" s="1"/>
  <c r="G425" i="3" s="1"/>
  <c r="G1641" i="3"/>
  <c r="I1641" i="3" s="1"/>
  <c r="H1641" i="3"/>
  <c r="G1642" i="3"/>
  <c r="G1144" i="3"/>
  <c r="F1138" i="3" s="1"/>
  <c r="G1138" i="3" s="1"/>
  <c r="G1159" i="3"/>
  <c r="F1153" i="3" s="1"/>
  <c r="G1153" i="3" s="1"/>
  <c r="G529" i="3"/>
  <c r="F519" i="3" s="1"/>
  <c r="G519" i="3" s="1"/>
  <c r="G504" i="3"/>
  <c r="F498" i="3" s="1"/>
  <c r="G498" i="3" s="1"/>
  <c r="G405" i="3"/>
  <c r="F396" i="3" s="1"/>
  <c r="G396" i="3" s="1"/>
  <c r="F999" i="3" l="1"/>
  <c r="G999" i="3" s="1"/>
  <c r="I999" i="3" s="1"/>
  <c r="G992" i="3"/>
  <c r="F991" i="3"/>
  <c r="F138" i="7" s="1"/>
  <c r="H137" i="7"/>
  <c r="G2069" i="3"/>
  <c r="G982" i="3"/>
  <c r="I982" i="3" s="1"/>
  <c r="H982" i="3"/>
  <c r="G972" i="3"/>
  <c r="I972" i="3" s="1"/>
  <c r="F136" i="7"/>
  <c r="H2068" i="3"/>
  <c r="F264" i="7"/>
  <c r="H264" i="7" s="1"/>
  <c r="G336" i="7"/>
  <c r="I336" i="7" s="1"/>
  <c r="H336" i="7"/>
  <c r="H972" i="3"/>
  <c r="G432" i="3"/>
  <c r="F431" i="3"/>
  <c r="F77" i="7" s="1"/>
  <c r="H999" i="3" l="1"/>
  <c r="F139" i="7"/>
  <c r="H139" i="7" s="1"/>
  <c r="G138" i="7"/>
  <c r="I138" i="7" s="1"/>
  <c r="H138" i="7"/>
  <c r="G264" i="7"/>
  <c r="I264" i="7" s="1"/>
  <c r="G136" i="7"/>
  <c r="I136" i="7" s="1"/>
  <c r="H136" i="7"/>
  <c r="H77" i="7"/>
  <c r="G77" i="7"/>
  <c r="I77" i="7" s="1"/>
  <c r="G139" i="7" l="1"/>
  <c r="I139" i="7" s="1"/>
  <c r="E1205" i="3"/>
  <c r="F1198" i="3" s="1"/>
  <c r="F2562" i="3"/>
  <c r="G2562" i="3" s="1"/>
  <c r="F2561" i="3"/>
  <c r="G2561" i="3" s="1"/>
  <c r="F2557" i="3"/>
  <c r="G2557" i="3" s="1"/>
  <c r="F2556" i="3"/>
  <c r="G2556" i="3" s="1"/>
  <c r="G2555" i="3"/>
  <c r="F2551" i="3"/>
  <c r="G2551" i="3" s="1"/>
  <c r="F2550" i="3"/>
  <c r="G2550" i="3" s="1"/>
  <c r="F2545" i="3"/>
  <c r="G2545" i="3" s="1"/>
  <c r="F2544" i="3"/>
  <c r="G2544" i="3" s="1"/>
  <c r="F2543" i="3"/>
  <c r="G2543" i="3" s="1"/>
  <c r="F2542" i="3"/>
  <c r="G2542" i="3" s="1"/>
  <c r="F2541" i="3"/>
  <c r="G2541" i="3" s="1"/>
  <c r="F2540" i="3"/>
  <c r="G2540" i="3" s="1"/>
  <c r="F2528" i="3"/>
  <c r="G2528" i="3" s="1"/>
  <c r="F2527" i="3"/>
  <c r="G2527" i="3" s="1"/>
  <c r="F2526" i="3"/>
  <c r="G2526" i="3" s="1"/>
  <c r="F2525" i="3"/>
  <c r="G2525" i="3" s="1"/>
  <c r="F2524" i="3"/>
  <c r="G2524" i="3" s="1"/>
  <c r="F2523" i="3"/>
  <c r="G2523" i="3" s="1"/>
  <c r="F2522" i="3"/>
  <c r="G2522" i="3" s="1"/>
  <c r="E2499" i="3"/>
  <c r="F2508" i="3"/>
  <c r="G2508" i="3" s="1"/>
  <c r="F2507" i="3"/>
  <c r="G2507" i="3" s="1"/>
  <c r="F2506" i="3"/>
  <c r="G2506" i="3" s="1"/>
  <c r="F2505" i="3"/>
  <c r="G2505" i="3" s="1"/>
  <c r="F2504" i="3"/>
  <c r="G2504" i="3" s="1"/>
  <c r="F2503" i="3"/>
  <c r="G2503" i="3" s="1"/>
  <c r="F2502" i="3"/>
  <c r="G2502" i="3" s="1"/>
  <c r="F2501" i="3"/>
  <c r="G2501" i="3" s="1"/>
  <c r="F2500" i="3"/>
  <c r="G2500" i="3" s="1"/>
  <c r="F2487" i="3"/>
  <c r="G2487" i="3" s="1"/>
  <c r="G2488" i="3" s="1"/>
  <c r="F393" i="3"/>
  <c r="G393" i="3" s="1"/>
  <c r="F392" i="3"/>
  <c r="G392" i="3" s="1"/>
  <c r="G391" i="3"/>
  <c r="G390" i="3"/>
  <c r="F1377" i="3"/>
  <c r="G1377" i="3" s="1"/>
  <c r="F1376" i="3"/>
  <c r="G1376" i="3" s="1"/>
  <c r="F1375" i="3"/>
  <c r="G1375" i="3" s="1"/>
  <c r="F1374" i="3"/>
  <c r="G1374" i="3" s="1"/>
  <c r="F1365" i="3"/>
  <c r="G1365" i="3" s="1"/>
  <c r="F1364" i="3"/>
  <c r="G1364" i="3" s="1"/>
  <c r="F1363" i="3"/>
  <c r="G1363" i="3" s="1"/>
  <c r="F1362" i="3"/>
  <c r="G1362" i="3" s="1"/>
  <c r="G1284" i="3"/>
  <c r="G1283" i="3"/>
  <c r="F1282" i="3"/>
  <c r="G1282" i="3" s="1"/>
  <c r="F1281" i="3"/>
  <c r="G1281" i="3" s="1"/>
  <c r="G1279" i="3"/>
  <c r="F1275" i="3"/>
  <c r="G1275" i="3" s="1"/>
  <c r="F1274" i="3"/>
  <c r="G1274" i="3" s="1"/>
  <c r="F1273" i="3"/>
  <c r="G1273" i="3" s="1"/>
  <c r="F1272" i="3"/>
  <c r="G1272" i="3" s="1"/>
  <c r="F1270" i="3"/>
  <c r="G1270" i="3" s="1"/>
  <c r="E1253" i="3"/>
  <c r="F1257" i="3"/>
  <c r="G1257" i="3" s="1"/>
  <c r="F1256" i="3"/>
  <c r="G1256" i="3" s="1"/>
  <c r="G1254" i="3"/>
  <c r="E1226" i="3"/>
  <c r="G1226" i="3" s="1"/>
  <c r="G1230" i="3"/>
  <c r="G1229" i="3"/>
  <c r="F1228" i="3"/>
  <c r="G1228" i="3" s="1"/>
  <c r="F1227" i="3"/>
  <c r="G1227" i="3" s="1"/>
  <c r="E1216" i="3"/>
  <c r="G1064" i="3"/>
  <c r="G1063" i="3"/>
  <c r="G1062" i="3"/>
  <c r="G1061" i="3"/>
  <c r="G1060" i="3"/>
  <c r="F920" i="3"/>
  <c r="G920" i="3" s="1"/>
  <c r="F747" i="3"/>
  <c r="G747" i="3" s="1"/>
  <c r="G748" i="3" s="1"/>
  <c r="F746" i="3"/>
  <c r="G746" i="3" s="1"/>
  <c r="F744" i="3"/>
  <c r="G744" i="3" s="1"/>
  <c r="G745" i="3" s="1"/>
  <c r="F743" i="3"/>
  <c r="G743" i="3" s="1"/>
  <c r="F687" i="3"/>
  <c r="G687" i="3" s="1"/>
  <c r="F686" i="3"/>
  <c r="G686" i="3" s="1"/>
  <c r="F685" i="3"/>
  <c r="G685" i="3" s="1"/>
  <c r="F684" i="3"/>
  <c r="G684" i="3" s="1"/>
  <c r="F683" i="3"/>
  <c r="G683" i="3" s="1"/>
  <c r="F682" i="3"/>
  <c r="E682" i="3"/>
  <c r="E665" i="3"/>
  <c r="F670" i="3"/>
  <c r="G670" i="3" s="1"/>
  <c r="F669" i="3"/>
  <c r="G669" i="3" s="1"/>
  <c r="F668" i="3"/>
  <c r="G668" i="3" s="1"/>
  <c r="F667" i="3"/>
  <c r="G667" i="3" s="1"/>
  <c r="F666" i="3"/>
  <c r="G666" i="3" s="1"/>
  <c r="F665" i="3"/>
  <c r="G680" i="3"/>
  <c r="F679" i="3"/>
  <c r="G679" i="3" s="1"/>
  <c r="F678" i="3"/>
  <c r="G678" i="3" s="1"/>
  <c r="G677" i="3"/>
  <c r="G676" i="3"/>
  <c r="G675" i="3"/>
  <c r="G674" i="3"/>
  <c r="G663" i="3"/>
  <c r="F662" i="3"/>
  <c r="G662" i="3" s="1"/>
  <c r="F661" i="3"/>
  <c r="G661" i="3" s="1"/>
  <c r="G660" i="3"/>
  <c r="G659" i="3"/>
  <c r="G658" i="3"/>
  <c r="G657" i="3"/>
  <c r="G702" i="3"/>
  <c r="G692" i="3"/>
  <c r="F1048" i="3"/>
  <c r="G1048" i="3" s="1"/>
  <c r="F1047" i="3"/>
  <c r="G1047" i="3" s="1"/>
  <c r="F1046" i="3"/>
  <c r="G1046" i="3" s="1"/>
  <c r="F1045" i="3"/>
  <c r="G1045" i="3" s="1"/>
  <c r="F1044" i="3"/>
  <c r="G1044" i="3" s="1"/>
  <c r="F1043" i="3"/>
  <c r="G1043" i="3" s="1"/>
  <c r="E971" i="3"/>
  <c r="F962" i="3" s="1"/>
  <c r="F959" i="3"/>
  <c r="G959" i="3" s="1"/>
  <c r="F958" i="3"/>
  <c r="G958" i="3" s="1"/>
  <c r="F957" i="3"/>
  <c r="G957" i="3" s="1"/>
  <c r="F956" i="3"/>
  <c r="G956" i="3" s="1"/>
  <c r="F1319" i="3"/>
  <c r="G1319" i="3" s="1"/>
  <c r="F1318" i="3"/>
  <c r="G1318" i="3" s="1"/>
  <c r="G1317" i="3"/>
  <c r="F1316" i="3"/>
  <c r="G1316" i="3" s="1"/>
  <c r="F1313" i="3"/>
  <c r="G1313" i="3" s="1"/>
  <c r="F1312" i="3"/>
  <c r="G1312" i="3" s="1"/>
  <c r="F1325" i="3"/>
  <c r="G1325" i="3" s="1"/>
  <c r="F1324" i="3"/>
  <c r="G1324" i="3" s="1"/>
  <c r="F1323" i="3"/>
  <c r="G1323" i="3" s="1"/>
  <c r="F1305" i="3"/>
  <c r="G1305" i="3" s="1"/>
  <c r="F1307" i="3"/>
  <c r="G1307" i="3" s="1"/>
  <c r="F1306" i="3"/>
  <c r="G1306" i="3" s="1"/>
  <c r="F953" i="3"/>
  <c r="G953" i="3" s="1"/>
  <c r="F952" i="3"/>
  <c r="G952" i="3" s="1"/>
  <c r="F951" i="3"/>
  <c r="G951" i="3" s="1"/>
  <c r="F950" i="3"/>
  <c r="G950" i="3" s="1"/>
  <c r="F929" i="3"/>
  <c r="G929" i="3" s="1"/>
  <c r="F928" i="3"/>
  <c r="G928" i="3" s="1"/>
  <c r="F927" i="3"/>
  <c r="G927" i="3" s="1"/>
  <c r="E896" i="3"/>
  <c r="E895" i="3"/>
  <c r="E893" i="3"/>
  <c r="E892" i="3"/>
  <c r="F898" i="3"/>
  <c r="G898" i="3" s="1"/>
  <c r="F897" i="3"/>
  <c r="F896" i="3"/>
  <c r="F895" i="3"/>
  <c r="F894" i="3"/>
  <c r="G894" i="3" s="1"/>
  <c r="F893" i="3"/>
  <c r="F892" i="3"/>
  <c r="F740" i="3"/>
  <c r="G740" i="3" s="1"/>
  <c r="F739" i="3"/>
  <c r="G739" i="3" s="1"/>
  <c r="E727" i="3"/>
  <c r="F651" i="3"/>
  <c r="G651" i="3" s="1"/>
  <c r="F650" i="3"/>
  <c r="G650" i="3" s="1"/>
  <c r="F649" i="3"/>
  <c r="G649" i="3" s="1"/>
  <c r="F648" i="3"/>
  <c r="G648" i="3" s="1"/>
  <c r="F647" i="3"/>
  <c r="G647" i="3" s="1"/>
  <c r="F644" i="3"/>
  <c r="G644" i="3" s="1"/>
  <c r="F643" i="3"/>
  <c r="G643" i="3" s="1"/>
  <c r="F642" i="3"/>
  <c r="G642" i="3" s="1"/>
  <c r="F641" i="3"/>
  <c r="G641" i="3" s="1"/>
  <c r="F640" i="3"/>
  <c r="G640" i="3" s="1"/>
  <c r="F625" i="3"/>
  <c r="G625" i="3" s="1"/>
  <c r="F624" i="3"/>
  <c r="G624" i="3" s="1"/>
  <c r="F623" i="3"/>
  <c r="G623" i="3" s="1"/>
  <c r="G619" i="3"/>
  <c r="G618" i="3"/>
  <c r="G617" i="3"/>
  <c r="E616" i="3"/>
  <c r="G570" i="3"/>
  <c r="F569" i="3"/>
  <c r="G569" i="3" s="1"/>
  <c r="F568" i="3"/>
  <c r="G568" i="3" s="1"/>
  <c r="G567" i="3"/>
  <c r="G566" i="3"/>
  <c r="G565" i="3"/>
  <c r="F484" i="3"/>
  <c r="G484" i="3" s="1"/>
  <c r="F483" i="3"/>
  <c r="G483" i="3" s="1"/>
  <c r="F482" i="3"/>
  <c r="G482" i="3" s="1"/>
  <c r="F472" i="3"/>
  <c r="G472" i="3" s="1"/>
  <c r="F471" i="3"/>
  <c r="G471" i="3" s="1"/>
  <c r="F470" i="3"/>
  <c r="G470" i="3" s="1"/>
  <c r="F469" i="3"/>
  <c r="G469" i="3" s="1"/>
  <c r="F468" i="3"/>
  <c r="G468" i="3" s="1"/>
  <c r="F467" i="3"/>
  <c r="G467" i="3" s="1"/>
  <c r="F466" i="3"/>
  <c r="G466" i="3" s="1"/>
  <c r="F465" i="3"/>
  <c r="G465" i="3" s="1"/>
  <c r="E879" i="3"/>
  <c r="F870" i="3" s="1"/>
  <c r="E867" i="3"/>
  <c r="F858" i="3" s="1"/>
  <c r="E855" i="3"/>
  <c r="F846" i="3" s="1"/>
  <c r="E843" i="3"/>
  <c r="F834" i="3" s="1"/>
  <c r="E831" i="3"/>
  <c r="F822" i="3" s="1"/>
  <c r="E819" i="3"/>
  <c r="F810" i="3" s="1"/>
  <c r="E807" i="3"/>
  <c r="F798" i="3" s="1"/>
  <c r="E795" i="3"/>
  <c r="F786" i="3" s="1"/>
  <c r="E783" i="3"/>
  <c r="F774" i="3" s="1"/>
  <c r="E759" i="3"/>
  <c r="F750" i="3" s="1"/>
  <c r="G750" i="3" s="1"/>
  <c r="E769" i="3"/>
  <c r="E768" i="3"/>
  <c r="E767" i="3"/>
  <c r="E770" i="3"/>
  <c r="E766" i="3"/>
  <c r="E190" i="3"/>
  <c r="E186" i="3" s="1"/>
  <c r="F2410" i="3"/>
  <c r="G2410" i="3" s="1"/>
  <c r="F2409" i="3"/>
  <c r="G2409" i="3" s="1"/>
  <c r="F2408" i="3"/>
  <c r="G2408" i="3" s="1"/>
  <c r="F2407" i="3"/>
  <c r="G2407" i="3" s="1"/>
  <c r="F2406" i="3"/>
  <c r="G2406" i="3" s="1"/>
  <c r="F2405" i="3"/>
  <c r="G2405" i="3" s="1"/>
  <c r="F2401" i="3"/>
  <c r="G2401" i="3" s="1"/>
  <c r="F2400" i="3"/>
  <c r="G2400" i="3" s="1"/>
  <c r="F2399" i="3"/>
  <c r="G2399" i="3" s="1"/>
  <c r="F2398" i="3"/>
  <c r="G2398" i="3" s="1"/>
  <c r="F2397" i="3"/>
  <c r="G2397" i="3" s="1"/>
  <c r="F2396" i="3"/>
  <c r="G2396" i="3" s="1"/>
  <c r="F2392" i="3"/>
  <c r="G2392" i="3" s="1"/>
  <c r="F2391" i="3"/>
  <c r="G2391" i="3" s="1"/>
  <c r="F2390" i="3"/>
  <c r="G2390" i="3" s="1"/>
  <c r="F2389" i="3"/>
  <c r="G2389" i="3" s="1"/>
  <c r="F2388" i="3"/>
  <c r="G2388" i="3" s="1"/>
  <c r="F2387" i="3"/>
  <c r="G2387" i="3" s="1"/>
  <c r="F2386" i="3"/>
  <c r="G2386" i="3" s="1"/>
  <c r="F2385" i="3"/>
  <c r="G2385" i="3" s="1"/>
  <c r="F2384" i="3"/>
  <c r="G2384" i="3" s="1"/>
  <c r="F2380" i="3"/>
  <c r="G2380" i="3" s="1"/>
  <c r="F2379" i="3"/>
  <c r="G2379" i="3" s="1"/>
  <c r="F2378" i="3"/>
  <c r="G2378" i="3" s="1"/>
  <c r="F2374" i="3"/>
  <c r="G2374" i="3" s="1"/>
  <c r="F2373" i="3"/>
  <c r="G2373" i="3" s="1"/>
  <c r="F2372" i="3"/>
  <c r="G2372" i="3" s="1"/>
  <c r="F2371" i="3"/>
  <c r="G2371" i="3" s="1"/>
  <c r="F2370" i="3"/>
  <c r="G2370" i="3" s="1"/>
  <c r="F2369" i="3"/>
  <c r="G2369" i="3" s="1"/>
  <c r="F2368" i="3"/>
  <c r="G2368" i="3" s="1"/>
  <c r="F2367" i="3"/>
  <c r="G2367" i="3" s="1"/>
  <c r="F2366" i="3"/>
  <c r="G2366" i="3" s="1"/>
  <c r="F2362" i="3"/>
  <c r="G2362" i="3" s="1"/>
  <c r="F2361" i="3"/>
  <c r="G2361" i="3" s="1"/>
  <c r="F2360" i="3"/>
  <c r="G2360" i="3" s="1"/>
  <c r="F2359" i="3"/>
  <c r="G2359" i="3" s="1"/>
  <c r="F2351" i="3"/>
  <c r="G2351" i="3" s="1"/>
  <c r="F2350" i="3"/>
  <c r="G2350" i="3" s="1"/>
  <c r="F2349" i="3"/>
  <c r="G2349" i="3" s="1"/>
  <c r="F2348" i="3"/>
  <c r="G2348" i="3" s="1"/>
  <c r="F2347" i="3"/>
  <c r="G2347" i="3" s="1"/>
  <c r="F2346" i="3"/>
  <c r="G2346" i="3" s="1"/>
  <c r="F2345" i="3"/>
  <c r="G2345" i="3" s="1"/>
  <c r="F2344" i="3"/>
  <c r="G2344" i="3" s="1"/>
  <c r="F2343" i="3"/>
  <c r="G2343" i="3" s="1"/>
  <c r="F2329" i="3"/>
  <c r="G2329" i="3" s="1"/>
  <c r="F2328" i="3"/>
  <c r="G2328" i="3" s="1"/>
  <c r="F2327" i="3"/>
  <c r="G2327" i="3" s="1"/>
  <c r="F2326" i="3"/>
  <c r="G2326" i="3" s="1"/>
  <c r="F2325" i="3"/>
  <c r="G2325" i="3" s="1"/>
  <c r="F2324" i="3"/>
  <c r="G2324" i="3" s="1"/>
  <c r="F2320" i="3"/>
  <c r="G2320" i="3" s="1"/>
  <c r="F2319" i="3"/>
  <c r="G2319" i="3" s="1"/>
  <c r="F2318" i="3"/>
  <c r="G2318" i="3" s="1"/>
  <c r="F2317" i="3"/>
  <c r="G2317" i="3" s="1"/>
  <c r="F2316" i="3"/>
  <c r="G2316" i="3" s="1"/>
  <c r="F2315" i="3"/>
  <c r="G2315" i="3" s="1"/>
  <c r="F2314" i="3"/>
  <c r="G2314" i="3" s="1"/>
  <c r="F2313" i="3"/>
  <c r="G2313" i="3" s="1"/>
  <c r="F2312" i="3"/>
  <c r="G2312" i="3" s="1"/>
  <c r="F2311" i="3"/>
  <c r="G2311" i="3" s="1"/>
  <c r="F2310" i="3"/>
  <c r="G2310" i="3" s="1"/>
  <c r="F2309" i="3"/>
  <c r="G2309" i="3" s="1"/>
  <c r="F2308" i="3"/>
  <c r="G2308" i="3" s="1"/>
  <c r="F2307" i="3"/>
  <c r="G2307" i="3" s="1"/>
  <c r="F2306" i="3"/>
  <c r="G2306" i="3" s="1"/>
  <c r="F2305" i="3"/>
  <c r="G2305" i="3" s="1"/>
  <c r="F2304" i="3"/>
  <c r="G2304" i="3" s="1"/>
  <c r="F2303" i="3"/>
  <c r="G2303" i="3" s="1"/>
  <c r="F2302" i="3"/>
  <c r="G2302" i="3" s="1"/>
  <c r="F2301" i="3"/>
  <c r="G2301" i="3" s="1"/>
  <c r="F2291" i="3"/>
  <c r="G2291" i="3" s="1"/>
  <c r="F2290" i="3"/>
  <c r="G2290" i="3" s="1"/>
  <c r="F2285" i="3"/>
  <c r="G2285" i="3" s="1"/>
  <c r="F2284" i="3"/>
  <c r="G2284" i="3" s="1"/>
  <c r="F2278" i="3"/>
  <c r="G2278" i="3" s="1"/>
  <c r="F2277" i="3"/>
  <c r="G2277" i="3" s="1"/>
  <c r="F2175" i="3"/>
  <c r="G2175" i="3" s="1"/>
  <c r="F2174" i="3"/>
  <c r="G2174" i="3" s="1"/>
  <c r="F2168" i="3"/>
  <c r="G2168" i="3" s="1"/>
  <c r="F2167" i="3"/>
  <c r="G2167" i="3" s="1"/>
  <c r="F2161" i="3"/>
  <c r="G2161" i="3" s="1"/>
  <c r="F2160" i="3"/>
  <c r="G2160" i="3" s="1"/>
  <c r="F2154" i="3"/>
  <c r="G2154" i="3" s="1"/>
  <c r="F2153" i="3"/>
  <c r="G2153" i="3" s="1"/>
  <c r="F2147" i="3"/>
  <c r="G2147" i="3" s="1"/>
  <c r="F2146" i="3"/>
  <c r="G2146" i="3" s="1"/>
  <c r="F2140" i="3"/>
  <c r="G2140" i="3" s="1"/>
  <c r="F2139" i="3"/>
  <c r="G2139" i="3" s="1"/>
  <c r="F2133" i="3"/>
  <c r="G2133" i="3" s="1"/>
  <c r="F2132" i="3"/>
  <c r="G2132" i="3" s="1"/>
  <c r="F2128" i="3"/>
  <c r="G2128" i="3" s="1"/>
  <c r="F2127" i="3"/>
  <c r="G2127" i="3" s="1"/>
  <c r="F2123" i="3"/>
  <c r="G2123" i="3" s="1"/>
  <c r="F2122" i="3"/>
  <c r="G2122" i="3" s="1"/>
  <c r="F2118" i="3"/>
  <c r="G2118" i="3" s="1"/>
  <c r="F2117" i="3"/>
  <c r="G2117" i="3" s="1"/>
  <c r="F2113" i="3"/>
  <c r="G2113" i="3" s="1"/>
  <c r="F2112" i="3"/>
  <c r="G2112" i="3" s="1"/>
  <c r="F2108" i="3"/>
  <c r="G2108" i="3" s="1"/>
  <c r="F2107" i="3"/>
  <c r="G2107" i="3" s="1"/>
  <c r="F2103" i="3"/>
  <c r="G2103" i="3" s="1"/>
  <c r="F2102" i="3"/>
  <c r="G2102" i="3" s="1"/>
  <c r="F2098" i="3"/>
  <c r="G2098" i="3" s="1"/>
  <c r="F2097" i="3"/>
  <c r="G2097" i="3" s="1"/>
  <c r="F2046" i="3"/>
  <c r="G2046" i="3" s="1"/>
  <c r="F2045" i="3"/>
  <c r="G2045" i="3" s="1"/>
  <c r="F2044" i="3"/>
  <c r="G2044" i="3" s="1"/>
  <c r="F2043" i="3"/>
  <c r="G2043" i="3" s="1"/>
  <c r="F2042" i="3"/>
  <c r="G2042" i="3" s="1"/>
  <c r="F2041" i="3"/>
  <c r="G2041" i="3" s="1"/>
  <c r="F2040" i="3"/>
  <c r="G2040" i="3" s="1"/>
  <c r="F2039" i="3"/>
  <c r="G2039" i="3" s="1"/>
  <c r="F2038" i="3"/>
  <c r="G2038" i="3" s="1"/>
  <c r="F2037" i="3"/>
  <c r="G2037" i="3" s="1"/>
  <c r="F2036" i="3"/>
  <c r="G2036" i="3" s="1"/>
  <c r="F2035" i="3"/>
  <c r="G2035" i="3" s="1"/>
  <c r="F2034" i="3"/>
  <c r="G2034" i="3" s="1"/>
  <c r="F2033" i="3"/>
  <c r="G2033" i="3" s="1"/>
  <c r="F2032" i="3"/>
  <c r="G2032" i="3" s="1"/>
  <c r="F2031" i="3"/>
  <c r="G2031" i="3" s="1"/>
  <c r="F2030" i="3"/>
  <c r="G2030" i="3" s="1"/>
  <c r="F2029" i="3"/>
  <c r="G2029" i="3" s="1"/>
  <c r="F2028" i="3"/>
  <c r="G2028" i="3" s="1"/>
  <c r="F2027" i="3"/>
  <c r="G2027" i="3" s="1"/>
  <c r="F2026" i="3"/>
  <c r="G2026" i="3" s="1"/>
  <c r="F2025" i="3"/>
  <c r="G2025" i="3" s="1"/>
  <c r="F2021" i="3"/>
  <c r="G2021" i="3" s="1"/>
  <c r="F2020" i="3"/>
  <c r="G2020" i="3" s="1"/>
  <c r="F2019" i="3"/>
  <c r="G2019" i="3" s="1"/>
  <c r="F2018" i="3"/>
  <c r="G2018" i="3" s="1"/>
  <c r="F2017" i="3"/>
  <c r="G2017" i="3" s="1"/>
  <c r="F2016" i="3"/>
  <c r="G2016" i="3" s="1"/>
  <c r="F2015" i="3"/>
  <c r="G2015" i="3" s="1"/>
  <c r="F2014" i="3"/>
  <c r="G2014" i="3" s="1"/>
  <c r="F2013" i="3"/>
  <c r="G2013" i="3" s="1"/>
  <c r="F2012" i="3"/>
  <c r="G2012" i="3" s="1"/>
  <c r="F2011" i="3"/>
  <c r="G2011" i="3" s="1"/>
  <c r="F2010" i="3"/>
  <c r="G2010" i="3" s="1"/>
  <c r="F2009" i="3"/>
  <c r="G2009" i="3" s="1"/>
  <c r="F2008" i="3"/>
  <c r="G2008" i="3" s="1"/>
  <c r="F2007" i="3"/>
  <c r="G2007" i="3" s="1"/>
  <c r="F2006" i="3"/>
  <c r="G2006" i="3" s="1"/>
  <c r="F2005" i="3"/>
  <c r="G2005" i="3" s="1"/>
  <c r="F2004" i="3"/>
  <c r="G2004" i="3" s="1"/>
  <c r="F2003" i="3"/>
  <c r="G2003" i="3" s="1"/>
  <c r="F2002" i="3"/>
  <c r="G2002" i="3" s="1"/>
  <c r="F2001" i="3"/>
  <c r="G2001" i="3" s="1"/>
  <c r="F1997" i="3"/>
  <c r="G1997" i="3" s="1"/>
  <c r="F1996" i="3"/>
  <c r="G1996" i="3" s="1"/>
  <c r="F1995" i="3"/>
  <c r="G1995" i="3" s="1"/>
  <c r="F1994" i="3"/>
  <c r="G1994" i="3" s="1"/>
  <c r="F1993" i="3"/>
  <c r="G1993" i="3" s="1"/>
  <c r="F1992" i="3"/>
  <c r="G1992" i="3" s="1"/>
  <c r="F1991" i="3"/>
  <c r="G1991" i="3" s="1"/>
  <c r="F1990" i="3"/>
  <c r="G1990" i="3" s="1"/>
  <c r="F1989" i="3"/>
  <c r="G1989" i="3" s="1"/>
  <c r="F1988" i="3"/>
  <c r="G1988" i="3" s="1"/>
  <c r="F1987" i="3"/>
  <c r="G1987" i="3" s="1"/>
  <c r="F1986" i="3"/>
  <c r="G1986" i="3" s="1"/>
  <c r="F1985" i="3"/>
  <c r="G1985" i="3" s="1"/>
  <c r="F1984" i="3"/>
  <c r="G1984" i="3" s="1"/>
  <c r="F1983" i="3"/>
  <c r="G1983" i="3" s="1"/>
  <c r="F1961" i="3"/>
  <c r="G1961" i="3" s="1"/>
  <c r="F1960" i="3"/>
  <c r="G1960" i="3" s="1"/>
  <c r="F1959" i="3"/>
  <c r="G1959" i="3" s="1"/>
  <c r="F1958" i="3"/>
  <c r="G1958" i="3" s="1"/>
  <c r="F1957" i="3"/>
  <c r="G1957" i="3" s="1"/>
  <c r="F1956" i="3"/>
  <c r="G1956" i="3" s="1"/>
  <c r="F1955" i="3"/>
  <c r="G1955" i="3" s="1"/>
  <c r="F1954" i="3"/>
  <c r="G1954" i="3" s="1"/>
  <c r="F1953" i="3"/>
  <c r="G1953" i="3" s="1"/>
  <c r="F1952" i="3"/>
  <c r="G1952" i="3" s="1"/>
  <c r="F1951" i="3"/>
  <c r="G1951" i="3" s="1"/>
  <c r="F1950" i="3"/>
  <c r="G1950" i="3" s="1"/>
  <c r="F1949" i="3"/>
  <c r="G1949" i="3" s="1"/>
  <c r="F1948" i="3"/>
  <c r="G1948" i="3" s="1"/>
  <c r="F1944" i="3"/>
  <c r="G1944" i="3" s="1"/>
  <c r="F1943" i="3"/>
  <c r="G1943" i="3" s="1"/>
  <c r="F1937" i="3"/>
  <c r="G1937" i="3" s="1"/>
  <c r="F1936" i="3"/>
  <c r="G1936" i="3" s="1"/>
  <c r="F1930" i="3"/>
  <c r="G1930" i="3" s="1"/>
  <c r="F1929" i="3"/>
  <c r="G1929" i="3" s="1"/>
  <c r="F1923" i="3"/>
  <c r="G1923" i="3" s="1"/>
  <c r="F1922" i="3"/>
  <c r="G1922" i="3" s="1"/>
  <c r="F1916" i="3"/>
  <c r="G1916" i="3" s="1"/>
  <c r="F1915" i="3"/>
  <c r="G1915" i="3" s="1"/>
  <c r="F1904" i="3"/>
  <c r="G1904" i="3" s="1"/>
  <c r="F1903" i="3"/>
  <c r="G1903" i="3" s="1"/>
  <c r="F1893" i="3"/>
  <c r="G1893" i="3" s="1"/>
  <c r="F1892" i="3"/>
  <c r="G1892" i="3" s="1"/>
  <c r="F1891" i="3"/>
  <c r="G1891" i="3" s="1"/>
  <c r="F1890" i="3"/>
  <c r="G1890" i="3" s="1"/>
  <c r="F1889" i="3"/>
  <c r="G1889" i="3" s="1"/>
  <c r="F1888" i="3"/>
  <c r="G1888" i="3" s="1"/>
  <c r="F1884" i="3"/>
  <c r="G1884" i="3" s="1"/>
  <c r="F1883" i="3"/>
  <c r="G1883" i="3" s="1"/>
  <c r="F1874" i="3"/>
  <c r="G1874" i="3" s="1"/>
  <c r="F1873" i="3"/>
  <c r="G1873" i="3" s="1"/>
  <c r="F1865" i="3"/>
  <c r="G1865" i="3" s="1"/>
  <c r="F1864" i="3"/>
  <c r="G1864" i="3" s="1"/>
  <c r="F1856" i="3"/>
  <c r="G1856" i="3" s="1"/>
  <c r="F1855" i="3"/>
  <c r="G1855" i="3" s="1"/>
  <c r="F1848" i="3"/>
  <c r="G1848" i="3" s="1"/>
  <c r="F1847" i="3"/>
  <c r="G1847" i="3" s="1"/>
  <c r="F1840" i="3"/>
  <c r="G1840" i="3" s="1"/>
  <c r="F1839" i="3"/>
  <c r="G1839" i="3" s="1"/>
  <c r="F1832" i="3"/>
  <c r="G1832" i="3" s="1"/>
  <c r="F1831" i="3"/>
  <c r="G1831" i="3" s="1"/>
  <c r="F1824" i="3"/>
  <c r="G1824" i="3" s="1"/>
  <c r="F1823" i="3"/>
  <c r="G1823" i="3" s="1"/>
  <c r="F1816" i="3"/>
  <c r="G1816" i="3" s="1"/>
  <c r="F1815" i="3"/>
  <c r="G1815" i="3" s="1"/>
  <c r="F1808" i="3"/>
  <c r="G1808" i="3" s="1"/>
  <c r="F1807" i="3"/>
  <c r="G1807" i="3" s="1"/>
  <c r="F1784" i="3"/>
  <c r="G1784" i="3" s="1"/>
  <c r="F1783" i="3"/>
  <c r="G1783" i="3" s="1"/>
  <c r="F1776" i="3"/>
  <c r="G1776" i="3" s="1"/>
  <c r="F1775" i="3"/>
  <c r="G1775" i="3" s="1"/>
  <c r="F1726" i="3"/>
  <c r="G1726" i="3" s="1"/>
  <c r="F1725" i="3"/>
  <c r="G1725" i="3" s="1"/>
  <c r="F1719" i="3"/>
  <c r="G1719" i="3" s="1"/>
  <c r="F1718" i="3"/>
  <c r="G1718" i="3" s="1"/>
  <c r="F1712" i="3"/>
  <c r="G1712" i="3" s="1"/>
  <c r="F1711" i="3"/>
  <c r="G1711" i="3" s="1"/>
  <c r="F1703" i="3"/>
  <c r="G1703" i="3" s="1"/>
  <c r="F1702" i="3"/>
  <c r="G1702" i="3" s="1"/>
  <c r="F1694" i="3"/>
  <c r="G1694" i="3" s="1"/>
  <c r="F1693" i="3"/>
  <c r="G1693" i="3" s="1"/>
  <c r="F1685" i="3"/>
  <c r="G1685" i="3" s="1"/>
  <c r="F1684" i="3"/>
  <c r="G1684" i="3" s="1"/>
  <c r="F1676" i="3"/>
  <c r="G1676" i="3" s="1"/>
  <c r="F1675" i="3"/>
  <c r="G1675" i="3" s="1"/>
  <c r="F1667" i="3"/>
  <c r="G1667" i="3" s="1"/>
  <c r="F1666" i="3"/>
  <c r="G1666" i="3" s="1"/>
  <c r="F1658" i="3"/>
  <c r="G1658" i="3" s="1"/>
  <c r="F1657" i="3"/>
  <c r="G1657" i="3" s="1"/>
  <c r="F1649" i="3"/>
  <c r="G1649" i="3" s="1"/>
  <c r="F1648" i="3"/>
  <c r="G1648" i="3" s="1"/>
  <c r="F1639" i="3"/>
  <c r="G1639" i="3" s="1"/>
  <c r="F1638" i="3"/>
  <c r="G1638" i="3" s="1"/>
  <c r="F1632" i="3"/>
  <c r="G1632" i="3" s="1"/>
  <c r="F1631" i="3"/>
  <c r="G1631" i="3" s="1"/>
  <c r="F1625" i="3"/>
  <c r="G1625" i="3" s="1"/>
  <c r="F1624" i="3"/>
  <c r="G1624" i="3" s="1"/>
  <c r="F1618" i="3"/>
  <c r="G1618" i="3" s="1"/>
  <c r="F1617" i="3"/>
  <c r="G1617" i="3" s="1"/>
  <c r="F1611" i="3"/>
  <c r="G1611" i="3" s="1"/>
  <c r="F1610" i="3"/>
  <c r="G1610" i="3" s="1"/>
  <c r="F1602" i="3"/>
  <c r="G1602" i="3" s="1"/>
  <c r="F1601" i="3"/>
  <c r="G1601" i="3" s="1"/>
  <c r="F1593" i="3"/>
  <c r="G1593" i="3" s="1"/>
  <c r="F1592" i="3"/>
  <c r="G1592" i="3" s="1"/>
  <c r="F1584" i="3"/>
  <c r="G1584" i="3" s="1"/>
  <c r="F1583" i="3"/>
  <c r="G1583" i="3" s="1"/>
  <c r="F1575" i="3"/>
  <c r="G1575" i="3" s="1"/>
  <c r="F1574" i="3"/>
  <c r="G1574" i="3" s="1"/>
  <c r="F1566" i="3"/>
  <c r="G1566" i="3" s="1"/>
  <c r="F1565" i="3"/>
  <c r="G1565" i="3" s="1"/>
  <c r="F1557" i="3"/>
  <c r="G1557" i="3" s="1"/>
  <c r="F1556" i="3"/>
  <c r="G1556" i="3" s="1"/>
  <c r="F1548" i="3"/>
  <c r="G1548" i="3" s="1"/>
  <c r="F1547" i="3"/>
  <c r="G1547" i="3" s="1"/>
  <c r="F1539" i="3"/>
  <c r="G1539" i="3" s="1"/>
  <c r="F1538" i="3"/>
  <c r="G1538" i="3" s="1"/>
  <c r="F1530" i="3"/>
  <c r="G1530" i="3" s="1"/>
  <c r="F1529" i="3"/>
  <c r="G1529" i="3" s="1"/>
  <c r="F1521" i="3"/>
  <c r="G1521" i="3" s="1"/>
  <c r="F1520" i="3"/>
  <c r="G1520" i="3" s="1"/>
  <c r="F1512" i="3"/>
  <c r="G1512" i="3" s="1"/>
  <c r="F1511" i="3"/>
  <c r="G1511" i="3" s="1"/>
  <c r="F1503" i="3"/>
  <c r="G1503" i="3" s="1"/>
  <c r="F1502" i="3"/>
  <c r="G1502" i="3" s="1"/>
  <c r="F1494" i="3"/>
  <c r="G1494" i="3" s="1"/>
  <c r="F1493" i="3"/>
  <c r="G1493" i="3" s="1"/>
  <c r="F1485" i="3"/>
  <c r="G1485" i="3" s="1"/>
  <c r="F1484" i="3"/>
  <c r="G1484" i="3" s="1"/>
  <c r="F1476" i="3"/>
  <c r="G1476" i="3" s="1"/>
  <c r="F1475" i="3"/>
  <c r="G1475" i="3" s="1"/>
  <c r="F1467" i="3"/>
  <c r="G1467" i="3" s="1"/>
  <c r="F1466" i="3"/>
  <c r="G1466" i="3" s="1"/>
  <c r="F1423" i="3"/>
  <c r="G1423" i="3" s="1"/>
  <c r="F1422" i="3"/>
  <c r="G1422" i="3" s="1"/>
  <c r="F1416" i="3"/>
  <c r="G1416" i="3" s="1"/>
  <c r="F1415" i="3"/>
  <c r="G1415" i="3" s="1"/>
  <c r="F1360" i="3"/>
  <c r="G1360" i="3" s="1"/>
  <c r="F1337" i="3"/>
  <c r="G1337" i="3" s="1"/>
  <c r="F1336" i="3"/>
  <c r="G1336" i="3" s="1"/>
  <c r="F1335" i="3"/>
  <c r="G1335" i="3" s="1"/>
  <c r="F1331" i="3"/>
  <c r="G1331" i="3" s="1"/>
  <c r="F1330" i="3"/>
  <c r="G1330" i="3" s="1"/>
  <c r="F1329" i="3"/>
  <c r="G1329" i="3" s="1"/>
  <c r="F1178" i="3"/>
  <c r="G1178" i="3" s="1"/>
  <c r="F1177" i="3"/>
  <c r="G1177" i="3" s="1"/>
  <c r="F1165" i="3"/>
  <c r="G1165" i="3" s="1"/>
  <c r="F1164" i="3"/>
  <c r="G1164" i="3" s="1"/>
  <c r="F1127" i="3"/>
  <c r="G1127" i="3" s="1"/>
  <c r="F1115" i="3"/>
  <c r="G1115" i="3" s="1"/>
  <c r="F914" i="3"/>
  <c r="G914" i="3" s="1"/>
  <c r="F913" i="3"/>
  <c r="G913" i="3" s="1"/>
  <c r="F906" i="3"/>
  <c r="G906" i="3" s="1"/>
  <c r="F905" i="3"/>
  <c r="G905" i="3" s="1"/>
  <c r="F706" i="3"/>
  <c r="G706" i="3" s="1"/>
  <c r="F705" i="3"/>
  <c r="G705" i="3" s="1"/>
  <c r="F611" i="3"/>
  <c r="F610" i="3"/>
  <c r="F561" i="3"/>
  <c r="F560" i="3"/>
  <c r="F536" i="3"/>
  <c r="F535" i="3"/>
  <c r="F478" i="3"/>
  <c r="F477" i="3"/>
  <c r="F476" i="3"/>
  <c r="F422" i="3"/>
  <c r="G422" i="3" s="1"/>
  <c r="F421" i="3"/>
  <c r="G421" i="3" s="1"/>
  <c r="F420" i="3"/>
  <c r="G420" i="3" s="1"/>
  <c r="F419" i="3"/>
  <c r="G419" i="3" s="1"/>
  <c r="F418" i="3"/>
  <c r="G418" i="3" s="1"/>
  <c r="F414" i="3"/>
  <c r="G414" i="3" s="1"/>
  <c r="F413" i="3"/>
  <c r="G413" i="3" s="1"/>
  <c r="F412" i="3"/>
  <c r="G412" i="3" s="1"/>
  <c r="F411" i="3"/>
  <c r="G411" i="3" s="1"/>
  <c r="F410" i="3"/>
  <c r="G410" i="3" s="1"/>
  <c r="F386" i="3"/>
  <c r="G386" i="3" s="1"/>
  <c r="F385" i="3"/>
  <c r="G385" i="3" s="1"/>
  <c r="F384" i="3"/>
  <c r="G384" i="3" s="1"/>
  <c r="F383" i="3"/>
  <c r="G383" i="3" s="1"/>
  <c r="F382" i="3"/>
  <c r="G382" i="3" s="1"/>
  <c r="F381" i="3"/>
  <c r="G381" i="3" s="1"/>
  <c r="F380" i="3"/>
  <c r="G380" i="3" s="1"/>
  <c r="F376" i="3"/>
  <c r="G376" i="3" s="1"/>
  <c r="F375" i="3"/>
  <c r="G375" i="3" s="1"/>
  <c r="F367" i="3"/>
  <c r="G367" i="3" s="1"/>
  <c r="F366" i="3"/>
  <c r="G366" i="3" s="1"/>
  <c r="F365" i="3"/>
  <c r="G365" i="3" s="1"/>
  <c r="F360" i="3"/>
  <c r="G360" i="3" s="1"/>
  <c r="F359" i="3"/>
  <c r="G359" i="3" s="1"/>
  <c r="F348" i="3"/>
  <c r="G348" i="3" s="1"/>
  <c r="F347" i="3"/>
  <c r="G347" i="3" s="1"/>
  <c r="F329" i="3"/>
  <c r="G329" i="3" s="1"/>
  <c r="F318" i="3"/>
  <c r="F326" i="3" s="1"/>
  <c r="G326" i="3" s="1"/>
  <c r="F317" i="3"/>
  <c r="F325" i="3" s="1"/>
  <c r="G325" i="3" s="1"/>
  <c r="F321" i="3"/>
  <c r="G321" i="3" s="1"/>
  <c r="F313" i="3"/>
  <c r="G313" i="3" s="1"/>
  <c r="F312" i="3"/>
  <c r="F320" i="3" s="1"/>
  <c r="F311" i="3"/>
  <c r="F319" i="3" s="1"/>
  <c r="F275" i="3"/>
  <c r="G275" i="3" s="1"/>
  <c r="F274" i="3"/>
  <c r="G274" i="3" s="1"/>
  <c r="F276" i="3"/>
  <c r="G276" i="3" s="1"/>
  <c r="F268" i="3"/>
  <c r="G268" i="3" s="1"/>
  <c r="F267" i="3"/>
  <c r="G267" i="3" s="1"/>
  <c r="F266" i="3"/>
  <c r="G266" i="3" s="1"/>
  <c r="F260" i="3"/>
  <c r="G260" i="3" s="1"/>
  <c r="F259" i="3"/>
  <c r="G259" i="3" s="1"/>
  <c r="F258" i="3"/>
  <c r="G258" i="3" s="1"/>
  <c r="F252" i="3"/>
  <c r="G252" i="3" s="1"/>
  <c r="F251" i="3"/>
  <c r="G251" i="3" s="1"/>
  <c r="F250" i="3"/>
  <c r="G250" i="3" s="1"/>
  <c r="F249" i="3"/>
  <c r="G249" i="3" s="1"/>
  <c r="F248" i="3"/>
  <c r="G248" i="3" s="1"/>
  <c r="F241" i="3"/>
  <c r="G241" i="3" s="1"/>
  <c r="F240" i="3"/>
  <c r="G240" i="3" s="1"/>
  <c r="F239" i="3"/>
  <c r="G239" i="3" s="1"/>
  <c r="F238" i="3"/>
  <c r="G238" i="3" s="1"/>
  <c r="F237" i="3"/>
  <c r="G237" i="3" s="1"/>
  <c r="F236" i="3"/>
  <c r="G236" i="3" s="1"/>
  <c r="F235" i="3"/>
  <c r="G235" i="3" s="1"/>
  <c r="F234" i="3"/>
  <c r="G234" i="3" s="1"/>
  <c r="F233" i="3"/>
  <c r="G233" i="3" s="1"/>
  <c r="F124" i="3"/>
  <c r="F123" i="3"/>
  <c r="F106" i="3"/>
  <c r="F105" i="3"/>
  <c r="F91" i="3"/>
  <c r="F90" i="3"/>
  <c r="F86" i="3"/>
  <c r="F85" i="3"/>
  <c r="F84" i="3"/>
  <c r="F83" i="3"/>
  <c r="F79" i="3"/>
  <c r="F78" i="3"/>
  <c r="F77" i="3"/>
  <c r="F76" i="3"/>
  <c r="F71" i="3"/>
  <c r="F70" i="3"/>
  <c r="F69" i="3"/>
  <c r="F68" i="3"/>
  <c r="F53" i="3"/>
  <c r="F52" i="3"/>
  <c r="F51" i="3"/>
  <c r="F50" i="3"/>
  <c r="F46" i="3"/>
  <c r="F45" i="3"/>
  <c r="E598" i="3"/>
  <c r="F517" i="3"/>
  <c r="G517" i="3" s="1"/>
  <c r="F516" i="3"/>
  <c r="G516" i="3" s="1"/>
  <c r="F166" i="3"/>
  <c r="G166" i="3" s="1"/>
  <c r="G167" i="3" s="1"/>
  <c r="F165" i="3" s="1"/>
  <c r="G165" i="3" s="1"/>
  <c r="G97" i="3"/>
  <c r="G96" i="3"/>
  <c r="G95" i="3"/>
  <c r="G16" i="3"/>
  <c r="G15" i="3"/>
  <c r="G296" i="3"/>
  <c r="G295" i="3"/>
  <c r="G294" i="3"/>
  <c r="G293" i="3"/>
  <c r="G292" i="3"/>
  <c r="G291" i="3"/>
  <c r="G286" i="3"/>
  <c r="G285" i="3"/>
  <c r="G284" i="3"/>
  <c r="G283" i="3"/>
  <c r="G282" i="3"/>
  <c r="G281" i="3"/>
  <c r="G280" i="3"/>
  <c r="F279" i="3"/>
  <c r="F278" i="3" s="1"/>
  <c r="F55" i="7" s="1"/>
  <c r="E278" i="3"/>
  <c r="E289" i="3" s="1"/>
  <c r="E2353" i="3"/>
  <c r="E2354" i="3"/>
  <c r="G2358" i="3"/>
  <c r="G2357" i="3"/>
  <c r="G2356" i="3"/>
  <c r="G2355" i="3"/>
  <c r="G374" i="3"/>
  <c r="G373" i="3"/>
  <c r="G372" i="3"/>
  <c r="G371" i="3"/>
  <c r="G364" i="3"/>
  <c r="G358" i="3"/>
  <c r="G354" i="3"/>
  <c r="G353" i="3"/>
  <c r="G352" i="3"/>
  <c r="G346" i="3"/>
  <c r="G342" i="3"/>
  <c r="F341" i="3"/>
  <c r="G341" i="3" s="1"/>
  <c r="F340" i="3"/>
  <c r="G340" i="3" s="1"/>
  <c r="G336" i="3"/>
  <c r="G335" i="3"/>
  <c r="G334" i="3"/>
  <c r="G333" i="3"/>
  <c r="E315" i="3"/>
  <c r="E307" i="3"/>
  <c r="G310" i="3"/>
  <c r="G309" i="3"/>
  <c r="G305" i="3"/>
  <c r="G304" i="3"/>
  <c r="G303" i="3"/>
  <c r="G302" i="3"/>
  <c r="G301" i="3"/>
  <c r="E262" i="3"/>
  <c r="E254" i="3"/>
  <c r="G273" i="3"/>
  <c r="G272" i="3"/>
  <c r="G265" i="3"/>
  <c r="G264" i="3"/>
  <c r="G257" i="3"/>
  <c r="G256" i="3"/>
  <c r="G247" i="3"/>
  <c r="G246" i="3"/>
  <c r="G245" i="3"/>
  <c r="E223" i="3"/>
  <c r="E231" i="3"/>
  <c r="F192" i="3"/>
  <c r="G192" i="3" s="1"/>
  <c r="G193" i="3" s="1"/>
  <c r="F191" i="3" s="1"/>
  <c r="G191" i="3" s="1"/>
  <c r="G229" i="3"/>
  <c r="G228" i="3"/>
  <c r="G227" i="3"/>
  <c r="G226" i="3"/>
  <c r="G225" i="3"/>
  <c r="E215" i="3"/>
  <c r="G221" i="3"/>
  <c r="G220" i="3"/>
  <c r="G219" i="3"/>
  <c r="G218" i="3"/>
  <c r="G217" i="3"/>
  <c r="F216" i="3"/>
  <c r="F215" i="3" s="1"/>
  <c r="F48" i="7" s="1"/>
  <c r="E194" i="3"/>
  <c r="G199" i="3"/>
  <c r="G198" i="3"/>
  <c r="F197" i="3"/>
  <c r="G197" i="3" s="1"/>
  <c r="F196" i="3"/>
  <c r="G196" i="3" s="1"/>
  <c r="F195" i="3"/>
  <c r="G195" i="3" s="1"/>
  <c r="F188" i="3"/>
  <c r="G188" i="3" s="1"/>
  <c r="G189" i="3" s="1"/>
  <c r="F187" i="3"/>
  <c r="G187" i="3" s="1"/>
  <c r="G184" i="3"/>
  <c r="G183" i="3"/>
  <c r="G182" i="3"/>
  <c r="G181" i="3"/>
  <c r="G180" i="3"/>
  <c r="G179" i="3"/>
  <c r="F1942" i="3"/>
  <c r="G1942" i="3" s="1"/>
  <c r="G1941" i="3"/>
  <c r="F1940" i="3"/>
  <c r="F1939" i="3" s="1"/>
  <c r="F256" i="7" s="1"/>
  <c r="F1935" i="3"/>
  <c r="G1935" i="3" s="1"/>
  <c r="G1934" i="3"/>
  <c r="F1933" i="3"/>
  <c r="F1932" i="3" s="1"/>
  <c r="G1928" i="3"/>
  <c r="G1927" i="3"/>
  <c r="G1921" i="3"/>
  <c r="G1920" i="3"/>
  <c r="F1913" i="3"/>
  <c r="G1913" i="3" s="1"/>
  <c r="G1912" i="3"/>
  <c r="G1911" i="3"/>
  <c r="G1910" i="3"/>
  <c r="G1909" i="3"/>
  <c r="G1908" i="3"/>
  <c r="G1902" i="3"/>
  <c r="G1901" i="3"/>
  <c r="G1900" i="3"/>
  <c r="G1899" i="3"/>
  <c r="G1898" i="3"/>
  <c r="G1897" i="3"/>
  <c r="F1882" i="3"/>
  <c r="G1882" i="3" s="1"/>
  <c r="F1881" i="3"/>
  <c r="G1881" i="3" s="1"/>
  <c r="F1880" i="3"/>
  <c r="G1880" i="3" s="1"/>
  <c r="F1879" i="3"/>
  <c r="G1879" i="3" s="1"/>
  <c r="F1878" i="3"/>
  <c r="G1878" i="3" s="1"/>
  <c r="F1872" i="3"/>
  <c r="G1872" i="3" s="1"/>
  <c r="F1871" i="3"/>
  <c r="G1871" i="3" s="1"/>
  <c r="F1870" i="3"/>
  <c r="G1870" i="3" s="1"/>
  <c r="F1869" i="3"/>
  <c r="G1869" i="3" s="1"/>
  <c r="F1863" i="3"/>
  <c r="G1863" i="3" s="1"/>
  <c r="F1862" i="3"/>
  <c r="G1862" i="3" s="1"/>
  <c r="F1861" i="3"/>
  <c r="G1861" i="3" s="1"/>
  <c r="F1860" i="3"/>
  <c r="G1860" i="3" s="1"/>
  <c r="F1854" i="3"/>
  <c r="G1854" i="3" s="1"/>
  <c r="F1853" i="3"/>
  <c r="G1853" i="3" s="1"/>
  <c r="F1852" i="3"/>
  <c r="G1852" i="3" s="1"/>
  <c r="F1846" i="3"/>
  <c r="G1846" i="3" s="1"/>
  <c r="F1845" i="3"/>
  <c r="G1845" i="3" s="1"/>
  <c r="F1844" i="3"/>
  <c r="G1844" i="3" s="1"/>
  <c r="F1838" i="3"/>
  <c r="G1838" i="3" s="1"/>
  <c r="F1837" i="3"/>
  <c r="G1837" i="3" s="1"/>
  <c r="G1836" i="3"/>
  <c r="F1830" i="3"/>
  <c r="G1830" i="3" s="1"/>
  <c r="G1829" i="3"/>
  <c r="F1828" i="3"/>
  <c r="G1828" i="3" s="1"/>
  <c r="F1827" i="3"/>
  <c r="F1826" i="3" s="1"/>
  <c r="G1822" i="3"/>
  <c r="G1821" i="3"/>
  <c r="G1820" i="3"/>
  <c r="G1814" i="3"/>
  <c r="G1813" i="3"/>
  <c r="G1812" i="3"/>
  <c r="G1806" i="3"/>
  <c r="G1805" i="3"/>
  <c r="G1804" i="3"/>
  <c r="F1800" i="3"/>
  <c r="G1800" i="3" s="1"/>
  <c r="G1801" i="3" s="1"/>
  <c r="F1799" i="3"/>
  <c r="G1799" i="3" s="1"/>
  <c r="F1796" i="3"/>
  <c r="G1796" i="3" s="1"/>
  <c r="G1797" i="3" s="1"/>
  <c r="F1795" i="3"/>
  <c r="F1794" i="3" s="1"/>
  <c r="F238" i="7" s="1"/>
  <c r="G1792" i="3"/>
  <c r="G1793" i="3" s="1"/>
  <c r="F1791" i="3"/>
  <c r="G1791" i="3" s="1"/>
  <c r="G1788" i="3"/>
  <c r="G1789" i="3" s="1"/>
  <c r="F1787" i="3"/>
  <c r="F1786" i="3" s="1"/>
  <c r="F236" i="7" s="1"/>
  <c r="G1782" i="3"/>
  <c r="G1781" i="3"/>
  <c r="G1780" i="3"/>
  <c r="G1774" i="3"/>
  <c r="G1773" i="3"/>
  <c r="G1772" i="3"/>
  <c r="F1771" i="3"/>
  <c r="F1770" i="3" s="1"/>
  <c r="F234" i="7" s="1"/>
  <c r="F1733" i="3"/>
  <c r="G1733" i="3" s="1"/>
  <c r="F1732" i="3"/>
  <c r="G1732" i="3" s="1"/>
  <c r="G1731" i="3"/>
  <c r="G1730" i="3"/>
  <c r="F1768" i="3"/>
  <c r="G1768" i="3" s="1"/>
  <c r="F1767" i="3"/>
  <c r="G1767" i="3" s="1"/>
  <c r="G1766" i="3"/>
  <c r="G1765" i="3"/>
  <c r="F1761" i="3"/>
  <c r="G1761" i="3" s="1"/>
  <c r="F1760" i="3"/>
  <c r="G1760" i="3" s="1"/>
  <c r="G1759" i="3"/>
  <c r="G1758" i="3"/>
  <c r="F1754" i="3"/>
  <c r="G1754" i="3" s="1"/>
  <c r="F1753" i="3"/>
  <c r="G1753" i="3" s="1"/>
  <c r="G1752" i="3"/>
  <c r="G1751" i="3"/>
  <c r="F1747" i="3"/>
  <c r="G1747" i="3" s="1"/>
  <c r="F1746" i="3"/>
  <c r="G1746" i="3" s="1"/>
  <c r="G1745" i="3"/>
  <c r="G1744" i="3"/>
  <c r="F1740" i="3"/>
  <c r="G1740" i="3" s="1"/>
  <c r="F1739" i="3"/>
  <c r="G1739" i="3" s="1"/>
  <c r="G1738" i="3"/>
  <c r="G1737" i="3"/>
  <c r="F1963" i="3"/>
  <c r="F258" i="7" s="1"/>
  <c r="F1724" i="3"/>
  <c r="G1724" i="3" s="1"/>
  <c r="G1723" i="3"/>
  <c r="G1717" i="3"/>
  <c r="G1716" i="3"/>
  <c r="F1710" i="3"/>
  <c r="G1710" i="3" s="1"/>
  <c r="F1709" i="3"/>
  <c r="G1709" i="3" s="1"/>
  <c r="F1708" i="3"/>
  <c r="G1708" i="3" s="1"/>
  <c r="F1707" i="3"/>
  <c r="G1707" i="3" s="1"/>
  <c r="F1701" i="3"/>
  <c r="G1701" i="3" s="1"/>
  <c r="F1700" i="3"/>
  <c r="G1700" i="3" s="1"/>
  <c r="F1699" i="3"/>
  <c r="G1699" i="3" s="1"/>
  <c r="F1698" i="3"/>
  <c r="G1698" i="3" s="1"/>
  <c r="F1692" i="3"/>
  <c r="G1692" i="3" s="1"/>
  <c r="F1691" i="3"/>
  <c r="G1691" i="3" s="1"/>
  <c r="F1690" i="3"/>
  <c r="G1690" i="3" s="1"/>
  <c r="F1689" i="3"/>
  <c r="G1689" i="3" s="1"/>
  <c r="F1683" i="3"/>
  <c r="G1683" i="3" s="1"/>
  <c r="F1682" i="3"/>
  <c r="G1682" i="3" s="1"/>
  <c r="F1681" i="3"/>
  <c r="G1681" i="3" s="1"/>
  <c r="F1680" i="3"/>
  <c r="G1680" i="3" s="1"/>
  <c r="F1674" i="3"/>
  <c r="G1674" i="3" s="1"/>
  <c r="F1673" i="3"/>
  <c r="G1673" i="3" s="1"/>
  <c r="G1672" i="3"/>
  <c r="G1671" i="3"/>
  <c r="G1665" i="3"/>
  <c r="G1664" i="3"/>
  <c r="G1663" i="3"/>
  <c r="G1662" i="3"/>
  <c r="F1661" i="3"/>
  <c r="F1660" i="3" s="1"/>
  <c r="F220" i="7" s="1"/>
  <c r="G1656" i="3"/>
  <c r="G1655" i="3"/>
  <c r="G1654" i="3"/>
  <c r="G1653" i="3"/>
  <c r="F1652" i="3"/>
  <c r="F1651" i="3" s="1"/>
  <c r="G1647" i="3"/>
  <c r="F1637" i="3"/>
  <c r="G1637" i="3" s="1"/>
  <c r="G1636" i="3"/>
  <c r="F1630" i="3"/>
  <c r="G1630" i="3" s="1"/>
  <c r="G1629" i="3"/>
  <c r="G1623" i="3"/>
  <c r="G1622" i="3"/>
  <c r="G1616" i="3"/>
  <c r="G1615" i="3"/>
  <c r="F1609" i="3"/>
  <c r="G1609" i="3" s="1"/>
  <c r="F1608" i="3"/>
  <c r="G1608" i="3" s="1"/>
  <c r="F1607" i="3"/>
  <c r="G1607" i="3" s="1"/>
  <c r="F1606" i="3"/>
  <c r="G1606" i="3" s="1"/>
  <c r="F1600" i="3"/>
  <c r="G1600" i="3" s="1"/>
  <c r="F1599" i="3"/>
  <c r="G1599" i="3" s="1"/>
  <c r="F1598" i="3"/>
  <c r="G1598" i="3" s="1"/>
  <c r="F1597" i="3"/>
  <c r="G1597" i="3" s="1"/>
  <c r="F1591" i="3"/>
  <c r="G1591" i="3" s="1"/>
  <c r="F1590" i="3"/>
  <c r="G1590" i="3" s="1"/>
  <c r="F1589" i="3"/>
  <c r="G1589" i="3" s="1"/>
  <c r="F1588" i="3"/>
  <c r="G1588" i="3" s="1"/>
  <c r="F1573" i="3"/>
  <c r="G1573" i="3" s="1"/>
  <c r="F1572" i="3"/>
  <c r="G1572" i="3" s="1"/>
  <c r="F1571" i="3"/>
  <c r="G1571" i="3" s="1"/>
  <c r="F1570" i="3"/>
  <c r="G1570" i="3" s="1"/>
  <c r="F1582" i="3"/>
  <c r="G1582" i="3" s="1"/>
  <c r="F1581" i="3"/>
  <c r="G1581" i="3" s="1"/>
  <c r="F1580" i="3"/>
  <c r="G1580" i="3" s="1"/>
  <c r="F1579" i="3"/>
  <c r="G1579" i="3" s="1"/>
  <c r="G1564" i="3"/>
  <c r="F1563" i="3"/>
  <c r="G1563" i="3" s="1"/>
  <c r="F1562" i="3"/>
  <c r="G1562" i="3" s="1"/>
  <c r="F1561" i="3"/>
  <c r="G1561" i="3" s="1"/>
  <c r="G1555" i="3"/>
  <c r="F1554" i="3"/>
  <c r="G1554" i="3" s="1"/>
  <c r="F1553" i="3"/>
  <c r="G1553" i="3" s="1"/>
  <c r="F1552" i="3"/>
  <c r="G1552" i="3" s="1"/>
  <c r="F1546" i="3"/>
  <c r="G1546" i="3" s="1"/>
  <c r="F1545" i="3"/>
  <c r="G1545" i="3" s="1"/>
  <c r="F1544" i="3"/>
  <c r="G1544" i="3" s="1"/>
  <c r="F1543" i="3"/>
  <c r="G1543" i="3" s="1"/>
  <c r="F1537" i="3"/>
  <c r="G1537" i="3" s="1"/>
  <c r="F1536" i="3"/>
  <c r="G1536" i="3" s="1"/>
  <c r="F1535" i="3"/>
  <c r="G1535" i="3" s="1"/>
  <c r="F1534" i="3"/>
  <c r="G1534" i="3" s="1"/>
  <c r="F1528" i="3"/>
  <c r="G1528" i="3" s="1"/>
  <c r="F1527" i="3"/>
  <c r="G1527" i="3" s="1"/>
  <c r="F1526" i="3"/>
  <c r="G1526" i="3" s="1"/>
  <c r="F1525" i="3"/>
  <c r="G1525" i="3" s="1"/>
  <c r="F1519" i="3"/>
  <c r="G1519" i="3" s="1"/>
  <c r="F1518" i="3"/>
  <c r="G1518" i="3" s="1"/>
  <c r="F1517" i="3"/>
  <c r="G1517" i="3" s="1"/>
  <c r="F1516" i="3"/>
  <c r="G1516" i="3" s="1"/>
  <c r="F1510" i="3"/>
  <c r="G1510" i="3" s="1"/>
  <c r="F1509" i="3"/>
  <c r="G1509" i="3" s="1"/>
  <c r="F1508" i="3"/>
  <c r="G1508" i="3" s="1"/>
  <c r="F1507" i="3"/>
  <c r="G1507" i="3" s="1"/>
  <c r="G1501" i="3"/>
  <c r="G1500" i="3"/>
  <c r="G1499" i="3"/>
  <c r="G1498" i="3"/>
  <c r="G1492" i="3"/>
  <c r="G1491" i="3"/>
  <c r="G1490" i="3"/>
  <c r="G1489" i="3"/>
  <c r="G1483" i="3"/>
  <c r="G1482" i="3"/>
  <c r="G1481" i="3"/>
  <c r="G1480" i="3"/>
  <c r="G1474" i="3"/>
  <c r="G1473" i="3"/>
  <c r="G1472" i="3"/>
  <c r="G1471" i="3"/>
  <c r="E1496" i="3"/>
  <c r="E1487" i="3"/>
  <c r="G1465" i="3"/>
  <c r="G1464" i="3"/>
  <c r="G1463" i="3"/>
  <c r="G1462" i="3"/>
  <c r="F1458" i="3"/>
  <c r="G1458" i="3" s="1"/>
  <c r="F1457" i="3"/>
  <c r="G1457" i="3" s="1"/>
  <c r="G1456" i="3"/>
  <c r="G1455" i="3"/>
  <c r="F1451" i="3"/>
  <c r="G1451" i="3" s="1"/>
  <c r="F1450" i="3"/>
  <c r="G1450" i="3" s="1"/>
  <c r="G1449" i="3"/>
  <c r="G1448" i="3"/>
  <c r="F1444" i="3"/>
  <c r="G1444" i="3" s="1"/>
  <c r="F1443" i="3"/>
  <c r="G1443" i="3" s="1"/>
  <c r="G1442" i="3"/>
  <c r="G1441" i="3"/>
  <c r="F1437" i="3"/>
  <c r="G1437" i="3" s="1"/>
  <c r="F1436" i="3"/>
  <c r="G1436" i="3" s="1"/>
  <c r="G1435" i="3"/>
  <c r="G1434" i="3"/>
  <c r="E1453" i="3"/>
  <c r="E1439" i="3"/>
  <c r="E1446" i="3"/>
  <c r="F1430" i="3"/>
  <c r="G1430" i="3" s="1"/>
  <c r="F1429" i="3"/>
  <c r="G1429" i="3" s="1"/>
  <c r="G1428" i="3"/>
  <c r="G1427" i="3"/>
  <c r="F2297" i="3"/>
  <c r="G2297" i="3" s="1"/>
  <c r="F2296" i="3"/>
  <c r="G2296" i="3" s="1"/>
  <c r="G2295" i="3"/>
  <c r="F2294" i="3"/>
  <c r="F2293" i="3" s="1"/>
  <c r="F301" i="7" s="1"/>
  <c r="G2289" i="3"/>
  <c r="G2283" i="3"/>
  <c r="G2282" i="3"/>
  <c r="G2276" i="3"/>
  <c r="G2275" i="3"/>
  <c r="F2265" i="3"/>
  <c r="G2265" i="3" s="1"/>
  <c r="F2264" i="3"/>
  <c r="G2264" i="3" s="1"/>
  <c r="G2263" i="3"/>
  <c r="F2271" i="3"/>
  <c r="G2271" i="3" s="1"/>
  <c r="F2270" i="3"/>
  <c r="G2270" i="3" s="1"/>
  <c r="G2269" i="3"/>
  <c r="F2259" i="3"/>
  <c r="G2259" i="3" s="1"/>
  <c r="F2258" i="3"/>
  <c r="G2258" i="3" s="1"/>
  <c r="G2257" i="3"/>
  <c r="G2256" i="3"/>
  <c r="F2252" i="3"/>
  <c r="G2252" i="3" s="1"/>
  <c r="F2251" i="3"/>
  <c r="G2251" i="3" s="1"/>
  <c r="G2250" i="3"/>
  <c r="G2249" i="3"/>
  <c r="F2245" i="3"/>
  <c r="G2245" i="3" s="1"/>
  <c r="F2244" i="3"/>
  <c r="G2244" i="3" s="1"/>
  <c r="G2243" i="3"/>
  <c r="G2242" i="3"/>
  <c r="F2238" i="3"/>
  <c r="G2238" i="3" s="1"/>
  <c r="F2237" i="3"/>
  <c r="G2237" i="3" s="1"/>
  <c r="G2236" i="3"/>
  <c r="G2235" i="3"/>
  <c r="F2231" i="3"/>
  <c r="G2231" i="3" s="1"/>
  <c r="F2230" i="3"/>
  <c r="G2230" i="3" s="1"/>
  <c r="G2229" i="3"/>
  <c r="G2228" i="3"/>
  <c r="F2224" i="3"/>
  <c r="G2224" i="3" s="1"/>
  <c r="F2223" i="3"/>
  <c r="G2223" i="3" s="1"/>
  <c r="G2222" i="3"/>
  <c r="G2221" i="3"/>
  <c r="F2217" i="3"/>
  <c r="G2217" i="3" s="1"/>
  <c r="F2216" i="3"/>
  <c r="G2216" i="3" s="1"/>
  <c r="G2215" i="3"/>
  <c r="F2211" i="3"/>
  <c r="G2211" i="3" s="1"/>
  <c r="F2210" i="3"/>
  <c r="G2210" i="3" s="1"/>
  <c r="G2209" i="3"/>
  <c r="F2205" i="3"/>
  <c r="G2205" i="3" s="1"/>
  <c r="F2204" i="3"/>
  <c r="G2204" i="3" s="1"/>
  <c r="G2203" i="3"/>
  <c r="F2193" i="3"/>
  <c r="G2193" i="3" s="1"/>
  <c r="F2192" i="3"/>
  <c r="G2192" i="3" s="1"/>
  <c r="F2191" i="3"/>
  <c r="G2191" i="3" s="1"/>
  <c r="F2190" i="3"/>
  <c r="F2189" i="3" s="1"/>
  <c r="F285" i="7" s="1"/>
  <c r="F2199" i="3"/>
  <c r="G2199" i="3" s="1"/>
  <c r="F2198" i="3"/>
  <c r="G2198" i="3" s="1"/>
  <c r="G2197" i="3"/>
  <c r="F2187" i="3"/>
  <c r="G2187" i="3" s="1"/>
  <c r="F2186" i="3"/>
  <c r="G2186" i="3" s="1"/>
  <c r="G2185" i="3"/>
  <c r="F2184" i="3"/>
  <c r="F2183" i="3" s="1"/>
  <c r="F2181" i="3"/>
  <c r="G2181" i="3" s="1"/>
  <c r="F2180" i="3"/>
  <c r="G2180" i="3" s="1"/>
  <c r="G2179" i="3"/>
  <c r="F2178" i="3"/>
  <c r="F2177" i="3" s="1"/>
  <c r="F283" i="7" s="1"/>
  <c r="G2173" i="3"/>
  <c r="G2172" i="3"/>
  <c r="F2171" i="3"/>
  <c r="F2170" i="3" s="1"/>
  <c r="F282" i="7" s="1"/>
  <c r="G2166" i="3"/>
  <c r="G2165" i="3"/>
  <c r="F2164" i="3"/>
  <c r="G2164" i="3" s="1"/>
  <c r="G2159" i="3"/>
  <c r="G2158" i="3"/>
  <c r="F2157" i="3"/>
  <c r="F2156" i="3" s="1"/>
  <c r="G2152" i="3"/>
  <c r="G2151" i="3"/>
  <c r="F2150" i="3"/>
  <c r="F2149" i="3" s="1"/>
  <c r="F279" i="7" s="1"/>
  <c r="G2145" i="3"/>
  <c r="G2144" i="3"/>
  <c r="F2143" i="3"/>
  <c r="G2143" i="3" s="1"/>
  <c r="G2138" i="3"/>
  <c r="G2137" i="3"/>
  <c r="F2136" i="3"/>
  <c r="F2135" i="3" s="1"/>
  <c r="F277" i="7" s="1"/>
  <c r="F2131" i="3"/>
  <c r="G2131" i="3" s="1"/>
  <c r="G2592" i="3"/>
  <c r="G2593" i="3" s="1"/>
  <c r="F2591" i="3" s="1"/>
  <c r="G2588" i="3"/>
  <c r="G2587" i="3"/>
  <c r="G2586" i="3"/>
  <c r="G2579" i="3"/>
  <c r="G2580" i="3" s="1"/>
  <c r="F2578" i="3" s="1"/>
  <c r="F2577" i="3" s="1"/>
  <c r="F340" i="7" s="1"/>
  <c r="G2575" i="3"/>
  <c r="G2574" i="3"/>
  <c r="G2573" i="3"/>
  <c r="G2572" i="3"/>
  <c r="F2536" i="3"/>
  <c r="G2536" i="3" s="1"/>
  <c r="F2535" i="3"/>
  <c r="G2535" i="3" s="1"/>
  <c r="G2534" i="3"/>
  <c r="G2533" i="3"/>
  <c r="G2532" i="3"/>
  <c r="F2531" i="3"/>
  <c r="F2530" i="3" s="1"/>
  <c r="G2518" i="3"/>
  <c r="G2517" i="3"/>
  <c r="G2516" i="3"/>
  <c r="G2515" i="3"/>
  <c r="G2514" i="3"/>
  <c r="G2513" i="3"/>
  <c r="G2512" i="3"/>
  <c r="F2473" i="3"/>
  <c r="G2473" i="3" s="1"/>
  <c r="F2472" i="3"/>
  <c r="G2472" i="3" s="1"/>
  <c r="G2471" i="3"/>
  <c r="G2470" i="3"/>
  <c r="G2469" i="3"/>
  <c r="F2465" i="3"/>
  <c r="G2465" i="3" s="1"/>
  <c r="F2464" i="3"/>
  <c r="G2464" i="3" s="1"/>
  <c r="G2463" i="3"/>
  <c r="G2462" i="3"/>
  <c r="G2461" i="3"/>
  <c r="G2460" i="3"/>
  <c r="F2456" i="3"/>
  <c r="G2456" i="3" s="1"/>
  <c r="F2455" i="3"/>
  <c r="G2455" i="3" s="1"/>
  <c r="G2454" i="3"/>
  <c r="F2450" i="3"/>
  <c r="G2450" i="3" s="1"/>
  <c r="F2449" i="3"/>
  <c r="G2449" i="3" s="1"/>
  <c r="G2448" i="3"/>
  <c r="G2447" i="3"/>
  <c r="G2446" i="3"/>
  <c r="F2442" i="3"/>
  <c r="G2442" i="3" s="1"/>
  <c r="F2441" i="3"/>
  <c r="G2441" i="3" s="1"/>
  <c r="G2440" i="3"/>
  <c r="G2439" i="3"/>
  <c r="G2438" i="3"/>
  <c r="G2437" i="3"/>
  <c r="G2433" i="3"/>
  <c r="G2432" i="3"/>
  <c r="G2431" i="3"/>
  <c r="G2430" i="3"/>
  <c r="G2429" i="3"/>
  <c r="G2428" i="3"/>
  <c r="F2581" i="3"/>
  <c r="G1421" i="3"/>
  <c r="G1420" i="3"/>
  <c r="G1414" i="3"/>
  <c r="G1413" i="3"/>
  <c r="F1412" i="3"/>
  <c r="G1412" i="3" s="1"/>
  <c r="G1409" i="3"/>
  <c r="G1410" i="3" s="1"/>
  <c r="F1408" i="3" s="1"/>
  <c r="F1407" i="3" s="1"/>
  <c r="G1405" i="3"/>
  <c r="G1406" i="3" s="1"/>
  <c r="F1404" i="3"/>
  <c r="G1404" i="3" s="1"/>
  <c r="F1401" i="3"/>
  <c r="G1401" i="3" s="1"/>
  <c r="F1400" i="3"/>
  <c r="G1400" i="3" s="1"/>
  <c r="G1399" i="3"/>
  <c r="G1398" i="3"/>
  <c r="G1397" i="3"/>
  <c r="G1396" i="3"/>
  <c r="G1395" i="3"/>
  <c r="G1394" i="3"/>
  <c r="G1393" i="3"/>
  <c r="G1390" i="3"/>
  <c r="G1391" i="3" s="1"/>
  <c r="F1389" i="3"/>
  <c r="G1386" i="3"/>
  <c r="G1385" i="3"/>
  <c r="G1384" i="3"/>
  <c r="G1383" i="3"/>
  <c r="G1382" i="3"/>
  <c r="G1381" i="3"/>
  <c r="G1372" i="3"/>
  <c r="G1371" i="3"/>
  <c r="G1370" i="3"/>
  <c r="G1369" i="3"/>
  <c r="G1359" i="3"/>
  <c r="G1355" i="3"/>
  <c r="G1354" i="3"/>
  <c r="G1353" i="3"/>
  <c r="G1352" i="3"/>
  <c r="G1351" i="3"/>
  <c r="G1350" i="3"/>
  <c r="G1346" i="3"/>
  <c r="G1345" i="3"/>
  <c r="G1344" i="3"/>
  <c r="G1343" i="3"/>
  <c r="G1342" i="3"/>
  <c r="G1341" i="3"/>
  <c r="F2086" i="3"/>
  <c r="F2077" i="3"/>
  <c r="F267" i="7" s="1"/>
  <c r="F1301" i="3"/>
  <c r="G1301" i="3" s="1"/>
  <c r="F1300" i="3"/>
  <c r="G1300" i="3" s="1"/>
  <c r="G1299" i="3"/>
  <c r="G1298" i="3"/>
  <c r="G1297" i="3"/>
  <c r="E1286" i="3"/>
  <c r="G1293" i="3"/>
  <c r="G1292" i="3"/>
  <c r="F1291" i="3"/>
  <c r="G1291" i="3" s="1"/>
  <c r="F1290" i="3"/>
  <c r="G1290" i="3" s="1"/>
  <c r="G1288" i="3"/>
  <c r="G1266" i="3"/>
  <c r="G1265" i="3"/>
  <c r="F1264" i="3"/>
  <c r="G1264" i="3" s="1"/>
  <c r="F1263" i="3"/>
  <c r="G1263" i="3" s="1"/>
  <c r="G1261" i="3"/>
  <c r="G1250" i="3"/>
  <c r="G1249" i="3"/>
  <c r="G1248" i="3"/>
  <c r="F1247" i="3"/>
  <c r="G1247" i="3" s="1"/>
  <c r="F1246" i="3"/>
  <c r="G1246" i="3" s="1"/>
  <c r="G1245" i="3"/>
  <c r="G1244" i="3"/>
  <c r="G1240" i="3"/>
  <c r="G1239" i="3"/>
  <c r="G1238" i="3"/>
  <c r="F1237" i="3"/>
  <c r="G1237" i="3" s="1"/>
  <c r="F1236" i="3"/>
  <c r="G1236" i="3" s="1"/>
  <c r="G1235" i="3"/>
  <c r="G1234" i="3"/>
  <c r="G1222" i="3"/>
  <c r="G1221" i="3"/>
  <c r="F1220" i="3"/>
  <c r="G1220" i="3" s="1"/>
  <c r="F1219" i="3"/>
  <c r="G1219" i="3" s="1"/>
  <c r="G1218" i="3"/>
  <c r="G1214" i="3"/>
  <c r="G1213" i="3"/>
  <c r="F1212" i="3"/>
  <c r="G1212" i="3" s="1"/>
  <c r="F1211" i="3"/>
  <c r="G1211" i="3" s="1"/>
  <c r="G1210" i="3"/>
  <c r="F1195" i="3"/>
  <c r="G1195" i="3" s="1"/>
  <c r="G1194" i="3"/>
  <c r="F1190" i="3"/>
  <c r="G1190" i="3" s="1"/>
  <c r="G1189" i="3"/>
  <c r="G1183" i="3"/>
  <c r="F1185" i="3"/>
  <c r="G1185" i="3" s="1"/>
  <c r="F1184" i="3"/>
  <c r="G1184" i="3" s="1"/>
  <c r="G1182" i="3"/>
  <c r="F1171" i="3"/>
  <c r="G1171" i="3" s="1"/>
  <c r="F1170" i="3"/>
  <c r="G1170" i="3" s="1"/>
  <c r="G1169" i="3"/>
  <c r="G1176" i="3"/>
  <c r="G1175" i="3"/>
  <c r="G1163" i="3"/>
  <c r="G1162" i="3"/>
  <c r="E1146" i="3"/>
  <c r="F1151" i="3"/>
  <c r="G1151" i="3" s="1"/>
  <c r="F1150" i="3"/>
  <c r="G1150" i="3" s="1"/>
  <c r="G1149" i="3"/>
  <c r="G1148" i="3"/>
  <c r="G1147" i="3"/>
  <c r="F1136" i="3"/>
  <c r="G1136" i="3" s="1"/>
  <c r="F1135" i="3"/>
  <c r="G1135" i="3" s="1"/>
  <c r="G1134" i="3"/>
  <c r="G1133" i="3"/>
  <c r="G1132" i="3"/>
  <c r="G1128" i="3"/>
  <c r="G1126" i="3"/>
  <c r="G1125" i="3"/>
  <c r="G1124" i="3"/>
  <c r="G1123" i="3"/>
  <c r="G1122" i="3"/>
  <c r="G1121" i="3"/>
  <c r="G1120" i="3"/>
  <c r="G1116" i="3"/>
  <c r="G1114" i="3"/>
  <c r="G1113" i="3"/>
  <c r="G1112" i="3"/>
  <c r="G1111" i="3"/>
  <c r="G1110" i="3"/>
  <c r="G1109" i="3"/>
  <c r="G1108" i="3"/>
  <c r="G1104" i="3"/>
  <c r="F1103" i="3"/>
  <c r="G1103" i="3" s="1"/>
  <c r="G1102" i="3"/>
  <c r="G1101" i="3"/>
  <c r="G1100" i="3"/>
  <c r="G1099" i="3"/>
  <c r="G1098" i="3"/>
  <c r="G1097" i="3"/>
  <c r="G1096" i="3"/>
  <c r="G1085" i="3"/>
  <c r="F1084" i="3"/>
  <c r="G1084" i="3" s="1"/>
  <c r="F1083" i="3"/>
  <c r="G1083" i="3" s="1"/>
  <c r="G1082" i="3"/>
  <c r="G1071" i="3"/>
  <c r="F1070" i="3"/>
  <c r="G1070" i="3" s="1"/>
  <c r="F1069" i="3"/>
  <c r="G1069" i="3" s="1"/>
  <c r="G1068" i="3"/>
  <c r="G1056" i="3"/>
  <c r="G1055" i="3"/>
  <c r="G1054" i="3"/>
  <c r="G1053" i="3"/>
  <c r="G1052" i="3"/>
  <c r="G1039" i="3"/>
  <c r="G1038" i="3"/>
  <c r="F1037" i="3"/>
  <c r="F1036" i="3" s="1"/>
  <c r="F145" i="7" s="1"/>
  <c r="F1034" i="3"/>
  <c r="G1034" i="3" s="1"/>
  <c r="F1033" i="3"/>
  <c r="G1033" i="3" s="1"/>
  <c r="G1032" i="3"/>
  <c r="G1028" i="3"/>
  <c r="G1027" i="3"/>
  <c r="G1025" i="3"/>
  <c r="G1024" i="3"/>
  <c r="G1023" i="3"/>
  <c r="G1019" i="3"/>
  <c r="G1018" i="3"/>
  <c r="G1016" i="3"/>
  <c r="G1015" i="3"/>
  <c r="G1014" i="3"/>
  <c r="G922" i="3"/>
  <c r="G921" i="3"/>
  <c r="G919" i="3"/>
  <c r="G918" i="3"/>
  <c r="G912" i="3"/>
  <c r="G911" i="3"/>
  <c r="G910" i="3"/>
  <c r="G904" i="3"/>
  <c r="G903" i="3"/>
  <c r="G902" i="3"/>
  <c r="E880" i="3"/>
  <c r="F885" i="3"/>
  <c r="G885" i="3" s="1"/>
  <c r="F884" i="3"/>
  <c r="G884" i="3" s="1"/>
  <c r="F883" i="3"/>
  <c r="G883" i="3" s="1"/>
  <c r="F882" i="3"/>
  <c r="G882" i="3" s="1"/>
  <c r="E732" i="3"/>
  <c r="F735" i="3"/>
  <c r="G735" i="3" s="1"/>
  <c r="F734" i="3"/>
  <c r="G734" i="3" s="1"/>
  <c r="F733" i="3"/>
  <c r="G733" i="3" s="1"/>
  <c r="F732" i="3"/>
  <c r="F730" i="3"/>
  <c r="G730" i="3" s="1"/>
  <c r="F729" i="3"/>
  <c r="G729" i="3" s="1"/>
  <c r="F728" i="3"/>
  <c r="G728" i="3" s="1"/>
  <c r="F727" i="3"/>
  <c r="E721" i="3"/>
  <c r="E716" i="3"/>
  <c r="F724" i="3"/>
  <c r="G724" i="3" s="1"/>
  <c r="F723" i="3"/>
  <c r="G723" i="3" s="1"/>
  <c r="G722" i="3"/>
  <c r="F721" i="3"/>
  <c r="F719" i="3"/>
  <c r="G719" i="3" s="1"/>
  <c r="F718" i="3"/>
  <c r="G718" i="3" s="1"/>
  <c r="G717" i="3"/>
  <c r="F716" i="3"/>
  <c r="F713" i="3"/>
  <c r="G713" i="3" s="1"/>
  <c r="F712" i="3"/>
  <c r="G712" i="3" s="1"/>
  <c r="G711" i="3"/>
  <c r="G707" i="3"/>
  <c r="G704" i="3"/>
  <c r="G703" i="3"/>
  <c r="G701" i="3"/>
  <c r="F2412" i="3" l="1"/>
  <c r="F314" i="7" s="1"/>
  <c r="H991" i="3"/>
  <c r="G991" i="3"/>
  <c r="I991" i="3" s="1"/>
  <c r="H282" i="7"/>
  <c r="G282" i="7"/>
  <c r="I282" i="7" s="1"/>
  <c r="H1651" i="3"/>
  <c r="F219" i="7"/>
  <c r="H256" i="7"/>
  <c r="G256" i="7"/>
  <c r="I256" i="7" s="1"/>
  <c r="H2530" i="3"/>
  <c r="F331" i="7"/>
  <c r="G277" i="7"/>
  <c r="I277" i="7" s="1"/>
  <c r="H277" i="7"/>
  <c r="H220" i="7"/>
  <c r="G220" i="7"/>
  <c r="I220" i="7" s="1"/>
  <c r="H1932" i="3"/>
  <c r="F255" i="7"/>
  <c r="H48" i="7"/>
  <c r="G48" i="7"/>
  <c r="I48" i="7" s="1"/>
  <c r="H267" i="7"/>
  <c r="G267" i="7"/>
  <c r="I267" i="7" s="1"/>
  <c r="G2581" i="3"/>
  <c r="F341" i="7"/>
  <c r="H2156" i="3"/>
  <c r="F280" i="7"/>
  <c r="H285" i="7"/>
  <c r="G285" i="7"/>
  <c r="I285" i="7" s="1"/>
  <c r="G301" i="7"/>
  <c r="I301" i="7" s="1"/>
  <c r="H301" i="7"/>
  <c r="H258" i="7"/>
  <c r="G258" i="7"/>
  <c r="I258" i="7" s="1"/>
  <c r="H236" i="7"/>
  <c r="G236" i="7"/>
  <c r="I236" i="7" s="1"/>
  <c r="H238" i="7"/>
  <c r="G238" i="7"/>
  <c r="I238" i="7" s="1"/>
  <c r="H1407" i="3"/>
  <c r="F188" i="7"/>
  <c r="H55" i="7"/>
  <c r="G55" i="7"/>
  <c r="I55" i="7" s="1"/>
  <c r="G145" i="7"/>
  <c r="I145" i="7" s="1"/>
  <c r="H145" i="7"/>
  <c r="H2086" i="3"/>
  <c r="F268" i="7"/>
  <c r="G340" i="7"/>
  <c r="I340" i="7" s="1"/>
  <c r="H340" i="7"/>
  <c r="G279" i="7"/>
  <c r="I279" i="7" s="1"/>
  <c r="H279" i="7"/>
  <c r="H283" i="7"/>
  <c r="G283" i="7"/>
  <c r="I283" i="7" s="1"/>
  <c r="H2183" i="3"/>
  <c r="F284" i="7"/>
  <c r="H234" i="7"/>
  <c r="G234" i="7"/>
  <c r="I234" i="7" s="1"/>
  <c r="H1826" i="3"/>
  <c r="F243" i="7"/>
  <c r="F2048" i="3"/>
  <c r="F262" i="7" s="1"/>
  <c r="F2331" i="3"/>
  <c r="F304" i="7" s="1"/>
  <c r="F2486" i="3"/>
  <c r="G2486" i="3" s="1"/>
  <c r="G1029" i="3"/>
  <c r="F1022" i="3" s="1"/>
  <c r="F1021" i="3" s="1"/>
  <c r="F143" i="7" s="1"/>
  <c r="F395" i="3"/>
  <c r="F71" i="7" s="1"/>
  <c r="H2577" i="3"/>
  <c r="H2077" i="3"/>
  <c r="H2135" i="3"/>
  <c r="H2581" i="3"/>
  <c r="H2189" i="3"/>
  <c r="H2293" i="3"/>
  <c r="H1939" i="3"/>
  <c r="H2149" i="3"/>
  <c r="H2177" i="3"/>
  <c r="H1660" i="3"/>
  <c r="H2170" i="3"/>
  <c r="H1963" i="3"/>
  <c r="H1786" i="3"/>
  <c r="H1794" i="3"/>
  <c r="G2563" i="3"/>
  <c r="F2560" i="3" s="1"/>
  <c r="F2559" i="3" s="1"/>
  <c r="H1770" i="3"/>
  <c r="G1198" i="3"/>
  <c r="F1197" i="3"/>
  <c r="F162" i="7" s="1"/>
  <c r="G2552" i="3"/>
  <c r="F2549" i="3" s="1"/>
  <c r="G2549" i="3" s="1"/>
  <c r="G2558" i="3"/>
  <c r="F2554" i="3" s="1"/>
  <c r="F2553" i="3" s="1"/>
  <c r="F334" i="7" s="1"/>
  <c r="G2546" i="3"/>
  <c r="F2539" i="3" s="1"/>
  <c r="G2529" i="3"/>
  <c r="F2521" i="3" s="1"/>
  <c r="G2521" i="3" s="1"/>
  <c r="G2509" i="3"/>
  <c r="G394" i="3"/>
  <c r="F389" i="3" s="1"/>
  <c r="G389" i="3" s="1"/>
  <c r="G1366" i="3"/>
  <c r="G1378" i="3"/>
  <c r="G1285" i="3"/>
  <c r="F1278" i="3" s="1"/>
  <c r="G1278" i="3" s="1"/>
  <c r="G1276" i="3"/>
  <c r="F1269" i="3" s="1"/>
  <c r="G1269" i="3" s="1"/>
  <c r="G1258" i="3"/>
  <c r="F1253" i="3" s="1"/>
  <c r="G1253" i="3" s="1"/>
  <c r="F1252" i="3" s="1"/>
  <c r="F170" i="7" s="1"/>
  <c r="G1231" i="3"/>
  <c r="F1225" i="3" s="1"/>
  <c r="G1065" i="3"/>
  <c r="F1059" i="3" s="1"/>
  <c r="F1058" i="3" s="1"/>
  <c r="F148" i="7" s="1"/>
  <c r="G923" i="3"/>
  <c r="F917" i="3" s="1"/>
  <c r="G917" i="3" s="1"/>
  <c r="F742" i="3"/>
  <c r="F112" i="7" s="1"/>
  <c r="G665" i="3"/>
  <c r="G688" i="3"/>
  <c r="G682" i="3"/>
  <c r="G671" i="3"/>
  <c r="G664" i="3"/>
  <c r="F656" i="3" s="1"/>
  <c r="G656" i="3" s="1"/>
  <c r="G681" i="3"/>
  <c r="F673" i="3" s="1"/>
  <c r="G1049" i="3"/>
  <c r="F1042" i="3" s="1"/>
  <c r="G1042" i="3" s="1"/>
  <c r="G962" i="3"/>
  <c r="F961" i="3"/>
  <c r="F955" i="3"/>
  <c r="F134" i="7" s="1"/>
  <c r="G960" i="3"/>
  <c r="G1320" i="3"/>
  <c r="F1315" i="3" s="1"/>
  <c r="F1311" i="3" s="1"/>
  <c r="G1311" i="3" s="1"/>
  <c r="G1314" i="3" s="1"/>
  <c r="F1310" i="3" s="1"/>
  <c r="G1326" i="3"/>
  <c r="F1322" i="3" s="1"/>
  <c r="G1308" i="3"/>
  <c r="F1304" i="3" s="1"/>
  <c r="G954" i="3"/>
  <c r="F949" i="3"/>
  <c r="F133" i="7" s="1"/>
  <c r="G930" i="3"/>
  <c r="F926" i="3" s="1"/>
  <c r="G926" i="3" s="1"/>
  <c r="G892" i="3"/>
  <c r="G896" i="3"/>
  <c r="G895" i="3"/>
  <c r="G897" i="3"/>
  <c r="G893" i="3"/>
  <c r="G741" i="3"/>
  <c r="F738" i="3" s="1"/>
  <c r="G738" i="3" s="1"/>
  <c r="F737" i="3" s="1"/>
  <c r="F111" i="7" s="1"/>
  <c r="G652" i="3"/>
  <c r="G645" i="3"/>
  <c r="G626" i="3"/>
  <c r="F622" i="3" s="1"/>
  <c r="G622" i="3" s="1"/>
  <c r="G620" i="3"/>
  <c r="F616" i="3" s="1"/>
  <c r="F615" i="3" s="1"/>
  <c r="F96" i="7" s="1"/>
  <c r="G571" i="3"/>
  <c r="F564" i="3" s="1"/>
  <c r="G564" i="3" s="1"/>
  <c r="G473" i="3"/>
  <c r="F464" i="3" s="1"/>
  <c r="G464" i="3" s="1"/>
  <c r="G485" i="3"/>
  <c r="F481" i="3" s="1"/>
  <c r="G481" i="3" s="1"/>
  <c r="E771" i="3"/>
  <c r="F762" i="3" s="1"/>
  <c r="F761" i="3" s="1"/>
  <c r="F114" i="7" s="1"/>
  <c r="G2411" i="3"/>
  <c r="F2404" i="3" s="1"/>
  <c r="G2404" i="3" s="1"/>
  <c r="G2402" i="3"/>
  <c r="F2395" i="3" s="1"/>
  <c r="G2395" i="3" s="1"/>
  <c r="G2381" i="3"/>
  <c r="F2377" i="3" s="1"/>
  <c r="G2377" i="3" s="1"/>
  <c r="G2393" i="3"/>
  <c r="F2383" i="3" s="1"/>
  <c r="G2383" i="3" s="1"/>
  <c r="G317" i="3"/>
  <c r="G2352" i="3"/>
  <c r="F2342" i="3" s="1"/>
  <c r="G2342" i="3" s="1"/>
  <c r="G2375" i="3"/>
  <c r="F2365" i="3" s="1"/>
  <c r="G2365" i="3" s="1"/>
  <c r="F2364" i="3" s="1"/>
  <c r="G2330" i="3"/>
  <c r="F2323" i="3" s="1"/>
  <c r="G2323" i="3" s="1"/>
  <c r="G2321" i="3"/>
  <c r="F2300" i="3" s="1"/>
  <c r="G2300" i="3" s="1"/>
  <c r="G2047" i="3"/>
  <c r="F2024" i="3" s="1"/>
  <c r="G2024" i="3" s="1"/>
  <c r="G2022" i="3"/>
  <c r="F2000" i="3" s="1"/>
  <c r="G2000" i="3" s="1"/>
  <c r="G1998" i="3"/>
  <c r="F1982" i="3" s="1"/>
  <c r="G1982" i="3" s="1"/>
  <c r="G1962" i="3"/>
  <c r="F1947" i="3" s="1"/>
  <c r="G1947" i="3" s="1"/>
  <c r="G1894" i="3"/>
  <c r="F1887" i="3" s="1"/>
  <c r="G1887" i="3" s="1"/>
  <c r="G423" i="3"/>
  <c r="F417" i="3" s="1"/>
  <c r="G417" i="3" s="1"/>
  <c r="G318" i="3"/>
  <c r="G415" i="3"/>
  <c r="F409" i="3" s="1"/>
  <c r="G409" i="3" s="1"/>
  <c r="G312" i="3"/>
  <c r="G311" i="3"/>
  <c r="G387" i="3"/>
  <c r="F379" i="3" s="1"/>
  <c r="G379" i="3" s="1"/>
  <c r="G242" i="3"/>
  <c r="F232" i="3" s="1"/>
  <c r="G232" i="3" s="1"/>
  <c r="F328" i="3"/>
  <c r="G328" i="3" s="1"/>
  <c r="G320" i="3"/>
  <c r="G319" i="3"/>
  <c r="F327" i="3"/>
  <c r="G327" i="3" s="1"/>
  <c r="G870" i="3"/>
  <c r="F869" i="3"/>
  <c r="F123" i="7" s="1"/>
  <c r="G858" i="3"/>
  <c r="F857" i="3"/>
  <c r="F122" i="7" s="1"/>
  <c r="G846" i="3"/>
  <c r="F845" i="3"/>
  <c r="F121" i="7" s="1"/>
  <c r="G834" i="3"/>
  <c r="F833" i="3"/>
  <c r="F120" i="7" s="1"/>
  <c r="G822" i="3"/>
  <c r="F821" i="3"/>
  <c r="F119" i="7" s="1"/>
  <c r="G810" i="3"/>
  <c r="F809" i="3"/>
  <c r="F118" i="7" s="1"/>
  <c r="G798" i="3"/>
  <c r="F797" i="3"/>
  <c r="F117" i="7" s="1"/>
  <c r="G786" i="3"/>
  <c r="F785" i="3"/>
  <c r="F116" i="7" s="1"/>
  <c r="G774" i="3"/>
  <c r="F773" i="3"/>
  <c r="F115" i="7" s="1"/>
  <c r="F749" i="3"/>
  <c r="F113" i="7" s="1"/>
  <c r="G518" i="3"/>
  <c r="F515" i="3" s="1"/>
  <c r="G98" i="3"/>
  <c r="F94" i="3" s="1"/>
  <c r="G94" i="3" s="1"/>
  <c r="G17" i="3"/>
  <c r="F14" i="3" s="1"/>
  <c r="G14" i="3" s="1"/>
  <c r="G297" i="3"/>
  <c r="F290" i="3" s="1"/>
  <c r="H278" i="3"/>
  <c r="G278" i="3"/>
  <c r="I278" i="3" s="1"/>
  <c r="G279" i="3"/>
  <c r="G287" i="3"/>
  <c r="G2363" i="3"/>
  <c r="F2354" i="3" s="1"/>
  <c r="F2353" i="3" s="1"/>
  <c r="F308" i="7" s="1"/>
  <c r="G368" i="3"/>
  <c r="F363" i="3" s="1"/>
  <c r="F362" i="3" s="1"/>
  <c r="F67" i="7" s="1"/>
  <c r="G377" i="3"/>
  <c r="F370" i="3" s="1"/>
  <c r="G361" i="3"/>
  <c r="F357" i="3" s="1"/>
  <c r="G343" i="3"/>
  <c r="F339" i="3" s="1"/>
  <c r="G339" i="3" s="1"/>
  <c r="G355" i="3"/>
  <c r="F351" i="3" s="1"/>
  <c r="G349" i="3"/>
  <c r="F345" i="3" s="1"/>
  <c r="G269" i="3"/>
  <c r="F263" i="3" s="1"/>
  <c r="G263" i="3" s="1"/>
  <c r="G337" i="3"/>
  <c r="F332" i="3" s="1"/>
  <c r="F331" i="3" s="1"/>
  <c r="F62" i="7" s="1"/>
  <c r="G306" i="3"/>
  <c r="F300" i="3" s="1"/>
  <c r="G300" i="3" s="1"/>
  <c r="G277" i="3"/>
  <c r="F271" i="3" s="1"/>
  <c r="G261" i="3"/>
  <c r="F255" i="3" s="1"/>
  <c r="G255" i="3" s="1"/>
  <c r="G253" i="3"/>
  <c r="F244" i="3" s="1"/>
  <c r="F243" i="3" s="1"/>
  <c r="F51" i="7" s="1"/>
  <c r="F190" i="3"/>
  <c r="F43" i="7" s="1"/>
  <c r="G230" i="3"/>
  <c r="F224" i="3" s="1"/>
  <c r="F223" i="3" s="1"/>
  <c r="F49" i="7" s="1"/>
  <c r="G222" i="3"/>
  <c r="G216" i="3"/>
  <c r="H215" i="3"/>
  <c r="G215" i="3"/>
  <c r="I215" i="3" s="1"/>
  <c r="G200" i="3"/>
  <c r="G185" i="3"/>
  <c r="F178" i="3" s="1"/>
  <c r="G178" i="3" s="1"/>
  <c r="G1945" i="3"/>
  <c r="G1938" i="3"/>
  <c r="G1940" i="3"/>
  <c r="G1931" i="3"/>
  <c r="F1926" i="3" s="1"/>
  <c r="G1933" i="3"/>
  <c r="G1924" i="3"/>
  <c r="F1919" i="3" s="1"/>
  <c r="F1918" i="3" s="1"/>
  <c r="F253" i="7" s="1"/>
  <c r="G1905" i="3"/>
  <c r="F1896" i="3" s="1"/>
  <c r="F1895" i="3" s="1"/>
  <c r="F251" i="7" s="1"/>
  <c r="G1917" i="3"/>
  <c r="F1907" i="3" s="1"/>
  <c r="G1885" i="3"/>
  <c r="F1877" i="3" s="1"/>
  <c r="F1876" i="3" s="1"/>
  <c r="F249" i="7" s="1"/>
  <c r="G1875" i="3"/>
  <c r="F1868" i="3" s="1"/>
  <c r="F1867" i="3" s="1"/>
  <c r="F248" i="7" s="1"/>
  <c r="G1866" i="3"/>
  <c r="F1859" i="3" s="1"/>
  <c r="F1858" i="3" s="1"/>
  <c r="F247" i="7" s="1"/>
  <c r="G1857" i="3"/>
  <c r="F1851" i="3" s="1"/>
  <c r="G1849" i="3"/>
  <c r="F1843" i="3" s="1"/>
  <c r="F1842" i="3" s="1"/>
  <c r="F245" i="7" s="1"/>
  <c r="G1827" i="3"/>
  <c r="G1841" i="3"/>
  <c r="F1835" i="3" s="1"/>
  <c r="G1833" i="3"/>
  <c r="F1790" i="3"/>
  <c r="F237" i="7" s="1"/>
  <c r="F1798" i="3"/>
  <c r="F239" i="7" s="1"/>
  <c r="G1825" i="3"/>
  <c r="F1819" i="3" s="1"/>
  <c r="G1817" i="3"/>
  <c r="F1811" i="3" s="1"/>
  <c r="G1811" i="3" s="1"/>
  <c r="G1809" i="3"/>
  <c r="F1803" i="3" s="1"/>
  <c r="F1802" i="3" s="1"/>
  <c r="F240" i="7" s="1"/>
  <c r="G1787" i="3"/>
  <c r="G1795" i="3"/>
  <c r="G1785" i="3"/>
  <c r="F1779" i="3" s="1"/>
  <c r="F1778" i="3" s="1"/>
  <c r="F235" i="7" s="1"/>
  <c r="G1777" i="3"/>
  <c r="G1734" i="3"/>
  <c r="F1729" i="3" s="1"/>
  <c r="F1728" i="3" s="1"/>
  <c r="F228" i="7" s="1"/>
  <c r="G1771" i="3"/>
  <c r="G1755" i="3"/>
  <c r="F1750" i="3" s="1"/>
  <c r="G1750" i="3" s="1"/>
  <c r="G1769" i="3"/>
  <c r="F1764" i="3" s="1"/>
  <c r="G1762" i="3"/>
  <c r="F1757" i="3" s="1"/>
  <c r="G1748" i="3"/>
  <c r="F1743" i="3" s="1"/>
  <c r="G1743" i="3" s="1"/>
  <c r="G1741" i="3"/>
  <c r="F1736" i="3" s="1"/>
  <c r="G1932" i="3"/>
  <c r="I1932" i="3" s="1"/>
  <c r="G1939" i="3"/>
  <c r="I1939" i="3" s="1"/>
  <c r="G1963" i="3"/>
  <c r="I1963" i="3" s="1"/>
  <c r="G1826" i="3"/>
  <c r="I1826" i="3" s="1"/>
  <c r="G1727" i="3"/>
  <c r="F1722" i="3" s="1"/>
  <c r="F1721" i="3" s="1"/>
  <c r="F227" i="7" s="1"/>
  <c r="G1720" i="3"/>
  <c r="F1715" i="3" s="1"/>
  <c r="F1714" i="3" s="1"/>
  <c r="F226" i="7" s="1"/>
  <c r="G1695" i="3"/>
  <c r="F1688" i="3" s="1"/>
  <c r="F1687" i="3" s="1"/>
  <c r="F223" i="7" s="1"/>
  <c r="G1713" i="3"/>
  <c r="F1706" i="3" s="1"/>
  <c r="G1704" i="3"/>
  <c r="F1697" i="3" s="1"/>
  <c r="F1696" i="3" s="1"/>
  <c r="F224" i="7" s="1"/>
  <c r="G1686" i="3"/>
  <c r="F1679" i="3" s="1"/>
  <c r="F1678" i="3" s="1"/>
  <c r="F222" i="7" s="1"/>
  <c r="G1668" i="3"/>
  <c r="G1677" i="3"/>
  <c r="F1670" i="3" s="1"/>
  <c r="G1650" i="3"/>
  <c r="F1646" i="3" s="1"/>
  <c r="F1645" i="3" s="1"/>
  <c r="F218" i="7" s="1"/>
  <c r="G1659" i="3"/>
  <c r="G1640" i="3"/>
  <c r="F1635" i="3" s="1"/>
  <c r="F1634" i="3" s="1"/>
  <c r="F216" i="7" s="1"/>
  <c r="G1652" i="3"/>
  <c r="G1661" i="3"/>
  <c r="G1633" i="3"/>
  <c r="F1628" i="3" s="1"/>
  <c r="F1627" i="3" s="1"/>
  <c r="F215" i="7" s="1"/>
  <c r="G1626" i="3"/>
  <c r="F1621" i="3" s="1"/>
  <c r="F1620" i="3" s="1"/>
  <c r="F214" i="7" s="1"/>
  <c r="G1619" i="3"/>
  <c r="F1614" i="3" s="1"/>
  <c r="G1614" i="3" s="1"/>
  <c r="G1612" i="3"/>
  <c r="F1605" i="3" s="1"/>
  <c r="F1604" i="3" s="1"/>
  <c r="F212" i="7" s="1"/>
  <c r="G1603" i="3"/>
  <c r="F1596" i="3" s="1"/>
  <c r="F1595" i="3" s="1"/>
  <c r="F211" i="7" s="1"/>
  <c r="G1594" i="3"/>
  <c r="F1587" i="3" s="1"/>
  <c r="F1586" i="3" s="1"/>
  <c r="F210" i="7" s="1"/>
  <c r="G1576" i="3"/>
  <c r="F1569" i="3" s="1"/>
  <c r="F1568" i="3" s="1"/>
  <c r="F208" i="7" s="1"/>
  <c r="G1585" i="3"/>
  <c r="F1578" i="3" s="1"/>
  <c r="F1577" i="3" s="1"/>
  <c r="F209" i="7" s="1"/>
  <c r="G1567" i="3"/>
  <c r="F1560" i="3" s="1"/>
  <c r="G1558" i="3"/>
  <c r="F1551" i="3" s="1"/>
  <c r="G1549" i="3"/>
  <c r="F1542" i="3" s="1"/>
  <c r="G1542" i="3" s="1"/>
  <c r="G1540" i="3"/>
  <c r="F1533" i="3" s="1"/>
  <c r="G1531" i="3"/>
  <c r="F1524" i="3" s="1"/>
  <c r="G1522" i="3"/>
  <c r="F1515" i="3" s="1"/>
  <c r="G1513" i="3"/>
  <c r="F1506" i="3" s="1"/>
  <c r="G1495" i="3"/>
  <c r="F1488" i="3" s="1"/>
  <c r="F1487" i="3" s="1"/>
  <c r="F199" i="7" s="1"/>
  <c r="G1504" i="3"/>
  <c r="F1497" i="3" s="1"/>
  <c r="G1486" i="3"/>
  <c r="F1479" i="3" s="1"/>
  <c r="F1478" i="3" s="1"/>
  <c r="F198" i="7" s="1"/>
  <c r="G1477" i="3"/>
  <c r="F1470" i="3" s="1"/>
  <c r="F1469" i="3" s="1"/>
  <c r="F197" i="7" s="1"/>
  <c r="G1468" i="3"/>
  <c r="F1461" i="3" s="1"/>
  <c r="G1461" i="3" s="1"/>
  <c r="G1459" i="3"/>
  <c r="F1454" i="3" s="1"/>
  <c r="F1453" i="3" s="1"/>
  <c r="F195" i="7" s="1"/>
  <c r="G1452" i="3"/>
  <c r="F1447" i="3" s="1"/>
  <c r="F1446" i="3" s="1"/>
  <c r="F194" i="7" s="1"/>
  <c r="G1445" i="3"/>
  <c r="F1440" i="3" s="1"/>
  <c r="F1439" i="3" s="1"/>
  <c r="F193" i="7" s="1"/>
  <c r="G1438" i="3"/>
  <c r="F1433" i="3" s="1"/>
  <c r="F1432" i="3" s="1"/>
  <c r="F192" i="7" s="1"/>
  <c r="G1431" i="3"/>
  <c r="F1426" i="3" s="1"/>
  <c r="G1426" i="3" s="1"/>
  <c r="G1770" i="3"/>
  <c r="I1770" i="3" s="1"/>
  <c r="G1786" i="3"/>
  <c r="I1786" i="3" s="1"/>
  <c r="G1794" i="3"/>
  <c r="I1794" i="3" s="1"/>
  <c r="G1651" i="3"/>
  <c r="I1651" i="3" s="1"/>
  <c r="G1660" i="3"/>
  <c r="I1660" i="3" s="1"/>
  <c r="G2298" i="3"/>
  <c r="G2294" i="3"/>
  <c r="G2292" i="3"/>
  <c r="F2288" i="3" s="1"/>
  <c r="F2287" i="3" s="1"/>
  <c r="F300" i="7" s="1"/>
  <c r="G2286" i="3"/>
  <c r="F2281" i="3" s="1"/>
  <c r="G2281" i="3" s="1"/>
  <c r="G2279" i="3"/>
  <c r="F2274" i="3" s="1"/>
  <c r="F2273" i="3" s="1"/>
  <c r="F298" i="7" s="1"/>
  <c r="G2266" i="3"/>
  <c r="F2262" i="3" s="1"/>
  <c r="G2262" i="3" s="1"/>
  <c r="G2272" i="3"/>
  <c r="F2268" i="3" s="1"/>
  <c r="F2267" i="3" s="1"/>
  <c r="F297" i="7" s="1"/>
  <c r="G2293" i="3"/>
  <c r="I2293" i="3" s="1"/>
  <c r="G2260" i="3"/>
  <c r="F2255" i="3" s="1"/>
  <c r="G2255" i="3" s="1"/>
  <c r="G2253" i="3"/>
  <c r="F2248" i="3" s="1"/>
  <c r="F2247" i="3" s="1"/>
  <c r="F294" i="7" s="1"/>
  <c r="G2239" i="3"/>
  <c r="F2234" i="3" s="1"/>
  <c r="G2234" i="3" s="1"/>
  <c r="G2246" i="3"/>
  <c r="F2241" i="3" s="1"/>
  <c r="F2240" i="3" s="1"/>
  <c r="F293" i="7" s="1"/>
  <c r="G2232" i="3"/>
  <c r="F2227" i="3" s="1"/>
  <c r="F2226" i="3" s="1"/>
  <c r="F291" i="7" s="1"/>
  <c r="G2212" i="3"/>
  <c r="F2208" i="3" s="1"/>
  <c r="F2207" i="3" s="1"/>
  <c r="F288" i="7" s="1"/>
  <c r="G2225" i="3"/>
  <c r="F2220" i="3" s="1"/>
  <c r="F2219" i="3" s="1"/>
  <c r="F290" i="7" s="1"/>
  <c r="G2218" i="3"/>
  <c r="F2214" i="3" s="1"/>
  <c r="G2214" i="3" s="1"/>
  <c r="G2206" i="3"/>
  <c r="F2202" i="3" s="1"/>
  <c r="F2201" i="3" s="1"/>
  <c r="F287" i="7" s="1"/>
  <c r="G2190" i="3"/>
  <c r="G2194" i="3"/>
  <c r="F2142" i="3"/>
  <c r="F278" i="7" s="1"/>
  <c r="G2200" i="3"/>
  <c r="G2188" i="3"/>
  <c r="G2184" i="3"/>
  <c r="G2182" i="3"/>
  <c r="G2176" i="3"/>
  <c r="G2171" i="3"/>
  <c r="F2163" i="3"/>
  <c r="F281" i="7" s="1"/>
  <c r="G2178" i="3"/>
  <c r="G2169" i="3"/>
  <c r="G2162" i="3"/>
  <c r="G2157" i="3"/>
  <c r="G2155" i="3"/>
  <c r="G2148" i="3"/>
  <c r="G2114" i="3"/>
  <c r="F2111" i="3" s="1"/>
  <c r="F2110" i="3" s="1"/>
  <c r="F272" i="7" s="1"/>
  <c r="G2141" i="3"/>
  <c r="G2150" i="3"/>
  <c r="G2134" i="3"/>
  <c r="G2129" i="3"/>
  <c r="F2126" i="3" s="1"/>
  <c r="F2125" i="3" s="1"/>
  <c r="F275" i="7" s="1"/>
  <c r="G2136" i="3"/>
  <c r="F2130" i="3"/>
  <c r="F276" i="7" s="1"/>
  <c r="G2124" i="3"/>
  <c r="F2121" i="3" s="1"/>
  <c r="F2120" i="3" s="1"/>
  <c r="F274" i="7" s="1"/>
  <c r="G2109" i="3"/>
  <c r="F2106" i="3" s="1"/>
  <c r="G2106" i="3" s="1"/>
  <c r="G2119" i="3"/>
  <c r="F2116" i="3" s="1"/>
  <c r="F2115" i="3" s="1"/>
  <c r="F273" i="7" s="1"/>
  <c r="G2104" i="3"/>
  <c r="F2101" i="3" s="1"/>
  <c r="F2100" i="3" s="1"/>
  <c r="F270" i="7" s="1"/>
  <c r="G2099" i="3"/>
  <c r="F2096" i="3" s="1"/>
  <c r="F2095" i="3" s="1"/>
  <c r="F269" i="7" s="1"/>
  <c r="G2149" i="3"/>
  <c r="I2149" i="3" s="1"/>
  <c r="G2156" i="3"/>
  <c r="I2156" i="3" s="1"/>
  <c r="G2170" i="3"/>
  <c r="I2170" i="3" s="1"/>
  <c r="G2177" i="3"/>
  <c r="I2177" i="3" s="1"/>
  <c r="G2183" i="3"/>
  <c r="I2183" i="3" s="1"/>
  <c r="G2189" i="3"/>
  <c r="I2189" i="3" s="1"/>
  <c r="G2135" i="3"/>
  <c r="I2135" i="3" s="1"/>
  <c r="F2590" i="3"/>
  <c r="F343" i="7" s="1"/>
  <c r="G2591" i="3"/>
  <c r="G2589" i="3"/>
  <c r="F2585" i="3" s="1"/>
  <c r="G2585" i="3" s="1"/>
  <c r="G2578" i="3"/>
  <c r="G2576" i="3"/>
  <c r="F2571" i="3" s="1"/>
  <c r="G2537" i="3"/>
  <c r="G2531" i="3"/>
  <c r="G2519" i="3"/>
  <c r="F2511" i="3" s="1"/>
  <c r="G2511" i="3" s="1"/>
  <c r="G2474" i="3"/>
  <c r="F2468" i="3" s="1"/>
  <c r="F2467" i="3" s="1"/>
  <c r="F322" i="7" s="1"/>
  <c r="G2466" i="3"/>
  <c r="F2459" i="3" s="1"/>
  <c r="F2458" i="3" s="1"/>
  <c r="F321" i="7" s="1"/>
  <c r="G2457" i="3"/>
  <c r="F2453" i="3" s="1"/>
  <c r="G2451" i="3"/>
  <c r="F2445" i="3" s="1"/>
  <c r="F2444" i="3" s="1"/>
  <c r="F319" i="7" s="1"/>
  <c r="G2443" i="3"/>
  <c r="F2436" i="3" s="1"/>
  <c r="F2435" i="3" s="1"/>
  <c r="F318" i="7" s="1"/>
  <c r="G2434" i="3"/>
  <c r="F2427" i="3" s="1"/>
  <c r="F2426" i="3" s="1"/>
  <c r="F317" i="7" s="1"/>
  <c r="G2530" i="3"/>
  <c r="I2530" i="3" s="1"/>
  <c r="G2577" i="3"/>
  <c r="I2577" i="3" s="1"/>
  <c r="I2581" i="3"/>
  <c r="G1424" i="3"/>
  <c r="F1419" i="3" s="1"/>
  <c r="G1419" i="3" s="1"/>
  <c r="G1417" i="3"/>
  <c r="F1411" i="3"/>
  <c r="F189" i="7" s="1"/>
  <c r="G1408" i="3"/>
  <c r="G1402" i="3"/>
  <c r="F1392" i="3" s="1"/>
  <c r="G1392" i="3" s="1"/>
  <c r="F1403" i="3"/>
  <c r="F187" i="7" s="1"/>
  <c r="G1373" i="3"/>
  <c r="F1368" i="3" s="1"/>
  <c r="G1387" i="3"/>
  <c r="F1380" i="3" s="1"/>
  <c r="G1389" i="3"/>
  <c r="G1361" i="3"/>
  <c r="F1358" i="3" s="1"/>
  <c r="F1357" i="3" s="1"/>
  <c r="F183" i="7" s="1"/>
  <c r="G1356" i="3"/>
  <c r="F1349" i="3" s="1"/>
  <c r="G1349" i="3" s="1"/>
  <c r="G1347" i="3"/>
  <c r="F1340" i="3" s="1"/>
  <c r="F1339" i="3" s="1"/>
  <c r="F181" i="7" s="1"/>
  <c r="G1338" i="3"/>
  <c r="G1332" i="3"/>
  <c r="F1328" i="3" s="1"/>
  <c r="G1328" i="3" s="1"/>
  <c r="G2086" i="3"/>
  <c r="G1407" i="3"/>
  <c r="I1407" i="3" s="1"/>
  <c r="G2077" i="3"/>
  <c r="I2077" i="3" s="1"/>
  <c r="G1302" i="3"/>
  <c r="F1296" i="3" s="1"/>
  <c r="F1295" i="3" s="1"/>
  <c r="F175" i="7" s="1"/>
  <c r="G1294" i="3"/>
  <c r="F1287" i="3" s="1"/>
  <c r="G1267" i="3"/>
  <c r="F1260" i="3" s="1"/>
  <c r="F1259" i="3" s="1"/>
  <c r="F171" i="7" s="1"/>
  <c r="G1251" i="3"/>
  <c r="F1243" i="3" s="1"/>
  <c r="G1243" i="3" s="1"/>
  <c r="F1242" i="3" s="1"/>
  <c r="F169" i="7" s="1"/>
  <c r="G1241" i="3"/>
  <c r="F1233" i="3" s="1"/>
  <c r="G1233" i="3" s="1"/>
  <c r="G1223" i="3"/>
  <c r="F1217" i="3" s="1"/>
  <c r="G1217" i="3" s="1"/>
  <c r="G1215" i="3"/>
  <c r="F1209" i="3" s="1"/>
  <c r="F1208" i="3" s="1"/>
  <c r="F165" i="7" s="1"/>
  <c r="G1196" i="3"/>
  <c r="F1193" i="3" s="1"/>
  <c r="F1192" i="3" s="1"/>
  <c r="F161" i="7" s="1"/>
  <c r="G1191" i="3"/>
  <c r="F1188" i="3" s="1"/>
  <c r="F1187" i="3" s="1"/>
  <c r="F160" i="7" s="1"/>
  <c r="G1186" i="3"/>
  <c r="F1181" i="3" s="1"/>
  <c r="G1172" i="3"/>
  <c r="F1168" i="3" s="1"/>
  <c r="G1168" i="3" s="1"/>
  <c r="G1179" i="3"/>
  <c r="F1174" i="3" s="1"/>
  <c r="F1173" i="3" s="1"/>
  <c r="F158" i="7" s="1"/>
  <c r="G1166" i="3"/>
  <c r="F1161" i="3" s="1"/>
  <c r="G1161" i="3" s="1"/>
  <c r="G1152" i="3"/>
  <c r="F1146" i="3" s="1"/>
  <c r="G1146" i="3" s="1"/>
  <c r="G1137" i="3"/>
  <c r="F1131" i="3" s="1"/>
  <c r="F1130" i="3" s="1"/>
  <c r="F154" i="7" s="1"/>
  <c r="G1129" i="3"/>
  <c r="F1119" i="3" s="1"/>
  <c r="F1118" i="3" s="1"/>
  <c r="F153" i="7" s="1"/>
  <c r="G1117" i="3"/>
  <c r="F1107" i="3" s="1"/>
  <c r="F1106" i="3" s="1"/>
  <c r="F152" i="7" s="1"/>
  <c r="G1072" i="3"/>
  <c r="F1067" i="3" s="1"/>
  <c r="G1105" i="3"/>
  <c r="F1095" i="3" s="1"/>
  <c r="G1086" i="3"/>
  <c r="F1081" i="3" s="1"/>
  <c r="F1080" i="3" s="1"/>
  <c r="G1057" i="3"/>
  <c r="F1051" i="3" s="1"/>
  <c r="G1051" i="3" s="1"/>
  <c r="G1040" i="3"/>
  <c r="G1035" i="3"/>
  <c r="F1031" i="3" s="1"/>
  <c r="G1037" i="3"/>
  <c r="H1036" i="3"/>
  <c r="G1036" i="3"/>
  <c r="I1036" i="3" s="1"/>
  <c r="G1020" i="3"/>
  <c r="F1013" i="3" s="1"/>
  <c r="G915" i="3"/>
  <c r="F909" i="3" s="1"/>
  <c r="F908" i="3" s="1"/>
  <c r="F127" i="7" s="1"/>
  <c r="G907" i="3"/>
  <c r="F901" i="3" s="1"/>
  <c r="G901" i="3" s="1"/>
  <c r="G886" i="3"/>
  <c r="F881" i="3" s="1"/>
  <c r="G721" i="3"/>
  <c r="G736" i="3"/>
  <c r="G727" i="3"/>
  <c r="G731" i="3"/>
  <c r="G732" i="3"/>
  <c r="G716" i="3"/>
  <c r="G725" i="3"/>
  <c r="G714" i="3"/>
  <c r="F710" i="3" s="1"/>
  <c r="F709" i="3" s="1"/>
  <c r="F108" i="7" s="1"/>
  <c r="G720" i="3"/>
  <c r="G708" i="3"/>
  <c r="F700" i="3" s="1"/>
  <c r="G697" i="3"/>
  <c r="F696" i="3"/>
  <c r="G696" i="3" s="1"/>
  <c r="F695" i="3"/>
  <c r="G695" i="3" s="1"/>
  <c r="G694" i="3"/>
  <c r="G693" i="3"/>
  <c r="G691" i="3"/>
  <c r="E634" i="3"/>
  <c r="G637" i="3"/>
  <c r="G636" i="3"/>
  <c r="G635" i="3"/>
  <c r="E628" i="3"/>
  <c r="G631" i="3"/>
  <c r="G630" i="3"/>
  <c r="G629" i="3"/>
  <c r="G613" i="3"/>
  <c r="G612" i="3"/>
  <c r="G611" i="3"/>
  <c r="G610" i="3"/>
  <c r="G609" i="3"/>
  <c r="G608" i="3"/>
  <c r="G604" i="3"/>
  <c r="G603" i="3"/>
  <c r="F602" i="3"/>
  <c r="G602" i="3" s="1"/>
  <c r="F601" i="3"/>
  <c r="G601" i="3" s="1"/>
  <c r="G600" i="3"/>
  <c r="G599" i="3"/>
  <c r="G595" i="3"/>
  <c r="G594" i="3"/>
  <c r="G593" i="3"/>
  <c r="G592" i="3"/>
  <c r="G579" i="3"/>
  <c r="F578" i="3"/>
  <c r="G578" i="3" s="1"/>
  <c r="F577" i="3"/>
  <c r="G577" i="3" s="1"/>
  <c r="G576" i="3"/>
  <c r="G575" i="3"/>
  <c r="G574" i="3"/>
  <c r="G588" i="3"/>
  <c r="F587" i="3"/>
  <c r="G587" i="3" s="1"/>
  <c r="F586" i="3"/>
  <c r="G586" i="3" s="1"/>
  <c r="G585" i="3"/>
  <c r="G584" i="3"/>
  <c r="G583" i="3"/>
  <c r="G561" i="3"/>
  <c r="G560" i="3"/>
  <c r="G559" i="3"/>
  <c r="G558" i="3"/>
  <c r="G554" i="3"/>
  <c r="G553" i="3"/>
  <c r="G552" i="3"/>
  <c r="G551" i="3"/>
  <c r="G550" i="3"/>
  <c r="G546" i="3"/>
  <c r="G545" i="3"/>
  <c r="F544" i="3"/>
  <c r="G544" i="3" s="1"/>
  <c r="G543" i="3"/>
  <c r="G542" i="3"/>
  <c r="G541" i="3"/>
  <c r="G540" i="3"/>
  <c r="G536" i="3"/>
  <c r="G535" i="3"/>
  <c r="G534" i="3"/>
  <c r="G533" i="3"/>
  <c r="G532" i="3"/>
  <c r="F531" i="3"/>
  <c r="G531" i="3" s="1"/>
  <c r="G512" i="3"/>
  <c r="G511" i="3"/>
  <c r="F510" i="3"/>
  <c r="G510" i="3" s="1"/>
  <c r="F509" i="3"/>
  <c r="G509" i="3" s="1"/>
  <c r="G508" i="3"/>
  <c r="G507" i="3"/>
  <c r="G496" i="3"/>
  <c r="G495" i="3"/>
  <c r="G494" i="3"/>
  <c r="G493" i="3"/>
  <c r="F492" i="3"/>
  <c r="G492" i="3" s="1"/>
  <c r="F491" i="3"/>
  <c r="G491" i="3" s="1"/>
  <c r="G490" i="3"/>
  <c r="G489" i="3"/>
  <c r="G488" i="3"/>
  <c r="G478" i="3"/>
  <c r="G477" i="3"/>
  <c r="G476" i="3"/>
  <c r="G461" i="3"/>
  <c r="F460" i="3"/>
  <c r="G460" i="3" s="1"/>
  <c r="F459" i="3"/>
  <c r="G459" i="3" s="1"/>
  <c r="G456" i="3"/>
  <c r="F455" i="3"/>
  <c r="G455" i="3" s="1"/>
  <c r="F454" i="3"/>
  <c r="G454" i="3" s="1"/>
  <c r="G450" i="3"/>
  <c r="F449" i="3"/>
  <c r="G449" i="3" s="1"/>
  <c r="F448" i="3"/>
  <c r="G448" i="3" s="1"/>
  <c r="G447" i="3"/>
  <c r="G446" i="3"/>
  <c r="G213" i="3"/>
  <c r="G212" i="3"/>
  <c r="G211" i="3"/>
  <c r="G210" i="3"/>
  <c r="G209" i="3"/>
  <c r="G208" i="3"/>
  <c r="G207" i="3"/>
  <c r="G206" i="3"/>
  <c r="G205" i="3"/>
  <c r="F175" i="3"/>
  <c r="G175" i="3" s="1"/>
  <c r="F174" i="3"/>
  <c r="G174" i="3" s="1"/>
  <c r="F164" i="3"/>
  <c r="F38" i="7" s="1"/>
  <c r="F170" i="3"/>
  <c r="G170" i="3" s="1"/>
  <c r="G171" i="3" s="1"/>
  <c r="F169" i="3" s="1"/>
  <c r="F162" i="3"/>
  <c r="G162" i="3" s="1"/>
  <c r="G163" i="3" s="1"/>
  <c r="F161" i="3" s="1"/>
  <c r="F139" i="3"/>
  <c r="G139" i="3" s="1"/>
  <c r="G140" i="3" s="1"/>
  <c r="F138" i="3" s="1"/>
  <c r="F135" i="3"/>
  <c r="G135" i="3" s="1"/>
  <c r="G136" i="3" s="1"/>
  <c r="F134" i="3" s="1"/>
  <c r="G134" i="3" s="1"/>
  <c r="F132" i="3"/>
  <c r="G132" i="3" s="1"/>
  <c r="G133" i="3" s="1"/>
  <c r="F131" i="3" s="1"/>
  <c r="E99" i="3"/>
  <c r="F128" i="3"/>
  <c r="G128" i="3" s="1"/>
  <c r="G129" i="3" s="1"/>
  <c r="F127" i="3" s="1"/>
  <c r="G127" i="3" s="1"/>
  <c r="F126" i="3" s="1"/>
  <c r="F34" i="7" s="1"/>
  <c r="G124" i="3"/>
  <c r="G123" i="3"/>
  <c r="F119" i="3"/>
  <c r="G119" i="3" s="1"/>
  <c r="G120" i="3" s="1"/>
  <c r="F118" i="3" s="1"/>
  <c r="F115" i="3"/>
  <c r="G115" i="3" s="1"/>
  <c r="F114" i="3"/>
  <c r="G114" i="3" s="1"/>
  <c r="G110" i="3"/>
  <c r="G111" i="3" s="1"/>
  <c r="F109" i="3" s="1"/>
  <c r="G109" i="3" s="1"/>
  <c r="F101" i="3"/>
  <c r="G101" i="3" s="1"/>
  <c r="G106" i="3"/>
  <c r="G105" i="3"/>
  <c r="G91" i="3"/>
  <c r="G90" i="3"/>
  <c r="G86" i="3"/>
  <c r="G85" i="3"/>
  <c r="G84" i="3"/>
  <c r="G83" i="3"/>
  <c r="G79" i="3"/>
  <c r="G78" i="3"/>
  <c r="G77" i="3"/>
  <c r="G76" i="3"/>
  <c r="G75" i="3"/>
  <c r="G71" i="3"/>
  <c r="G70" i="3"/>
  <c r="G69" i="3"/>
  <c r="G68" i="3"/>
  <c r="F67" i="3"/>
  <c r="F66" i="3" s="1"/>
  <c r="F23" i="7" s="1"/>
  <c r="F64" i="3"/>
  <c r="G64" i="3" s="1"/>
  <c r="G65" i="3" s="1"/>
  <c r="F63" i="3" s="1"/>
  <c r="F62" i="3" s="1"/>
  <c r="F22" i="7" s="1"/>
  <c r="F60" i="3"/>
  <c r="G60" i="3" s="1"/>
  <c r="G61" i="3" s="1"/>
  <c r="F59" i="3" s="1"/>
  <c r="F57" i="3"/>
  <c r="G57" i="3" s="1"/>
  <c r="G58" i="3" s="1"/>
  <c r="F56" i="3" s="1"/>
  <c r="G53" i="3"/>
  <c r="G52" i="3"/>
  <c r="G51" i="3"/>
  <c r="G50" i="3"/>
  <c r="G46" i="3"/>
  <c r="G45" i="3"/>
  <c r="F44" i="3"/>
  <c r="F43" i="3" s="1"/>
  <c r="F19" i="7" s="1"/>
  <c r="F35" i="3"/>
  <c r="G35" i="3" s="1"/>
  <c r="F34" i="3"/>
  <c r="G34" i="3" s="1"/>
  <c r="G30" i="3"/>
  <c r="G29" i="3"/>
  <c r="G21" i="3"/>
  <c r="G20" i="3"/>
  <c r="F40" i="3"/>
  <c r="G40" i="3" s="1"/>
  <c r="F39" i="3"/>
  <c r="G39" i="3" s="1"/>
  <c r="F38" i="3"/>
  <c r="G38" i="3" s="1"/>
  <c r="G25" i="3"/>
  <c r="G26" i="3" s="1"/>
  <c r="F24" i="3" s="1"/>
  <c r="G314" i="7" l="1"/>
  <c r="I314" i="7" s="1"/>
  <c r="H314" i="7"/>
  <c r="G2412" i="3"/>
  <c r="I2412" i="3" s="1"/>
  <c r="H2412" i="3"/>
  <c r="F1066" i="3"/>
  <c r="H1066" i="3" s="1"/>
  <c r="G881" i="3"/>
  <c r="F880" i="3"/>
  <c r="H160" i="7"/>
  <c r="G160" i="7"/>
  <c r="I160" i="7" s="1"/>
  <c r="H153" i="7"/>
  <c r="G153" i="7"/>
  <c r="I153" i="7" s="1"/>
  <c r="G161" i="7"/>
  <c r="I161" i="7" s="1"/>
  <c r="H161" i="7"/>
  <c r="H321" i="7"/>
  <c r="G321" i="7"/>
  <c r="I321" i="7" s="1"/>
  <c r="G272" i="7"/>
  <c r="I272" i="7" s="1"/>
  <c r="H272" i="7"/>
  <c r="H288" i="7"/>
  <c r="G288" i="7"/>
  <c r="I288" i="7" s="1"/>
  <c r="H192" i="7"/>
  <c r="G192" i="7"/>
  <c r="I192" i="7" s="1"/>
  <c r="H212" i="7"/>
  <c r="G212" i="7"/>
  <c r="I212" i="7" s="1"/>
  <c r="G224" i="7"/>
  <c r="I224" i="7" s="1"/>
  <c r="H224" i="7"/>
  <c r="G240" i="7"/>
  <c r="I240" i="7" s="1"/>
  <c r="H240" i="7"/>
  <c r="G245" i="7"/>
  <c r="I245" i="7" s="1"/>
  <c r="H245" i="7"/>
  <c r="G43" i="7"/>
  <c r="I43" i="7" s="1"/>
  <c r="H43" i="7"/>
  <c r="H67" i="7"/>
  <c r="G67" i="7"/>
  <c r="I67" i="7" s="1"/>
  <c r="G961" i="3"/>
  <c r="I961" i="3" s="1"/>
  <c r="F135" i="7"/>
  <c r="H143" i="7"/>
  <c r="G143" i="7"/>
  <c r="I143" i="7" s="1"/>
  <c r="H284" i="7"/>
  <c r="G284" i="7"/>
  <c r="I284" i="7" s="1"/>
  <c r="G268" i="7"/>
  <c r="I268" i="7" s="1"/>
  <c r="H268" i="7"/>
  <c r="G219" i="7"/>
  <c r="I219" i="7" s="1"/>
  <c r="H219" i="7"/>
  <c r="G19" i="7"/>
  <c r="I19" i="7" s="1"/>
  <c r="H19" i="7"/>
  <c r="G154" i="7"/>
  <c r="I154" i="7" s="1"/>
  <c r="H154" i="7"/>
  <c r="H165" i="7"/>
  <c r="G165" i="7"/>
  <c r="I165" i="7" s="1"/>
  <c r="H171" i="7"/>
  <c r="G171" i="7"/>
  <c r="I171" i="7" s="1"/>
  <c r="G181" i="7"/>
  <c r="I181" i="7" s="1"/>
  <c r="H181" i="7"/>
  <c r="G318" i="7"/>
  <c r="I318" i="7" s="1"/>
  <c r="H318" i="7"/>
  <c r="G322" i="7"/>
  <c r="I322" i="7" s="1"/>
  <c r="H322" i="7"/>
  <c r="H343" i="7"/>
  <c r="G343" i="7"/>
  <c r="I343" i="7" s="1"/>
  <c r="G269" i="7"/>
  <c r="I269" i="7" s="1"/>
  <c r="H269" i="7"/>
  <c r="H274" i="7"/>
  <c r="G274" i="7"/>
  <c r="I274" i="7" s="1"/>
  <c r="G287" i="7"/>
  <c r="I287" i="7" s="1"/>
  <c r="H287" i="7"/>
  <c r="H291" i="7"/>
  <c r="G291" i="7"/>
  <c r="I291" i="7" s="1"/>
  <c r="H298" i="7"/>
  <c r="G298" i="7"/>
  <c r="I298" i="7" s="1"/>
  <c r="G193" i="7"/>
  <c r="I193" i="7" s="1"/>
  <c r="H193" i="7"/>
  <c r="H197" i="7"/>
  <c r="G197" i="7"/>
  <c r="I197" i="7" s="1"/>
  <c r="H208" i="7"/>
  <c r="G208" i="7"/>
  <c r="I208" i="7" s="1"/>
  <c r="G235" i="7"/>
  <c r="I235" i="7" s="1"/>
  <c r="H235" i="7"/>
  <c r="H51" i="7"/>
  <c r="G51" i="7"/>
  <c r="I51" i="7" s="1"/>
  <c r="G62" i="7"/>
  <c r="I62" i="7" s="1"/>
  <c r="H62" i="7"/>
  <c r="H308" i="7"/>
  <c r="G308" i="7"/>
  <c r="I308" i="7" s="1"/>
  <c r="H116" i="7"/>
  <c r="G116" i="7"/>
  <c r="I116" i="7" s="1"/>
  <c r="G118" i="7"/>
  <c r="I118" i="7" s="1"/>
  <c r="H118" i="7"/>
  <c r="H120" i="7"/>
  <c r="G120" i="7"/>
  <c r="I120" i="7" s="1"/>
  <c r="G122" i="7"/>
  <c r="I122" i="7" s="1"/>
  <c r="H122" i="7"/>
  <c r="H133" i="7"/>
  <c r="G133" i="7"/>
  <c r="I133" i="7" s="1"/>
  <c r="H112" i="7"/>
  <c r="G112" i="7"/>
  <c r="I112" i="7" s="1"/>
  <c r="H170" i="7"/>
  <c r="G170" i="7"/>
  <c r="I170" i="7" s="1"/>
  <c r="H23" i="7"/>
  <c r="G23" i="7"/>
  <c r="I23" i="7" s="1"/>
  <c r="H34" i="7"/>
  <c r="G34" i="7"/>
  <c r="I34" i="7" s="1"/>
  <c r="H127" i="7"/>
  <c r="G127" i="7"/>
  <c r="I127" i="7" s="1"/>
  <c r="G158" i="7"/>
  <c r="I158" i="7" s="1"/>
  <c r="H158" i="7"/>
  <c r="H169" i="7"/>
  <c r="G169" i="7"/>
  <c r="I169" i="7" s="1"/>
  <c r="H317" i="7"/>
  <c r="G317" i="7"/>
  <c r="I317" i="7" s="1"/>
  <c r="H275" i="7"/>
  <c r="G275" i="7"/>
  <c r="I275" i="7" s="1"/>
  <c r="H294" i="7"/>
  <c r="G294" i="7"/>
  <c r="I294" i="7" s="1"/>
  <c r="H199" i="7"/>
  <c r="G199" i="7"/>
  <c r="I199" i="7" s="1"/>
  <c r="G209" i="7"/>
  <c r="I209" i="7" s="1"/>
  <c r="H209" i="7"/>
  <c r="H218" i="7"/>
  <c r="G218" i="7"/>
  <c r="I218" i="7" s="1"/>
  <c r="H227" i="7"/>
  <c r="G227" i="7"/>
  <c r="I227" i="7" s="1"/>
  <c r="H237" i="7"/>
  <c r="G237" i="7"/>
  <c r="I237" i="7" s="1"/>
  <c r="H249" i="7"/>
  <c r="G249" i="7"/>
  <c r="I249" i="7" s="1"/>
  <c r="H162" i="7"/>
  <c r="G162" i="7"/>
  <c r="I162" i="7" s="1"/>
  <c r="G243" i="7"/>
  <c r="I243" i="7" s="1"/>
  <c r="H243" i="7"/>
  <c r="G341" i="7"/>
  <c r="I341" i="7" s="1"/>
  <c r="H341" i="7"/>
  <c r="H331" i="7"/>
  <c r="G331" i="7"/>
  <c r="I331" i="7" s="1"/>
  <c r="G22" i="7"/>
  <c r="I22" i="7" s="1"/>
  <c r="H22" i="7"/>
  <c r="G108" i="7"/>
  <c r="I108" i="7" s="1"/>
  <c r="H108" i="7"/>
  <c r="G189" i="7"/>
  <c r="I189" i="7" s="1"/>
  <c r="H189" i="7"/>
  <c r="G319" i="7"/>
  <c r="I319" i="7" s="1"/>
  <c r="H319" i="7"/>
  <c r="H270" i="7"/>
  <c r="G270" i="7"/>
  <c r="I270" i="7" s="1"/>
  <c r="H276" i="7"/>
  <c r="G276" i="7"/>
  <c r="I276" i="7" s="1"/>
  <c r="H278" i="7"/>
  <c r="G278" i="7"/>
  <c r="I278" i="7" s="1"/>
  <c r="G293" i="7"/>
  <c r="I293" i="7" s="1"/>
  <c r="H293" i="7"/>
  <c r="H194" i="7"/>
  <c r="G194" i="7"/>
  <c r="I194" i="7" s="1"/>
  <c r="G198" i="7"/>
  <c r="I198" i="7" s="1"/>
  <c r="H198" i="7"/>
  <c r="G210" i="7"/>
  <c r="I210" i="7" s="1"/>
  <c r="H210" i="7"/>
  <c r="H214" i="7"/>
  <c r="G214" i="7"/>
  <c r="I214" i="7" s="1"/>
  <c r="H216" i="7"/>
  <c r="G216" i="7"/>
  <c r="I216" i="7" s="1"/>
  <c r="H223" i="7"/>
  <c r="G223" i="7"/>
  <c r="I223" i="7" s="1"/>
  <c r="G247" i="7"/>
  <c r="I247" i="7" s="1"/>
  <c r="H247" i="7"/>
  <c r="G251" i="7"/>
  <c r="I251" i="7" s="1"/>
  <c r="H251" i="7"/>
  <c r="G113" i="7"/>
  <c r="I113" i="7" s="1"/>
  <c r="H113" i="7"/>
  <c r="H114" i="7"/>
  <c r="G114" i="7"/>
  <c r="I114" i="7" s="1"/>
  <c r="G96" i="7"/>
  <c r="I96" i="7" s="1"/>
  <c r="H96" i="7"/>
  <c r="H111" i="7"/>
  <c r="G111" i="7"/>
  <c r="I111" i="7" s="1"/>
  <c r="H334" i="7"/>
  <c r="G334" i="7"/>
  <c r="I334" i="7" s="1"/>
  <c r="H304" i="7"/>
  <c r="G304" i="7"/>
  <c r="I304" i="7" s="1"/>
  <c r="G188" i="7"/>
  <c r="I188" i="7" s="1"/>
  <c r="H188" i="7"/>
  <c r="G280" i="7"/>
  <c r="I280" i="7" s="1"/>
  <c r="H280" i="7"/>
  <c r="H255" i="7"/>
  <c r="G255" i="7"/>
  <c r="I255" i="7" s="1"/>
  <c r="G38" i="7"/>
  <c r="I38" i="7" s="1"/>
  <c r="H38" i="7"/>
  <c r="H152" i="7"/>
  <c r="G152" i="7"/>
  <c r="I152" i="7" s="1"/>
  <c r="H175" i="7"/>
  <c r="G175" i="7"/>
  <c r="I175" i="7" s="1"/>
  <c r="G183" i="7"/>
  <c r="I183" i="7" s="1"/>
  <c r="H183" i="7"/>
  <c r="H187" i="7"/>
  <c r="G187" i="7"/>
  <c r="I187" i="7" s="1"/>
  <c r="G273" i="7"/>
  <c r="I273" i="7" s="1"/>
  <c r="H273" i="7"/>
  <c r="H281" i="7"/>
  <c r="G281" i="7"/>
  <c r="I281" i="7" s="1"/>
  <c r="H290" i="7"/>
  <c r="G290" i="7"/>
  <c r="I290" i="7" s="1"/>
  <c r="H297" i="7"/>
  <c r="G297" i="7"/>
  <c r="I297" i="7" s="1"/>
  <c r="H300" i="7"/>
  <c r="G300" i="7"/>
  <c r="I300" i="7" s="1"/>
  <c r="H195" i="7"/>
  <c r="G195" i="7"/>
  <c r="I195" i="7" s="1"/>
  <c r="H211" i="7"/>
  <c r="G211" i="7"/>
  <c r="I211" i="7" s="1"/>
  <c r="G215" i="7"/>
  <c r="I215" i="7" s="1"/>
  <c r="H215" i="7"/>
  <c r="H222" i="7"/>
  <c r="G222" i="7"/>
  <c r="I222" i="7" s="1"/>
  <c r="G226" i="7"/>
  <c r="I226" i="7" s="1"/>
  <c r="H226" i="7"/>
  <c r="G228" i="7"/>
  <c r="I228" i="7" s="1"/>
  <c r="H228" i="7"/>
  <c r="H239" i="7"/>
  <c r="G239" i="7"/>
  <c r="I239" i="7" s="1"/>
  <c r="H248" i="7"/>
  <c r="G248" i="7"/>
  <c r="I248" i="7" s="1"/>
  <c r="H253" i="7"/>
  <c r="G253" i="7"/>
  <c r="I253" i="7" s="1"/>
  <c r="H49" i="7"/>
  <c r="G49" i="7"/>
  <c r="I49" i="7" s="1"/>
  <c r="H115" i="7"/>
  <c r="G115" i="7"/>
  <c r="I115" i="7" s="1"/>
  <c r="G117" i="7"/>
  <c r="I117" i="7" s="1"/>
  <c r="H117" i="7"/>
  <c r="H119" i="7"/>
  <c r="G119" i="7"/>
  <c r="I119" i="7" s="1"/>
  <c r="H121" i="7"/>
  <c r="G121" i="7"/>
  <c r="I121" i="7" s="1"/>
  <c r="H123" i="7"/>
  <c r="G123" i="7"/>
  <c r="I123" i="7" s="1"/>
  <c r="H134" i="7"/>
  <c r="G134" i="7"/>
  <c r="I134" i="7" s="1"/>
  <c r="H148" i="7"/>
  <c r="G148" i="7"/>
  <c r="I148" i="7" s="1"/>
  <c r="G2559" i="3"/>
  <c r="I2559" i="3" s="1"/>
  <c r="F335" i="7"/>
  <c r="G71" i="7"/>
  <c r="I71" i="7" s="1"/>
  <c r="H71" i="7"/>
  <c r="H262" i="7"/>
  <c r="G262" i="7"/>
  <c r="I262" i="7" s="1"/>
  <c r="F2062" i="3"/>
  <c r="F263" i="7" s="1"/>
  <c r="G2048" i="3"/>
  <c r="I2048" i="3" s="1"/>
  <c r="H2048" i="3"/>
  <c r="G2331" i="3"/>
  <c r="I2331" i="3" s="1"/>
  <c r="H2331" i="3"/>
  <c r="F2485" i="3"/>
  <c r="F326" i="7" s="1"/>
  <c r="F2475" i="3"/>
  <c r="F323" i="7" s="1"/>
  <c r="F1268" i="3"/>
  <c r="F172" i="7" s="1"/>
  <c r="G1131" i="3"/>
  <c r="H1130" i="3"/>
  <c r="G1130" i="3"/>
  <c r="I1130" i="3" s="1"/>
  <c r="F1145" i="3"/>
  <c r="F155" i="7" s="1"/>
  <c r="G515" i="3"/>
  <c r="F514" i="3"/>
  <c r="F85" i="7" s="1"/>
  <c r="H395" i="3"/>
  <c r="G395" i="3"/>
  <c r="I395" i="3" s="1"/>
  <c r="G1197" i="3"/>
  <c r="I1197" i="3" s="1"/>
  <c r="G749" i="3"/>
  <c r="G773" i="3"/>
  <c r="I773" i="3" s="1"/>
  <c r="G797" i="3"/>
  <c r="I797" i="3" s="1"/>
  <c r="G821" i="3"/>
  <c r="I821" i="3" s="1"/>
  <c r="G845" i="3"/>
  <c r="I845" i="3" s="1"/>
  <c r="G869" i="3"/>
  <c r="I869" i="3" s="1"/>
  <c r="G761" i="3"/>
  <c r="I761" i="3" s="1"/>
  <c r="G785" i="3"/>
  <c r="I785" i="3" s="1"/>
  <c r="G809" i="3"/>
  <c r="I809" i="3" s="1"/>
  <c r="G833" i="3"/>
  <c r="I833" i="3" s="1"/>
  <c r="G857" i="3"/>
  <c r="I857" i="3" s="1"/>
  <c r="G2560" i="3"/>
  <c r="G742" i="3"/>
  <c r="I742" i="3" s="1"/>
  <c r="H2559" i="3"/>
  <c r="H737" i="3"/>
  <c r="H1197" i="3"/>
  <c r="H961" i="3"/>
  <c r="H2553" i="3"/>
  <c r="G2553" i="3"/>
  <c r="I2553" i="3" s="1"/>
  <c r="G2554" i="3"/>
  <c r="F2548" i="3"/>
  <c r="F333" i="7" s="1"/>
  <c r="F2538" i="3"/>
  <c r="F332" i="7" s="1"/>
  <c r="G2539" i="3"/>
  <c r="F388" i="3"/>
  <c r="F70" i="7" s="1"/>
  <c r="G2485" i="3"/>
  <c r="I2485" i="3" s="1"/>
  <c r="G1368" i="3"/>
  <c r="F1367" i="3"/>
  <c r="F184" i="7" s="1"/>
  <c r="F1277" i="3"/>
  <c r="F173" i="7" s="1"/>
  <c r="F1232" i="3"/>
  <c r="F168" i="7" s="1"/>
  <c r="F1216" i="3"/>
  <c r="F166" i="7" s="1"/>
  <c r="F1224" i="3"/>
  <c r="F167" i="7" s="1"/>
  <c r="G1225" i="3"/>
  <c r="G1252" i="3"/>
  <c r="I1252" i="3" s="1"/>
  <c r="H1252" i="3"/>
  <c r="G1059" i="3"/>
  <c r="H742" i="3"/>
  <c r="H1058" i="3"/>
  <c r="G1058" i="3"/>
  <c r="I1058" i="3" s="1"/>
  <c r="G673" i="3"/>
  <c r="F672" i="3"/>
  <c r="F105" i="7" s="1"/>
  <c r="F655" i="3"/>
  <c r="F104" i="7" s="1"/>
  <c r="F1050" i="3"/>
  <c r="F147" i="7" s="1"/>
  <c r="F931" i="3"/>
  <c r="F130" i="7" s="1"/>
  <c r="F943" i="3"/>
  <c r="F132" i="7" s="1"/>
  <c r="G1315" i="3"/>
  <c r="F937" i="3"/>
  <c r="F131" i="7" s="1"/>
  <c r="G1322" i="3"/>
  <c r="F1321" i="3"/>
  <c r="F178" i="7" s="1"/>
  <c r="G1310" i="3"/>
  <c r="F1309" i="3"/>
  <c r="F177" i="7" s="1"/>
  <c r="G1304" i="3"/>
  <c r="F1303" i="3"/>
  <c r="F176" i="7" s="1"/>
  <c r="H955" i="3"/>
  <c r="G955" i="3"/>
  <c r="I955" i="3" s="1"/>
  <c r="H949" i="3"/>
  <c r="G949" i="3"/>
  <c r="I949" i="3" s="1"/>
  <c r="G899" i="3"/>
  <c r="F891" i="3" s="1"/>
  <c r="G737" i="3"/>
  <c r="I737" i="3" s="1"/>
  <c r="G616" i="3"/>
  <c r="F563" i="3"/>
  <c r="F90" i="7" s="1"/>
  <c r="F2403" i="3"/>
  <c r="F313" i="7" s="1"/>
  <c r="F463" i="3"/>
  <c r="F80" i="7" s="1"/>
  <c r="H2095" i="3"/>
  <c r="H2100" i="3"/>
  <c r="H2353" i="3"/>
  <c r="F2394" i="3"/>
  <c r="F312" i="7" s="1"/>
  <c r="G762" i="3"/>
  <c r="F309" i="7"/>
  <c r="F2376" i="3"/>
  <c r="F310" i="7" s="1"/>
  <c r="F2299" i="3"/>
  <c r="F302" i="7" s="1"/>
  <c r="F1946" i="3"/>
  <c r="F257" i="7" s="1"/>
  <c r="G2100" i="3"/>
  <c r="I2100" i="3" s="1"/>
  <c r="F2023" i="3"/>
  <c r="F261" i="7" s="1"/>
  <c r="G2101" i="3"/>
  <c r="G2095" i="3"/>
  <c r="I2095" i="3" s="1"/>
  <c r="G2096" i="3"/>
  <c r="F1999" i="3"/>
  <c r="F260" i="7" s="1"/>
  <c r="F1327" i="3"/>
  <c r="F179" i="7" s="1"/>
  <c r="G330" i="3"/>
  <c r="F324" i="3" s="1"/>
  <c r="F323" i="3" s="1"/>
  <c r="F61" i="7" s="1"/>
  <c r="F1334" i="3"/>
  <c r="F1333" i="3" s="1"/>
  <c r="F180" i="7" s="1"/>
  <c r="G314" i="3"/>
  <c r="F308" i="3" s="1"/>
  <c r="F307" i="3" s="1"/>
  <c r="F59" i="7" s="1"/>
  <c r="F378" i="3"/>
  <c r="F69" i="7" s="1"/>
  <c r="G322" i="3"/>
  <c r="F316" i="3" s="1"/>
  <c r="G316" i="3" s="1"/>
  <c r="H869" i="3"/>
  <c r="H857" i="3"/>
  <c r="H845" i="3"/>
  <c r="H833" i="3"/>
  <c r="H821" i="3"/>
  <c r="H809" i="3"/>
  <c r="H797" i="3"/>
  <c r="H785" i="3"/>
  <c r="H773" i="3"/>
  <c r="H761" i="3"/>
  <c r="H1242" i="3"/>
  <c r="H2125" i="3"/>
  <c r="H1446" i="3"/>
  <c r="H1634" i="3"/>
  <c r="G43" i="3"/>
  <c r="I43" i="3" s="1"/>
  <c r="H908" i="3"/>
  <c r="H1187" i="3"/>
  <c r="G1259" i="3"/>
  <c r="I1259" i="3" s="1"/>
  <c r="H1339" i="3"/>
  <c r="H2467" i="3"/>
  <c r="H2120" i="3"/>
  <c r="H2201" i="3"/>
  <c r="H2226" i="3"/>
  <c r="H2273" i="3"/>
  <c r="H1453" i="3"/>
  <c r="H1595" i="3"/>
  <c r="H1627" i="3"/>
  <c r="H1678" i="3"/>
  <c r="H1714" i="3"/>
  <c r="H1858" i="3"/>
  <c r="H362" i="3"/>
  <c r="G1106" i="3"/>
  <c r="I1106" i="3" s="1"/>
  <c r="G1208" i="3"/>
  <c r="I1208" i="3" s="1"/>
  <c r="H2247" i="3"/>
  <c r="H1586" i="3"/>
  <c r="H1687" i="3"/>
  <c r="G190" i="3"/>
  <c r="I190" i="3" s="1"/>
  <c r="F350" i="3"/>
  <c r="F65" i="7" s="1"/>
  <c r="H1411" i="3"/>
  <c r="H2426" i="3"/>
  <c r="H2458" i="3"/>
  <c r="H2130" i="3"/>
  <c r="H2142" i="3"/>
  <c r="H2240" i="3"/>
  <c r="H1432" i="3"/>
  <c r="H1487" i="3"/>
  <c r="H1577" i="3"/>
  <c r="H1604" i="3"/>
  <c r="H1645" i="3"/>
  <c r="H1696" i="3"/>
  <c r="H1728" i="3"/>
  <c r="H1798" i="3"/>
  <c r="H1867" i="3"/>
  <c r="H1895" i="3"/>
  <c r="H243" i="3"/>
  <c r="H1173" i="3"/>
  <c r="H2207" i="3"/>
  <c r="H1478" i="3"/>
  <c r="H1620" i="3"/>
  <c r="G164" i="3"/>
  <c r="I164" i="3" s="1"/>
  <c r="H1295" i="3"/>
  <c r="G1357" i="3"/>
  <c r="I1357" i="3" s="1"/>
  <c r="H1403" i="3"/>
  <c r="H2435" i="3"/>
  <c r="H2590" i="3"/>
  <c r="H2115" i="3"/>
  <c r="H2163" i="3"/>
  <c r="H2219" i="3"/>
  <c r="H2267" i="3"/>
  <c r="H2287" i="3"/>
  <c r="G1439" i="3"/>
  <c r="I1439" i="3" s="1"/>
  <c r="H1469" i="3"/>
  <c r="H1568" i="3"/>
  <c r="H1721" i="3"/>
  <c r="H1802" i="3"/>
  <c r="H1790" i="3"/>
  <c r="H1842" i="3"/>
  <c r="H1876" i="3"/>
  <c r="H1918" i="3"/>
  <c r="H223" i="3"/>
  <c r="G102" i="3"/>
  <c r="F100" i="3" s="1"/>
  <c r="F99" i="3" s="1"/>
  <c r="F28" i="7" s="1"/>
  <c r="F93" i="3"/>
  <c r="F27" i="7" s="1"/>
  <c r="F289" i="3"/>
  <c r="F56" i="7" s="1"/>
  <c r="G290" i="3"/>
  <c r="G362" i="3"/>
  <c r="I362" i="3" s="1"/>
  <c r="G2354" i="3"/>
  <c r="G363" i="3"/>
  <c r="G370" i="3"/>
  <c r="F369" i="3"/>
  <c r="F68" i="7" s="1"/>
  <c r="F338" i="3"/>
  <c r="F63" i="7" s="1"/>
  <c r="F356" i="3"/>
  <c r="F66" i="7" s="1"/>
  <c r="G357" i="3"/>
  <c r="G351" i="3"/>
  <c r="G332" i="3"/>
  <c r="F262" i="3"/>
  <c r="F53" i="7" s="1"/>
  <c r="F344" i="3"/>
  <c r="F64" i="7" s="1"/>
  <c r="G345" i="3"/>
  <c r="F299" i="3"/>
  <c r="F58" i="7" s="1"/>
  <c r="H331" i="3"/>
  <c r="G331" i="3"/>
  <c r="I331" i="3" s="1"/>
  <c r="G243" i="3"/>
  <c r="I243" i="3" s="1"/>
  <c r="F270" i="3"/>
  <c r="F54" i="7" s="1"/>
  <c r="G271" i="3"/>
  <c r="F254" i="3"/>
  <c r="F52" i="7" s="1"/>
  <c r="G244" i="3"/>
  <c r="G224" i="3"/>
  <c r="G223" i="3"/>
  <c r="I223" i="3" s="1"/>
  <c r="F231" i="3"/>
  <c r="F50" i="7" s="1"/>
  <c r="H190" i="3"/>
  <c r="F194" i="3"/>
  <c r="F44" i="7" s="1"/>
  <c r="G1896" i="3"/>
  <c r="F186" i="3"/>
  <c r="F42" i="7" s="1"/>
  <c r="G1876" i="3"/>
  <c r="I1876" i="3" s="1"/>
  <c r="F1981" i="3"/>
  <c r="F259" i="7" s="1"/>
  <c r="G1867" i="3"/>
  <c r="I1867" i="3" s="1"/>
  <c r="G1918" i="3"/>
  <c r="I1918" i="3" s="1"/>
  <c r="G1895" i="3"/>
  <c r="I1895" i="3" s="1"/>
  <c r="G1926" i="3"/>
  <c r="F1925" i="3"/>
  <c r="F254" i="7" s="1"/>
  <c r="G1919" i="3"/>
  <c r="G1907" i="3"/>
  <c r="F1906" i="3"/>
  <c r="F252" i="7" s="1"/>
  <c r="F1886" i="3"/>
  <c r="F250" i="7" s="1"/>
  <c r="G1877" i="3"/>
  <c r="G1868" i="3"/>
  <c r="G1728" i="3"/>
  <c r="I1728" i="3" s="1"/>
  <c r="G1858" i="3"/>
  <c r="I1858" i="3" s="1"/>
  <c r="G1790" i="3"/>
  <c r="I1790" i="3" s="1"/>
  <c r="G1859" i="3"/>
  <c r="G1842" i="3"/>
  <c r="I1842" i="3" s="1"/>
  <c r="G1843" i="3"/>
  <c r="F1850" i="3"/>
  <c r="F246" i="7" s="1"/>
  <c r="G1851" i="3"/>
  <c r="F1834" i="3"/>
  <c r="F244" i="7" s="1"/>
  <c r="G1835" i="3"/>
  <c r="G1802" i="3"/>
  <c r="I1802" i="3" s="1"/>
  <c r="G1798" i="3"/>
  <c r="I1798" i="3" s="1"/>
  <c r="F1810" i="3"/>
  <c r="F241" i="7" s="1"/>
  <c r="F1818" i="3"/>
  <c r="F242" i="7" s="1"/>
  <c r="G1819" i="3"/>
  <c r="G1803" i="3"/>
  <c r="H1778" i="3"/>
  <c r="G1778" i="3"/>
  <c r="I1778" i="3" s="1"/>
  <c r="G1779" i="3"/>
  <c r="F1742" i="3"/>
  <c r="F230" i="7" s="1"/>
  <c r="F1749" i="3"/>
  <c r="F231" i="7" s="1"/>
  <c r="G1729" i="3"/>
  <c r="G1757" i="3"/>
  <c r="F1756" i="3"/>
  <c r="F232" i="7" s="1"/>
  <c r="F1735" i="3"/>
  <c r="F229" i="7" s="1"/>
  <c r="G1736" i="3"/>
  <c r="G1764" i="3"/>
  <c r="F1763" i="3"/>
  <c r="F233" i="7" s="1"/>
  <c r="G1715" i="3"/>
  <c r="G1714" i="3"/>
  <c r="I1714" i="3" s="1"/>
  <c r="G1722" i="3"/>
  <c r="G1634" i="3"/>
  <c r="I1634" i="3" s="1"/>
  <c r="G1721" i="3"/>
  <c r="I1721" i="3" s="1"/>
  <c r="G1645" i="3"/>
  <c r="I1645" i="3" s="1"/>
  <c r="G1621" i="3"/>
  <c r="G1687" i="3"/>
  <c r="I1687" i="3" s="1"/>
  <c r="G1628" i="3"/>
  <c r="G1627" i="3"/>
  <c r="I1627" i="3" s="1"/>
  <c r="G1604" i="3"/>
  <c r="I1604" i="3" s="1"/>
  <c r="G1446" i="3"/>
  <c r="I1446" i="3" s="1"/>
  <c r="G1696" i="3"/>
  <c r="I1696" i="3" s="1"/>
  <c r="G1688" i="3"/>
  <c r="G1706" i="3"/>
  <c r="F1705" i="3"/>
  <c r="F225" i="7" s="1"/>
  <c r="G1697" i="3"/>
  <c r="G1678" i="3"/>
  <c r="I1678" i="3" s="1"/>
  <c r="G1679" i="3"/>
  <c r="G1646" i="3"/>
  <c r="G1635" i="3"/>
  <c r="F1669" i="3"/>
  <c r="F221" i="7" s="1"/>
  <c r="G1670" i="3"/>
  <c r="G1595" i="3"/>
  <c r="I1595" i="3" s="1"/>
  <c r="G1596" i="3"/>
  <c r="G1620" i="3"/>
  <c r="I1620" i="3" s="1"/>
  <c r="G1568" i="3"/>
  <c r="I1568" i="3" s="1"/>
  <c r="F1613" i="3"/>
  <c r="F213" i="7" s="1"/>
  <c r="G1586" i="3"/>
  <c r="I1586" i="3" s="1"/>
  <c r="G1605" i="3"/>
  <c r="G1587" i="3"/>
  <c r="G1577" i="3"/>
  <c r="I1577" i="3" s="1"/>
  <c r="G1487" i="3"/>
  <c r="I1487" i="3" s="1"/>
  <c r="G1578" i="3"/>
  <c r="G1569" i="3"/>
  <c r="G1469" i="3"/>
  <c r="I1469" i="3" s="1"/>
  <c r="G1551" i="3"/>
  <c r="F1550" i="3"/>
  <c r="F206" i="7" s="1"/>
  <c r="G1488" i="3"/>
  <c r="F1541" i="3"/>
  <c r="F205" i="7" s="1"/>
  <c r="F1559" i="3"/>
  <c r="F207" i="7" s="1"/>
  <c r="G1560" i="3"/>
  <c r="F1514" i="3"/>
  <c r="F202" i="7" s="1"/>
  <c r="G1515" i="3"/>
  <c r="G1524" i="3"/>
  <c r="F1523" i="3"/>
  <c r="F203" i="7" s="1"/>
  <c r="F1505" i="3"/>
  <c r="F201" i="7" s="1"/>
  <c r="G1506" i="3"/>
  <c r="F1532" i="3"/>
  <c r="F204" i="7" s="1"/>
  <c r="G1533" i="3"/>
  <c r="G1478" i="3"/>
  <c r="I1478" i="3" s="1"/>
  <c r="G1453" i="3"/>
  <c r="I1453" i="3" s="1"/>
  <c r="H1439" i="3"/>
  <c r="G1479" i="3"/>
  <c r="F1496" i="3"/>
  <c r="F200" i="7" s="1"/>
  <c r="G1497" i="3"/>
  <c r="G1470" i="3"/>
  <c r="G1432" i="3"/>
  <c r="I1432" i="3" s="1"/>
  <c r="F1460" i="3"/>
  <c r="F196" i="7" s="1"/>
  <c r="G1433" i="3"/>
  <c r="G1440" i="3"/>
  <c r="G1454" i="3"/>
  <c r="G1447" i="3"/>
  <c r="I2086" i="3"/>
  <c r="F2322" i="3"/>
  <c r="F303" i="7" s="1"/>
  <c r="G2219" i="3"/>
  <c r="I2219" i="3" s="1"/>
  <c r="G2287" i="3"/>
  <c r="I2287" i="3" s="1"/>
  <c r="G2267" i="3"/>
  <c r="I2267" i="3" s="1"/>
  <c r="G2288" i="3"/>
  <c r="G2273" i="3"/>
  <c r="I2273" i="3" s="1"/>
  <c r="G2274" i="3"/>
  <c r="F2280" i="3"/>
  <c r="F299" i="7" s="1"/>
  <c r="G2247" i="3"/>
  <c r="I2247" i="3" s="1"/>
  <c r="F2254" i="3"/>
  <c r="F295" i="7" s="1"/>
  <c r="F2261" i="3"/>
  <c r="F296" i="7" s="1"/>
  <c r="G2268" i="3"/>
  <c r="G2227" i="3"/>
  <c r="F2233" i="3"/>
  <c r="F292" i="7" s="1"/>
  <c r="G2240" i="3"/>
  <c r="I2240" i="3" s="1"/>
  <c r="G2226" i="3"/>
  <c r="I2226" i="3" s="1"/>
  <c r="G2241" i="3"/>
  <c r="G2248" i="3"/>
  <c r="G2220" i="3"/>
  <c r="G2201" i="3"/>
  <c r="I2201" i="3" s="1"/>
  <c r="G2208" i="3"/>
  <c r="F2213" i="3"/>
  <c r="F289" i="7" s="1"/>
  <c r="G2202" i="3"/>
  <c r="G2207" i="3"/>
  <c r="I2207" i="3" s="1"/>
  <c r="G2142" i="3"/>
  <c r="I2142" i="3" s="1"/>
  <c r="F2196" i="3"/>
  <c r="F2195" i="3" s="1"/>
  <c r="F286" i="7" s="1"/>
  <c r="G2120" i="3"/>
  <c r="I2120" i="3" s="1"/>
  <c r="G2163" i="3"/>
  <c r="I2163" i="3" s="1"/>
  <c r="G2125" i="3"/>
  <c r="I2125" i="3" s="1"/>
  <c r="G2116" i="3"/>
  <c r="G2121" i="3"/>
  <c r="G2130" i="3"/>
  <c r="I2130" i="3" s="1"/>
  <c r="G2111" i="3"/>
  <c r="H2110" i="3"/>
  <c r="G2110" i="3"/>
  <c r="I2110" i="3" s="1"/>
  <c r="G2126" i="3"/>
  <c r="G2115" i="3"/>
  <c r="I2115" i="3" s="1"/>
  <c r="F2105" i="3"/>
  <c r="F271" i="7" s="1"/>
  <c r="F2584" i="3"/>
  <c r="F342" i="7" s="1"/>
  <c r="G2590" i="3"/>
  <c r="I2590" i="3" s="1"/>
  <c r="G2571" i="3"/>
  <c r="F2570" i="3"/>
  <c r="F339" i="7" s="1"/>
  <c r="F2520" i="3"/>
  <c r="F330" i="7" s="1"/>
  <c r="G2467" i="3"/>
  <c r="I2467" i="3" s="1"/>
  <c r="G2468" i="3"/>
  <c r="F2499" i="3"/>
  <c r="F328" i="7" s="1"/>
  <c r="F2510" i="3"/>
  <c r="F329" i="7" s="1"/>
  <c r="G2426" i="3"/>
  <c r="I2426" i="3" s="1"/>
  <c r="G2453" i="3"/>
  <c r="F2452" i="3"/>
  <c r="F320" i="7" s="1"/>
  <c r="G2459" i="3"/>
  <c r="G2458" i="3"/>
  <c r="I2458" i="3" s="1"/>
  <c r="G2445" i="3"/>
  <c r="G2436" i="3"/>
  <c r="H2444" i="3"/>
  <c r="G2444" i="3"/>
  <c r="I2444" i="3" s="1"/>
  <c r="G2427" i="3"/>
  <c r="G2435" i="3"/>
  <c r="I2435" i="3" s="1"/>
  <c r="F2382" i="3"/>
  <c r="F311" i="7" s="1"/>
  <c r="G1411" i="3"/>
  <c r="I1411" i="3" s="1"/>
  <c r="G2353" i="3"/>
  <c r="I2353" i="3" s="1"/>
  <c r="F2341" i="3"/>
  <c r="F307" i="7" s="1"/>
  <c r="F1418" i="3"/>
  <c r="F190" i="7" s="1"/>
  <c r="G1403" i="3"/>
  <c r="I1403" i="3" s="1"/>
  <c r="F1388" i="3"/>
  <c r="F186" i="7" s="1"/>
  <c r="G1358" i="3"/>
  <c r="G1380" i="3"/>
  <c r="F1379" i="3"/>
  <c r="F185" i="7" s="1"/>
  <c r="H1357" i="3"/>
  <c r="G1339" i="3"/>
  <c r="I1339" i="3" s="1"/>
  <c r="F1348" i="3"/>
  <c r="F182" i="7" s="1"/>
  <c r="G1340" i="3"/>
  <c r="G1295" i="3"/>
  <c r="I1295" i="3" s="1"/>
  <c r="G1296" i="3"/>
  <c r="H1259" i="3"/>
  <c r="G1260" i="3"/>
  <c r="G1287" i="3"/>
  <c r="F1286" i="3"/>
  <c r="F174" i="7" s="1"/>
  <c r="G1242" i="3"/>
  <c r="I1242" i="3" s="1"/>
  <c r="G1193" i="3"/>
  <c r="H1208" i="3"/>
  <c r="G1209" i="3"/>
  <c r="G1174" i="3"/>
  <c r="H1192" i="3"/>
  <c r="G1192" i="3"/>
  <c r="I1192" i="3" s="1"/>
  <c r="G1173" i="3"/>
  <c r="I1173" i="3" s="1"/>
  <c r="F1160" i="3"/>
  <c r="F156" i="7" s="1"/>
  <c r="G1188" i="3"/>
  <c r="G1187" i="3"/>
  <c r="I1187" i="3" s="1"/>
  <c r="F1167" i="3"/>
  <c r="F157" i="7" s="1"/>
  <c r="G1181" i="3"/>
  <c r="F1180" i="3"/>
  <c r="F159" i="7" s="1"/>
  <c r="G1107" i="3"/>
  <c r="G1119" i="3"/>
  <c r="H1106" i="3"/>
  <c r="G1067" i="3"/>
  <c r="G1118" i="3"/>
  <c r="I1118" i="3" s="1"/>
  <c r="H1118" i="3"/>
  <c r="F1094" i="3"/>
  <c r="F151" i="7" s="1"/>
  <c r="G1095" i="3"/>
  <c r="G1081" i="3"/>
  <c r="F150" i="7"/>
  <c r="F1041" i="3"/>
  <c r="F146" i="7" s="1"/>
  <c r="G1022" i="3"/>
  <c r="F1030" i="3"/>
  <c r="F144" i="7" s="1"/>
  <c r="G1031" i="3"/>
  <c r="G1013" i="3"/>
  <c r="F1012" i="3"/>
  <c r="F142" i="7" s="1"/>
  <c r="H1021" i="3"/>
  <c r="G1021" i="3"/>
  <c r="I1021" i="3" s="1"/>
  <c r="G909" i="3"/>
  <c r="F900" i="3"/>
  <c r="F126" i="7" s="1"/>
  <c r="F916" i="3"/>
  <c r="F128" i="7" s="1"/>
  <c r="G908" i="3"/>
  <c r="I908" i="3" s="1"/>
  <c r="F124" i="7"/>
  <c r="F715" i="3"/>
  <c r="F109" i="7" s="1"/>
  <c r="H749" i="3"/>
  <c r="F726" i="3"/>
  <c r="F110" i="7" s="1"/>
  <c r="H709" i="3"/>
  <c r="G709" i="3"/>
  <c r="I709" i="3" s="1"/>
  <c r="G710" i="3"/>
  <c r="F699" i="3"/>
  <c r="F107" i="7" s="1"/>
  <c r="G700" i="3"/>
  <c r="G698" i="3"/>
  <c r="F690" i="3" s="1"/>
  <c r="F689" i="3" s="1"/>
  <c r="F106" i="7" s="1"/>
  <c r="G638" i="3"/>
  <c r="F634" i="3" s="1"/>
  <c r="G634" i="3" s="1"/>
  <c r="F633" i="3" s="1"/>
  <c r="F99" i="7" s="1"/>
  <c r="G632" i="3"/>
  <c r="F628" i="3" s="1"/>
  <c r="G628" i="3" s="1"/>
  <c r="F627" i="3" s="1"/>
  <c r="F98" i="7" s="1"/>
  <c r="G605" i="3"/>
  <c r="F598" i="3" s="1"/>
  <c r="G614" i="3"/>
  <c r="F607" i="3" s="1"/>
  <c r="G596" i="3"/>
  <c r="F591" i="3" s="1"/>
  <c r="G591" i="3" s="1"/>
  <c r="G580" i="3"/>
  <c r="F573" i="3" s="1"/>
  <c r="G589" i="3"/>
  <c r="F582" i="3" s="1"/>
  <c r="G562" i="3"/>
  <c r="G555" i="3"/>
  <c r="F549" i="3" s="1"/>
  <c r="F548" i="3" s="1"/>
  <c r="F88" i="7" s="1"/>
  <c r="G547" i="3"/>
  <c r="F539" i="3" s="1"/>
  <c r="F538" i="3" s="1"/>
  <c r="F87" i="7" s="1"/>
  <c r="F530" i="3"/>
  <c r="F86" i="7" s="1"/>
  <c r="G537" i="3"/>
  <c r="G497" i="3"/>
  <c r="F487" i="3" s="1"/>
  <c r="G513" i="3"/>
  <c r="F506" i="3" s="1"/>
  <c r="F480" i="3"/>
  <c r="F82" i="7" s="1"/>
  <c r="G479" i="3"/>
  <c r="F475" i="3" s="1"/>
  <c r="G475" i="3" s="1"/>
  <c r="G462" i="3"/>
  <c r="F458" i="3" s="1"/>
  <c r="G458" i="3" s="1"/>
  <c r="G457" i="3"/>
  <c r="F453" i="3" s="1"/>
  <c r="G451" i="3"/>
  <c r="F445" i="3" s="1"/>
  <c r="F408" i="3"/>
  <c r="F74" i="7" s="1"/>
  <c r="G214" i="3"/>
  <c r="F204" i="3" s="1"/>
  <c r="F203" i="3" s="1"/>
  <c r="F47" i="7" s="1"/>
  <c r="G176" i="3"/>
  <c r="F173" i="3" s="1"/>
  <c r="F168" i="3"/>
  <c r="F39" i="7" s="1"/>
  <c r="G169" i="3"/>
  <c r="H164" i="3"/>
  <c r="F160" i="3"/>
  <c r="F37" i="7" s="1"/>
  <c r="G161" i="3"/>
  <c r="G138" i="3"/>
  <c r="F137" i="3" s="1"/>
  <c r="F36" i="7" s="1"/>
  <c r="G131" i="3"/>
  <c r="F130" i="3"/>
  <c r="F35" i="7" s="1"/>
  <c r="G125" i="3"/>
  <c r="F122" i="3" s="1"/>
  <c r="G122" i="3" s="1"/>
  <c r="F121" i="3" s="1"/>
  <c r="F33" i="7" s="1"/>
  <c r="G126" i="3"/>
  <c r="I126" i="3" s="1"/>
  <c r="H126" i="3"/>
  <c r="F117" i="3"/>
  <c r="F32" i="7" s="1"/>
  <c r="G118" i="3"/>
  <c r="G107" i="3"/>
  <c r="F104" i="3" s="1"/>
  <c r="G104" i="3" s="1"/>
  <c r="G116" i="3"/>
  <c r="F113" i="3" s="1"/>
  <c r="G113" i="3" s="1"/>
  <c r="F108" i="3"/>
  <c r="F30" i="7" s="1"/>
  <c r="G92" i="3"/>
  <c r="F89" i="3" s="1"/>
  <c r="F88" i="3" s="1"/>
  <c r="F26" i="7" s="1"/>
  <c r="G31" i="3"/>
  <c r="F28" i="3" s="1"/>
  <c r="G28" i="3" s="1"/>
  <c r="G67" i="3"/>
  <c r="G80" i="3"/>
  <c r="F74" i="3" s="1"/>
  <c r="F73" i="3" s="1"/>
  <c r="F24" i="7" s="1"/>
  <c r="G87" i="3"/>
  <c r="F82" i="3" s="1"/>
  <c r="F81" i="3" s="1"/>
  <c r="F25" i="7" s="1"/>
  <c r="H66" i="3"/>
  <c r="G72" i="3"/>
  <c r="G66" i="3"/>
  <c r="I66" i="3" s="1"/>
  <c r="H62" i="3"/>
  <c r="F55" i="3"/>
  <c r="F21" i="7" s="1"/>
  <c r="G63" i="3"/>
  <c r="G59" i="3"/>
  <c r="F37" i="3"/>
  <c r="F18" i="7" s="1"/>
  <c r="G56" i="3"/>
  <c r="G54" i="3"/>
  <c r="F49" i="3" s="1"/>
  <c r="F48" i="3" s="1"/>
  <c r="F20" i="7" s="1"/>
  <c r="G47" i="3"/>
  <c r="G44" i="3"/>
  <c r="G36" i="3"/>
  <c r="F33" i="3" s="1"/>
  <c r="G33" i="3" s="1"/>
  <c r="G22" i="3"/>
  <c r="F19" i="3" s="1"/>
  <c r="G19" i="3" s="1"/>
  <c r="G41" i="3"/>
  <c r="H43" i="3"/>
  <c r="F23" i="3"/>
  <c r="F15" i="7" s="1"/>
  <c r="G24" i="3"/>
  <c r="F149" i="7" l="1"/>
  <c r="G1066" i="3"/>
  <c r="I1066" i="3" s="1"/>
  <c r="H2485" i="3"/>
  <c r="H15" i="7"/>
  <c r="G15" i="7"/>
  <c r="I15" i="7" s="1"/>
  <c r="H21" i="7"/>
  <c r="G21" i="7"/>
  <c r="I21" i="7" s="1"/>
  <c r="H18" i="7"/>
  <c r="G18" i="7"/>
  <c r="I18" i="7" s="1"/>
  <c r="H26" i="7"/>
  <c r="G26" i="7"/>
  <c r="I26" i="7" s="1"/>
  <c r="H86" i="7"/>
  <c r="G86" i="7"/>
  <c r="I86" i="7" s="1"/>
  <c r="H124" i="7"/>
  <c r="G124" i="7"/>
  <c r="I124" i="7" s="1"/>
  <c r="G146" i="7"/>
  <c r="I146" i="7" s="1"/>
  <c r="H146" i="7"/>
  <c r="H299" i="7"/>
  <c r="G299" i="7"/>
  <c r="I299" i="7" s="1"/>
  <c r="H205" i="7"/>
  <c r="G205" i="7"/>
  <c r="I205" i="7" s="1"/>
  <c r="G232" i="7"/>
  <c r="I232" i="7" s="1"/>
  <c r="H232" i="7"/>
  <c r="G68" i="7"/>
  <c r="I68" i="7" s="1"/>
  <c r="H68" i="7"/>
  <c r="H65" i="7"/>
  <c r="G65" i="7"/>
  <c r="I65" i="7" s="1"/>
  <c r="G260" i="7"/>
  <c r="I260" i="7" s="1"/>
  <c r="H260" i="7"/>
  <c r="G310" i="7"/>
  <c r="I310" i="7" s="1"/>
  <c r="H310" i="7"/>
  <c r="H147" i="7"/>
  <c r="G147" i="7"/>
  <c r="I147" i="7" s="1"/>
  <c r="H166" i="7"/>
  <c r="G166" i="7"/>
  <c r="I166" i="7" s="1"/>
  <c r="G172" i="7"/>
  <c r="I172" i="7" s="1"/>
  <c r="H172" i="7"/>
  <c r="G135" i="7"/>
  <c r="I135" i="7" s="1"/>
  <c r="H135" i="7"/>
  <c r="G24" i="7"/>
  <c r="I24" i="7" s="1"/>
  <c r="H24" i="7"/>
  <c r="H32" i="7"/>
  <c r="G32" i="7"/>
  <c r="I32" i="7" s="1"/>
  <c r="H37" i="7"/>
  <c r="G37" i="7"/>
  <c r="I37" i="7" s="1"/>
  <c r="H87" i="7"/>
  <c r="G87" i="7"/>
  <c r="I87" i="7" s="1"/>
  <c r="G98" i="7"/>
  <c r="I98" i="7" s="1"/>
  <c r="H98" i="7"/>
  <c r="G107" i="7"/>
  <c r="I107" i="7" s="1"/>
  <c r="H107" i="7"/>
  <c r="H110" i="7"/>
  <c r="G110" i="7"/>
  <c r="I110" i="7" s="1"/>
  <c r="G150" i="7"/>
  <c r="I150" i="7" s="1"/>
  <c r="H150" i="7"/>
  <c r="G156" i="7"/>
  <c r="I156" i="7" s="1"/>
  <c r="H156" i="7"/>
  <c r="G182" i="7"/>
  <c r="I182" i="7" s="1"/>
  <c r="H182" i="7"/>
  <c r="H190" i="7"/>
  <c r="G190" i="7"/>
  <c r="I190" i="7" s="1"/>
  <c r="H311" i="7"/>
  <c r="G311" i="7"/>
  <c r="I311" i="7" s="1"/>
  <c r="G329" i="7"/>
  <c r="I329" i="7" s="1"/>
  <c r="H329" i="7"/>
  <c r="G330" i="7"/>
  <c r="I330" i="7" s="1"/>
  <c r="H330" i="7"/>
  <c r="G342" i="7"/>
  <c r="I342" i="7" s="1"/>
  <c r="H342" i="7"/>
  <c r="H296" i="7"/>
  <c r="G296" i="7"/>
  <c r="I296" i="7" s="1"/>
  <c r="H196" i="7"/>
  <c r="G196" i="7"/>
  <c r="I196" i="7" s="1"/>
  <c r="G200" i="7"/>
  <c r="I200" i="7" s="1"/>
  <c r="H200" i="7"/>
  <c r="H201" i="7"/>
  <c r="G201" i="7"/>
  <c r="I201" i="7" s="1"/>
  <c r="G202" i="7"/>
  <c r="I202" i="7" s="1"/>
  <c r="H202" i="7"/>
  <c r="G246" i="7"/>
  <c r="I246" i="7" s="1"/>
  <c r="H246" i="7"/>
  <c r="H42" i="7"/>
  <c r="G42" i="7"/>
  <c r="I42" i="7" s="1"/>
  <c r="G50" i="7"/>
  <c r="I50" i="7" s="1"/>
  <c r="H50" i="7"/>
  <c r="H52" i="7"/>
  <c r="G52" i="7"/>
  <c r="I52" i="7" s="1"/>
  <c r="H64" i="7"/>
  <c r="G64" i="7"/>
  <c r="I64" i="7" s="1"/>
  <c r="G180" i="7"/>
  <c r="I180" i="7" s="1"/>
  <c r="H180" i="7"/>
  <c r="G309" i="7"/>
  <c r="I309" i="7" s="1"/>
  <c r="H309" i="7"/>
  <c r="H90" i="7"/>
  <c r="G90" i="7"/>
  <c r="I90" i="7" s="1"/>
  <c r="H176" i="7"/>
  <c r="G176" i="7"/>
  <c r="I176" i="7" s="1"/>
  <c r="H178" i="7"/>
  <c r="G178" i="7"/>
  <c r="I178" i="7" s="1"/>
  <c r="G132" i="7"/>
  <c r="I132" i="7" s="1"/>
  <c r="H132" i="7"/>
  <c r="G104" i="7"/>
  <c r="I104" i="7" s="1"/>
  <c r="H104" i="7"/>
  <c r="H168" i="7"/>
  <c r="G168" i="7"/>
  <c r="I168" i="7" s="1"/>
  <c r="G332" i="7"/>
  <c r="I332" i="7" s="1"/>
  <c r="H332" i="7"/>
  <c r="H323" i="7"/>
  <c r="G323" i="7"/>
  <c r="I323" i="7" s="1"/>
  <c r="H335" i="7"/>
  <c r="G335" i="7"/>
  <c r="I335" i="7" s="1"/>
  <c r="G36" i="7"/>
  <c r="I36" i="7" s="1"/>
  <c r="H36" i="7"/>
  <c r="G25" i="7"/>
  <c r="I25" i="7" s="1"/>
  <c r="H25" i="7"/>
  <c r="H33" i="7"/>
  <c r="G33" i="7"/>
  <c r="I33" i="7" s="1"/>
  <c r="G39" i="7"/>
  <c r="I39" i="7" s="1"/>
  <c r="H39" i="7"/>
  <c r="G82" i="7"/>
  <c r="I82" i="7" s="1"/>
  <c r="H82" i="7"/>
  <c r="H151" i="7"/>
  <c r="G151" i="7"/>
  <c r="I151" i="7" s="1"/>
  <c r="H159" i="7"/>
  <c r="G159" i="7"/>
  <c r="I159" i="7" s="1"/>
  <c r="H185" i="7"/>
  <c r="G185" i="7"/>
  <c r="I185" i="7" s="1"/>
  <c r="H213" i="7"/>
  <c r="G213" i="7"/>
  <c r="I213" i="7" s="1"/>
  <c r="G225" i="7"/>
  <c r="I225" i="7" s="1"/>
  <c r="H225" i="7"/>
  <c r="H233" i="7"/>
  <c r="G233" i="7"/>
  <c r="I233" i="7" s="1"/>
  <c r="G230" i="7"/>
  <c r="I230" i="7" s="1"/>
  <c r="H230" i="7"/>
  <c r="G28" i="7"/>
  <c r="I28" i="7" s="1"/>
  <c r="H28" i="7"/>
  <c r="G59" i="7"/>
  <c r="I59" i="7" s="1"/>
  <c r="H59" i="7"/>
  <c r="H261" i="7"/>
  <c r="G261" i="7"/>
  <c r="I261" i="7" s="1"/>
  <c r="G313" i="7"/>
  <c r="I313" i="7" s="1"/>
  <c r="H313" i="7"/>
  <c r="H155" i="7"/>
  <c r="G155" i="7"/>
  <c r="I155" i="7" s="1"/>
  <c r="G30" i="7"/>
  <c r="I30" i="7" s="1"/>
  <c r="H30" i="7"/>
  <c r="G35" i="7"/>
  <c r="I35" i="7" s="1"/>
  <c r="H35" i="7"/>
  <c r="G20" i="7"/>
  <c r="I20" i="7" s="1"/>
  <c r="H20" i="7"/>
  <c r="G47" i="7"/>
  <c r="I47" i="7" s="1"/>
  <c r="H47" i="7"/>
  <c r="H88" i="7"/>
  <c r="G88" i="7"/>
  <c r="I88" i="7" s="1"/>
  <c r="H99" i="7"/>
  <c r="G99" i="7"/>
  <c r="I99" i="7" s="1"/>
  <c r="H128" i="7"/>
  <c r="G128" i="7"/>
  <c r="I128" i="7" s="1"/>
  <c r="H144" i="7"/>
  <c r="G144" i="7"/>
  <c r="I144" i="7" s="1"/>
  <c r="H157" i="7"/>
  <c r="G157" i="7"/>
  <c r="I157" i="7" s="1"/>
  <c r="G174" i="7"/>
  <c r="I174" i="7" s="1"/>
  <c r="H174" i="7"/>
  <c r="H307" i="7"/>
  <c r="G307" i="7"/>
  <c r="I307" i="7" s="1"/>
  <c r="H320" i="7"/>
  <c r="H324" i="7" s="1"/>
  <c r="G320" i="7"/>
  <c r="I320" i="7" s="1"/>
  <c r="G328" i="7"/>
  <c r="I328" i="7" s="1"/>
  <c r="H328" i="7"/>
  <c r="H339" i="7"/>
  <c r="G339" i="7"/>
  <c r="I339" i="7" s="1"/>
  <c r="H271" i="7"/>
  <c r="G271" i="7"/>
  <c r="I271" i="7" s="1"/>
  <c r="H286" i="7"/>
  <c r="G286" i="7"/>
  <c r="I286" i="7" s="1"/>
  <c r="H289" i="7"/>
  <c r="G289" i="7"/>
  <c r="I289" i="7" s="1"/>
  <c r="H292" i="7"/>
  <c r="G292" i="7"/>
  <c r="I292" i="7" s="1"/>
  <c r="H295" i="7"/>
  <c r="G295" i="7"/>
  <c r="I295" i="7" s="1"/>
  <c r="G203" i="7"/>
  <c r="I203" i="7" s="1"/>
  <c r="H203" i="7"/>
  <c r="H206" i="7"/>
  <c r="G206" i="7"/>
  <c r="I206" i="7" s="1"/>
  <c r="H221" i="7"/>
  <c r="G221" i="7"/>
  <c r="I221" i="7" s="1"/>
  <c r="G242" i="7"/>
  <c r="I242" i="7" s="1"/>
  <c r="H242" i="7"/>
  <c r="H250" i="7"/>
  <c r="G250" i="7"/>
  <c r="I250" i="7" s="1"/>
  <c r="H254" i="7"/>
  <c r="G254" i="7"/>
  <c r="I254" i="7" s="1"/>
  <c r="G53" i="7"/>
  <c r="I53" i="7" s="1"/>
  <c r="H53" i="7"/>
  <c r="H66" i="7"/>
  <c r="G66" i="7"/>
  <c r="I66" i="7" s="1"/>
  <c r="G56" i="7"/>
  <c r="I56" i="7" s="1"/>
  <c r="H56" i="7"/>
  <c r="H61" i="7"/>
  <c r="G61" i="7"/>
  <c r="I61" i="7" s="1"/>
  <c r="G257" i="7"/>
  <c r="I257" i="7" s="1"/>
  <c r="H257" i="7"/>
  <c r="H130" i="7"/>
  <c r="G130" i="7"/>
  <c r="I130" i="7" s="1"/>
  <c r="G105" i="7"/>
  <c r="I105" i="7" s="1"/>
  <c r="H105" i="7"/>
  <c r="H173" i="7"/>
  <c r="G173" i="7"/>
  <c r="I173" i="7" s="1"/>
  <c r="G333" i="7"/>
  <c r="I333" i="7" s="1"/>
  <c r="H333" i="7"/>
  <c r="G85" i="7"/>
  <c r="I85" i="7" s="1"/>
  <c r="H85" i="7"/>
  <c r="G326" i="7"/>
  <c r="I326" i="7" s="1"/>
  <c r="H326" i="7"/>
  <c r="I324" i="7"/>
  <c r="U20" i="2" s="1"/>
  <c r="G74" i="7"/>
  <c r="I74" i="7" s="1"/>
  <c r="H74" i="7"/>
  <c r="H106" i="7"/>
  <c r="G106" i="7"/>
  <c r="I106" i="7" s="1"/>
  <c r="H109" i="7"/>
  <c r="G109" i="7"/>
  <c r="I109" i="7" s="1"/>
  <c r="H126" i="7"/>
  <c r="G126" i="7"/>
  <c r="I126" i="7" s="1"/>
  <c r="G142" i="7"/>
  <c r="I142" i="7" s="1"/>
  <c r="H142" i="7"/>
  <c r="G186" i="7"/>
  <c r="I186" i="7" s="1"/>
  <c r="H186" i="7"/>
  <c r="H303" i="7"/>
  <c r="G303" i="7"/>
  <c r="I303" i="7" s="1"/>
  <c r="H204" i="7"/>
  <c r="G204" i="7"/>
  <c r="I204" i="7" s="1"/>
  <c r="H207" i="7"/>
  <c r="G207" i="7"/>
  <c r="I207" i="7" s="1"/>
  <c r="H229" i="7"/>
  <c r="G229" i="7"/>
  <c r="I229" i="7" s="1"/>
  <c r="H231" i="7"/>
  <c r="G231" i="7"/>
  <c r="I231" i="7" s="1"/>
  <c r="G241" i="7"/>
  <c r="I241" i="7" s="1"/>
  <c r="H241" i="7"/>
  <c r="G244" i="7"/>
  <c r="I244" i="7" s="1"/>
  <c r="H244" i="7"/>
  <c r="H252" i="7"/>
  <c r="G252" i="7"/>
  <c r="I252" i="7" s="1"/>
  <c r="H259" i="7"/>
  <c r="G259" i="7"/>
  <c r="I259" i="7" s="1"/>
  <c r="H44" i="7"/>
  <c r="G44" i="7"/>
  <c r="I44" i="7" s="1"/>
  <c r="H54" i="7"/>
  <c r="G54" i="7"/>
  <c r="I54" i="7" s="1"/>
  <c r="H58" i="7"/>
  <c r="G58" i="7"/>
  <c r="I58" i="7" s="1"/>
  <c r="H63" i="7"/>
  <c r="G63" i="7"/>
  <c r="I63" i="7" s="1"/>
  <c r="H27" i="7"/>
  <c r="G27" i="7"/>
  <c r="I27" i="7" s="1"/>
  <c r="H69" i="7"/>
  <c r="G69" i="7"/>
  <c r="I69" i="7" s="1"/>
  <c r="H179" i="7"/>
  <c r="G179" i="7"/>
  <c r="I179" i="7" s="1"/>
  <c r="H302" i="7"/>
  <c r="G302" i="7"/>
  <c r="I302" i="7" s="1"/>
  <c r="G312" i="7"/>
  <c r="I312" i="7" s="1"/>
  <c r="H312" i="7"/>
  <c r="G80" i="7"/>
  <c r="I80" i="7" s="1"/>
  <c r="H80" i="7"/>
  <c r="G177" i="7"/>
  <c r="I177" i="7" s="1"/>
  <c r="H177" i="7"/>
  <c r="G131" i="7"/>
  <c r="I131" i="7" s="1"/>
  <c r="H131" i="7"/>
  <c r="H167" i="7"/>
  <c r="G167" i="7"/>
  <c r="I167" i="7" s="1"/>
  <c r="G184" i="7"/>
  <c r="I184" i="7" s="1"/>
  <c r="H184" i="7"/>
  <c r="H70" i="7"/>
  <c r="G70" i="7"/>
  <c r="I70" i="7" s="1"/>
  <c r="H263" i="7"/>
  <c r="G263" i="7"/>
  <c r="I263" i="7" s="1"/>
  <c r="G1268" i="3"/>
  <c r="I1268" i="3" s="1"/>
  <c r="G2062" i="3"/>
  <c r="I2062" i="3" s="1"/>
  <c r="H2062" i="3"/>
  <c r="H1268" i="3"/>
  <c r="G2475" i="3"/>
  <c r="I2475" i="3" s="1"/>
  <c r="H2475" i="3"/>
  <c r="H655" i="3"/>
  <c r="H1145" i="3"/>
  <c r="G1145" i="3"/>
  <c r="I1145" i="3" s="1"/>
  <c r="F486" i="3"/>
  <c r="F83" i="7" s="1"/>
  <c r="H2023" i="3"/>
  <c r="H1050" i="3"/>
  <c r="H1216" i="3"/>
  <c r="G1277" i="3"/>
  <c r="I1277" i="3" s="1"/>
  <c r="G2548" i="3"/>
  <c r="I2548" i="3" s="1"/>
  <c r="H1327" i="3"/>
  <c r="G2299" i="3"/>
  <c r="I2299" i="3" s="1"/>
  <c r="G943" i="3"/>
  <c r="I943" i="3" s="1"/>
  <c r="H1232" i="3"/>
  <c r="G388" i="3"/>
  <c r="I388" i="3" s="1"/>
  <c r="H2403" i="3"/>
  <c r="G931" i="3"/>
  <c r="I931" i="3" s="1"/>
  <c r="H1333" i="3"/>
  <c r="H563" i="3"/>
  <c r="H2548" i="3"/>
  <c r="G2538" i="3"/>
  <c r="I2538" i="3" s="1"/>
  <c r="H2538" i="3"/>
  <c r="H388" i="3"/>
  <c r="F2489" i="3"/>
  <c r="F327" i="7" s="1"/>
  <c r="G1232" i="3"/>
  <c r="I1232" i="3" s="1"/>
  <c r="H1277" i="3"/>
  <c r="G1216" i="3"/>
  <c r="I1216" i="3" s="1"/>
  <c r="H1224" i="3"/>
  <c r="G1224" i="3"/>
  <c r="I1224" i="3" s="1"/>
  <c r="G1050" i="3"/>
  <c r="I1050" i="3" s="1"/>
  <c r="H672" i="3"/>
  <c r="G2403" i="3"/>
  <c r="I2403" i="3" s="1"/>
  <c r="H931" i="3"/>
  <c r="H943" i="3"/>
  <c r="H937" i="3"/>
  <c r="G937" i="3"/>
  <c r="I937" i="3" s="1"/>
  <c r="H1321" i="3"/>
  <c r="G1321" i="3"/>
  <c r="I1321" i="3" s="1"/>
  <c r="H1309" i="3"/>
  <c r="G1309" i="3"/>
  <c r="I1309" i="3" s="1"/>
  <c r="H1303" i="3"/>
  <c r="G1303" i="3"/>
  <c r="I1303" i="3" s="1"/>
  <c r="G891" i="3"/>
  <c r="F890" i="3" s="1"/>
  <c r="F125" i="7" s="1"/>
  <c r="G563" i="3"/>
  <c r="I563" i="3" s="1"/>
  <c r="F505" i="3"/>
  <c r="F84" i="7" s="1"/>
  <c r="G2394" i="3"/>
  <c r="I2394" i="3" s="1"/>
  <c r="H2394" i="3"/>
  <c r="H1999" i="3"/>
  <c r="G2023" i="3"/>
  <c r="I2023" i="3" s="1"/>
  <c r="H2376" i="3"/>
  <c r="H2364" i="3"/>
  <c r="G350" i="3"/>
  <c r="I350" i="3" s="1"/>
  <c r="G323" i="3"/>
  <c r="I323" i="3" s="1"/>
  <c r="H1946" i="3"/>
  <c r="H514" i="3"/>
  <c r="G378" i="3"/>
  <c r="I378" i="3" s="1"/>
  <c r="H2299" i="3"/>
  <c r="G2376" i="3"/>
  <c r="I2376" i="3" s="1"/>
  <c r="G2364" i="3"/>
  <c r="I2364" i="3" s="1"/>
  <c r="G1946" i="3"/>
  <c r="I1946" i="3" s="1"/>
  <c r="G1334" i="3"/>
  <c r="G308" i="3"/>
  <c r="G1327" i="3"/>
  <c r="I1327" i="3" s="1"/>
  <c r="G1999" i="3"/>
  <c r="I1999" i="3" s="1"/>
  <c r="F315" i="3"/>
  <c r="F60" i="7" s="1"/>
  <c r="H323" i="3"/>
  <c r="G324" i="3"/>
  <c r="G1333" i="3"/>
  <c r="I1333" i="3" s="1"/>
  <c r="H378" i="3"/>
  <c r="G100" i="3"/>
  <c r="G514" i="3"/>
  <c r="I514" i="3" s="1"/>
  <c r="H99" i="3"/>
  <c r="G627" i="3"/>
  <c r="I627" i="3" s="1"/>
  <c r="G1041" i="3"/>
  <c r="I1041" i="3" s="1"/>
  <c r="H2213" i="3"/>
  <c r="H350" i="3"/>
  <c r="H160" i="3"/>
  <c r="H530" i="3"/>
  <c r="H633" i="3"/>
  <c r="H880" i="3"/>
  <c r="H1418" i="3"/>
  <c r="H1749" i="3"/>
  <c r="H1810" i="3"/>
  <c r="H262" i="3"/>
  <c r="H121" i="3"/>
  <c r="H408" i="3"/>
  <c r="H726" i="3"/>
  <c r="H1167" i="3"/>
  <c r="H1348" i="3"/>
  <c r="H338" i="3"/>
  <c r="H117" i="3"/>
  <c r="H37" i="3"/>
  <c r="H81" i="3"/>
  <c r="G88" i="3"/>
  <c r="I88" i="3" s="1"/>
  <c r="H486" i="3"/>
  <c r="H538" i="3"/>
  <c r="H689" i="3"/>
  <c r="H916" i="3"/>
  <c r="H1180" i="3"/>
  <c r="H1367" i="3"/>
  <c r="H1742" i="3"/>
  <c r="H231" i="3"/>
  <c r="H254" i="3"/>
  <c r="G299" i="3"/>
  <c r="I299" i="3" s="1"/>
  <c r="H168" i="3"/>
  <c r="H480" i="3"/>
  <c r="H2105" i="3"/>
  <c r="H2195" i="3"/>
  <c r="H2233" i="3"/>
  <c r="H2254" i="3"/>
  <c r="H23" i="3"/>
  <c r="G55" i="3"/>
  <c r="I55" i="3" s="1"/>
  <c r="G73" i="3"/>
  <c r="I73" i="3" s="1"/>
  <c r="G137" i="3"/>
  <c r="I137" i="3" s="1"/>
  <c r="H548" i="3"/>
  <c r="H715" i="3"/>
  <c r="H900" i="3"/>
  <c r="H1160" i="3"/>
  <c r="H2382" i="3"/>
  <c r="G2510" i="3"/>
  <c r="I2510" i="3" s="1"/>
  <c r="H2520" i="3"/>
  <c r="H2584" i="3"/>
  <c r="H2261" i="3"/>
  <c r="H93" i="3"/>
  <c r="G93" i="3"/>
  <c r="I93" i="3" s="1"/>
  <c r="H289" i="3"/>
  <c r="G289" i="3"/>
  <c r="I289" i="3" s="1"/>
  <c r="H369" i="3"/>
  <c r="G369" i="3"/>
  <c r="I369" i="3" s="1"/>
  <c r="G338" i="3"/>
  <c r="I338" i="3" s="1"/>
  <c r="H299" i="3"/>
  <c r="H356" i="3"/>
  <c r="G356" i="3"/>
  <c r="I356" i="3" s="1"/>
  <c r="G262" i="3"/>
  <c r="I262" i="3" s="1"/>
  <c r="H344" i="3"/>
  <c r="G344" i="3"/>
  <c r="I344" i="3" s="1"/>
  <c r="H270" i="3"/>
  <c r="G270" i="3"/>
  <c r="I270" i="3" s="1"/>
  <c r="H307" i="3"/>
  <c r="G307" i="3"/>
  <c r="I307" i="3" s="1"/>
  <c r="G254" i="3"/>
  <c r="I254" i="3" s="1"/>
  <c r="G231" i="3"/>
  <c r="I231" i="3" s="1"/>
  <c r="G203" i="3"/>
  <c r="I203" i="3" s="1"/>
  <c r="H203" i="3"/>
  <c r="G1749" i="3"/>
  <c r="I1749" i="3" s="1"/>
  <c r="G194" i="3"/>
  <c r="I194" i="3" s="1"/>
  <c r="H194" i="3"/>
  <c r="G186" i="3"/>
  <c r="I186" i="3" s="1"/>
  <c r="H186" i="3"/>
  <c r="H1981" i="3"/>
  <c r="G1981" i="3"/>
  <c r="I1981" i="3" s="1"/>
  <c r="H1925" i="3"/>
  <c r="G1925" i="3"/>
  <c r="I1925" i="3" s="1"/>
  <c r="H1906" i="3"/>
  <c r="G1906" i="3"/>
  <c r="I1906" i="3" s="1"/>
  <c r="H1886" i="3"/>
  <c r="G1886" i="3"/>
  <c r="I1886" i="3" s="1"/>
  <c r="H1850" i="3"/>
  <c r="G1850" i="3"/>
  <c r="I1850" i="3" s="1"/>
  <c r="H1834" i="3"/>
  <c r="G1834" i="3"/>
  <c r="I1834" i="3" s="1"/>
  <c r="G1810" i="3"/>
  <c r="I1810" i="3" s="1"/>
  <c r="H1818" i="3"/>
  <c r="G1818" i="3"/>
  <c r="I1818" i="3" s="1"/>
  <c r="G1742" i="3"/>
  <c r="I1742" i="3" s="1"/>
  <c r="H1735" i="3"/>
  <c r="G1735" i="3"/>
  <c r="I1735" i="3" s="1"/>
  <c r="H1763" i="3"/>
  <c r="G1763" i="3"/>
  <c r="I1763" i="3" s="1"/>
  <c r="H1756" i="3"/>
  <c r="G1756" i="3"/>
  <c r="I1756" i="3" s="1"/>
  <c r="H1705" i="3"/>
  <c r="G1705" i="3"/>
  <c r="I1705" i="3" s="1"/>
  <c r="H1669" i="3"/>
  <c r="G1669" i="3"/>
  <c r="I1669" i="3" s="1"/>
  <c r="H1613" i="3"/>
  <c r="G1613" i="3"/>
  <c r="I1613" i="3" s="1"/>
  <c r="H1541" i="3"/>
  <c r="G1541" i="3"/>
  <c r="I1541" i="3" s="1"/>
  <c r="H1550" i="3"/>
  <c r="G1550" i="3"/>
  <c r="I1550" i="3" s="1"/>
  <c r="H1559" i="3"/>
  <c r="G1559" i="3"/>
  <c r="I1559" i="3" s="1"/>
  <c r="H1523" i="3"/>
  <c r="G1523" i="3"/>
  <c r="I1523" i="3" s="1"/>
  <c r="H1532" i="3"/>
  <c r="G1532" i="3"/>
  <c r="I1532" i="3" s="1"/>
  <c r="H1505" i="3"/>
  <c r="G1505" i="3"/>
  <c r="I1505" i="3" s="1"/>
  <c r="H1514" i="3"/>
  <c r="G1514" i="3"/>
  <c r="I1514" i="3" s="1"/>
  <c r="G1496" i="3"/>
  <c r="I1496" i="3" s="1"/>
  <c r="H1496" i="3"/>
  <c r="H1460" i="3"/>
  <c r="G1460" i="3"/>
  <c r="I1460" i="3" s="1"/>
  <c r="F1425" i="3"/>
  <c r="F191" i="7" s="1"/>
  <c r="G2233" i="3"/>
  <c r="I2233" i="3" s="1"/>
  <c r="H2322" i="3"/>
  <c r="G2322" i="3"/>
  <c r="I2322" i="3" s="1"/>
  <c r="G2254" i="3"/>
  <c r="I2254" i="3" s="1"/>
  <c r="H2280" i="3"/>
  <c r="G2280" i="3"/>
  <c r="I2280" i="3" s="1"/>
  <c r="G2261" i="3"/>
  <c r="I2261" i="3" s="1"/>
  <c r="G2213" i="3"/>
  <c r="I2213" i="3" s="1"/>
  <c r="G2195" i="3"/>
  <c r="I2195" i="3" s="1"/>
  <c r="G2196" i="3"/>
  <c r="G2105" i="3"/>
  <c r="I2105" i="3" s="1"/>
  <c r="G2584" i="3"/>
  <c r="I2584" i="3" s="1"/>
  <c r="G2520" i="3"/>
  <c r="I2520" i="3" s="1"/>
  <c r="H2570" i="3"/>
  <c r="G2570" i="3"/>
  <c r="H2510" i="3"/>
  <c r="H2499" i="3"/>
  <c r="G2499" i="3"/>
  <c r="I2499" i="3" s="1"/>
  <c r="H2452" i="3"/>
  <c r="G2452" i="3"/>
  <c r="I2452" i="3" s="1"/>
  <c r="G2382" i="3"/>
  <c r="I2382" i="3" s="1"/>
  <c r="H2341" i="3"/>
  <c r="G2341" i="3"/>
  <c r="I2341" i="3" s="1"/>
  <c r="G1418" i="3"/>
  <c r="I1418" i="3" s="1"/>
  <c r="H1388" i="3"/>
  <c r="G1388" i="3"/>
  <c r="I1388" i="3" s="1"/>
  <c r="G1367" i="3"/>
  <c r="I1367" i="3" s="1"/>
  <c r="H1379" i="3"/>
  <c r="G1379" i="3"/>
  <c r="I1379" i="3" s="1"/>
  <c r="G1348" i="3"/>
  <c r="I1348" i="3" s="1"/>
  <c r="H1286" i="3"/>
  <c r="G1286" i="3"/>
  <c r="I1286" i="3" s="1"/>
  <c r="G1160" i="3"/>
  <c r="I1160" i="3" s="1"/>
  <c r="G1167" i="3"/>
  <c r="I1167" i="3" s="1"/>
  <c r="G1180" i="3"/>
  <c r="I1180" i="3" s="1"/>
  <c r="H1094" i="3"/>
  <c r="G1094" i="3"/>
  <c r="I1094" i="3" s="1"/>
  <c r="G1080" i="3"/>
  <c r="I1080" i="3" s="1"/>
  <c r="H1080" i="3"/>
  <c r="H1041" i="3"/>
  <c r="G900" i="3"/>
  <c r="I900" i="3" s="1"/>
  <c r="G1030" i="3"/>
  <c r="I1030" i="3" s="1"/>
  <c r="H1030" i="3"/>
  <c r="G690" i="3"/>
  <c r="H1012" i="3"/>
  <c r="G1012" i="3"/>
  <c r="G916" i="3"/>
  <c r="I916" i="3" s="1"/>
  <c r="G880" i="3"/>
  <c r="I880" i="3" s="1"/>
  <c r="G715" i="3"/>
  <c r="I715" i="3" s="1"/>
  <c r="I749" i="3"/>
  <c r="G726" i="3"/>
  <c r="I726" i="3" s="1"/>
  <c r="G699" i="3"/>
  <c r="I699" i="3" s="1"/>
  <c r="H699" i="3"/>
  <c r="G672" i="3"/>
  <c r="I672" i="3" s="1"/>
  <c r="G655" i="3"/>
  <c r="I655" i="3" s="1"/>
  <c r="G689" i="3"/>
  <c r="I689" i="3" s="1"/>
  <c r="G633" i="3"/>
  <c r="I633" i="3" s="1"/>
  <c r="F639" i="3"/>
  <c r="F100" i="7" s="1"/>
  <c r="F646" i="3"/>
  <c r="F101" i="7" s="1"/>
  <c r="H627" i="3"/>
  <c r="F590" i="3"/>
  <c r="F93" i="7" s="1"/>
  <c r="H615" i="3"/>
  <c r="F621" i="3"/>
  <c r="F97" i="7" s="1"/>
  <c r="G598" i="3"/>
  <c r="F597" i="3" s="1"/>
  <c r="F94" i="7" s="1"/>
  <c r="G607" i="3"/>
  <c r="F606" i="3"/>
  <c r="F95" i="7" s="1"/>
  <c r="F581" i="3"/>
  <c r="F92" i="7" s="1"/>
  <c r="G582" i="3"/>
  <c r="F557" i="3"/>
  <c r="G557" i="3" s="1"/>
  <c r="F572" i="3"/>
  <c r="F91" i="7" s="1"/>
  <c r="G573" i="3"/>
  <c r="G539" i="3"/>
  <c r="G549" i="3"/>
  <c r="G548" i="3"/>
  <c r="I548" i="3" s="1"/>
  <c r="G538" i="3"/>
  <c r="I538" i="3" s="1"/>
  <c r="G487" i="3"/>
  <c r="G530" i="3"/>
  <c r="I530" i="3" s="1"/>
  <c r="G506" i="3"/>
  <c r="G486" i="3"/>
  <c r="I486" i="3" s="1"/>
  <c r="F474" i="3"/>
  <c r="F81" i="7" s="1"/>
  <c r="G480" i="3"/>
  <c r="I480" i="3" s="1"/>
  <c r="F452" i="3"/>
  <c r="F79" i="7" s="1"/>
  <c r="G453" i="3"/>
  <c r="F416" i="3"/>
  <c r="F75" i="7" s="1"/>
  <c r="F444" i="3"/>
  <c r="F78" i="7" s="1"/>
  <c r="G445" i="3"/>
  <c r="F424" i="3"/>
  <c r="F76" i="7" s="1"/>
  <c r="G408" i="3"/>
  <c r="I408" i="3" s="1"/>
  <c r="G204" i="3"/>
  <c r="F172" i="3"/>
  <c r="F40" i="7" s="1"/>
  <c r="G173" i="3"/>
  <c r="G168" i="3"/>
  <c r="I168" i="3" s="1"/>
  <c r="H137" i="3"/>
  <c r="G160" i="3"/>
  <c r="I160" i="3" s="1"/>
  <c r="F103" i="3"/>
  <c r="F29" i="7" s="1"/>
  <c r="G121" i="3"/>
  <c r="I121" i="3" s="1"/>
  <c r="H130" i="3"/>
  <c r="G130" i="3"/>
  <c r="I130" i="3" s="1"/>
  <c r="G117" i="3"/>
  <c r="I117" i="3" s="1"/>
  <c r="F112" i="3"/>
  <c r="F31" i="7" s="1"/>
  <c r="F27" i="3"/>
  <c r="F16" i="7" s="1"/>
  <c r="G108" i="3"/>
  <c r="I108" i="3" s="1"/>
  <c r="H108" i="3"/>
  <c r="G99" i="3"/>
  <c r="I99" i="3" s="1"/>
  <c r="G37" i="3"/>
  <c r="I37" i="3" s="1"/>
  <c r="H73" i="3"/>
  <c r="H88" i="3"/>
  <c r="G82" i="3"/>
  <c r="G74" i="3"/>
  <c r="G81" i="3"/>
  <c r="I81" i="3" s="1"/>
  <c r="G62" i="3"/>
  <c r="I62" i="3" s="1"/>
  <c r="G49" i="3"/>
  <c r="G48" i="3"/>
  <c r="I48" i="3" s="1"/>
  <c r="H48" i="3"/>
  <c r="H55" i="3"/>
  <c r="F18" i="3"/>
  <c r="F14" i="7" s="1"/>
  <c r="F32" i="3"/>
  <c r="F17" i="7" s="1"/>
  <c r="G23" i="3"/>
  <c r="I23" i="3" s="1"/>
  <c r="F13" i="3"/>
  <c r="F13" i="7" s="1"/>
  <c r="I315" i="7" l="1"/>
  <c r="H315" i="7"/>
  <c r="I2424" i="3"/>
  <c r="H149" i="7"/>
  <c r="G149" i="7"/>
  <c r="I149" i="7" s="1"/>
  <c r="I163" i="7" s="1"/>
  <c r="U16" i="2" s="1"/>
  <c r="I344" i="7"/>
  <c r="U22" i="2" s="1"/>
  <c r="H344" i="7"/>
  <c r="G91" i="7"/>
  <c r="I91" i="7" s="1"/>
  <c r="H91" i="7"/>
  <c r="H16" i="7"/>
  <c r="G16" i="7"/>
  <c r="I16" i="7" s="1"/>
  <c r="H60" i="7"/>
  <c r="H72" i="7" s="1"/>
  <c r="G60" i="7"/>
  <c r="I60" i="7" s="1"/>
  <c r="I72" i="7" s="1"/>
  <c r="U13" i="2" s="1"/>
  <c r="G191" i="7"/>
  <c r="I191" i="7" s="1"/>
  <c r="I265" i="7" s="1"/>
  <c r="U17" i="2" s="1"/>
  <c r="H191" i="7"/>
  <c r="H265" i="7" s="1"/>
  <c r="H327" i="7"/>
  <c r="H337" i="7" s="1"/>
  <c r="G327" i="7"/>
  <c r="I327" i="7" s="1"/>
  <c r="I337" i="7" s="1"/>
  <c r="U21" i="2" s="1"/>
  <c r="H83" i="7"/>
  <c r="G83" i="7"/>
  <c r="I83" i="7" s="1"/>
  <c r="H163" i="7"/>
  <c r="G79" i="7"/>
  <c r="I79" i="7" s="1"/>
  <c r="H79" i="7"/>
  <c r="H95" i="7"/>
  <c r="G95" i="7"/>
  <c r="I95" i="7" s="1"/>
  <c r="G17" i="7"/>
  <c r="I17" i="7" s="1"/>
  <c r="H17" i="7"/>
  <c r="G78" i="7"/>
  <c r="I78" i="7" s="1"/>
  <c r="H78" i="7"/>
  <c r="G93" i="7"/>
  <c r="I93" i="7" s="1"/>
  <c r="H93" i="7"/>
  <c r="G84" i="7"/>
  <c r="I84" i="7" s="1"/>
  <c r="H84" i="7"/>
  <c r="H305" i="7"/>
  <c r="U19" i="2"/>
  <c r="G14" i="7"/>
  <c r="I14" i="7" s="1"/>
  <c r="H14" i="7"/>
  <c r="H31" i="7"/>
  <c r="G31" i="7"/>
  <c r="I31" i="7" s="1"/>
  <c r="H75" i="7"/>
  <c r="G75" i="7"/>
  <c r="I75" i="7" s="1"/>
  <c r="G81" i="7"/>
  <c r="I81" i="7" s="1"/>
  <c r="H81" i="7"/>
  <c r="G94" i="7"/>
  <c r="I94" i="7" s="1"/>
  <c r="H94" i="7"/>
  <c r="H13" i="7"/>
  <c r="G13" i="7"/>
  <c r="I13" i="7" s="1"/>
  <c r="H29" i="7"/>
  <c r="G29" i="7"/>
  <c r="I29" i="7" s="1"/>
  <c r="H76" i="7"/>
  <c r="G76" i="7"/>
  <c r="I76" i="7" s="1"/>
  <c r="H92" i="7"/>
  <c r="G92" i="7"/>
  <c r="I92" i="7" s="1"/>
  <c r="H97" i="7"/>
  <c r="G97" i="7"/>
  <c r="I97" i="7" s="1"/>
  <c r="H101" i="7"/>
  <c r="G101" i="7"/>
  <c r="I101" i="7" s="1"/>
  <c r="G125" i="7"/>
  <c r="I125" i="7" s="1"/>
  <c r="H125" i="7"/>
  <c r="H40" i="7"/>
  <c r="G40" i="7"/>
  <c r="I40" i="7" s="1"/>
  <c r="H100" i="7"/>
  <c r="G100" i="7"/>
  <c r="I100" i="7" s="1"/>
  <c r="I305" i="7"/>
  <c r="U18" i="2" s="1"/>
  <c r="I2339" i="3"/>
  <c r="I2483" i="3"/>
  <c r="I2570" i="3"/>
  <c r="I2594" i="3" s="1"/>
  <c r="G2489" i="3"/>
  <c r="I2489" i="3" s="1"/>
  <c r="H2489" i="3"/>
  <c r="I1012" i="3"/>
  <c r="I1206" i="3" s="1"/>
  <c r="G890" i="3"/>
  <c r="I890" i="3" s="1"/>
  <c r="H890" i="3"/>
  <c r="G505" i="3"/>
  <c r="I505" i="3" s="1"/>
  <c r="H505" i="3"/>
  <c r="G315" i="3"/>
  <c r="I315" i="3" s="1"/>
  <c r="I406" i="3" s="1"/>
  <c r="H315" i="3"/>
  <c r="G452" i="3"/>
  <c r="I452" i="3" s="1"/>
  <c r="G597" i="3"/>
  <c r="I597" i="3" s="1"/>
  <c r="G590" i="3"/>
  <c r="I590" i="3" s="1"/>
  <c r="G103" i="3"/>
  <c r="I103" i="3" s="1"/>
  <c r="H416" i="3"/>
  <c r="H474" i="3"/>
  <c r="H32" i="3"/>
  <c r="H27" i="3"/>
  <c r="H431" i="3"/>
  <c r="G18" i="3"/>
  <c r="I18" i="3" s="1"/>
  <c r="H597" i="3"/>
  <c r="G1425" i="3"/>
  <c r="I1425" i="3" s="1"/>
  <c r="I2075" i="3" s="1"/>
  <c r="H1425" i="3"/>
  <c r="H590" i="3"/>
  <c r="H639" i="3"/>
  <c r="G639" i="3"/>
  <c r="I639" i="3" s="1"/>
  <c r="G615" i="3"/>
  <c r="I615" i="3" s="1"/>
  <c r="H646" i="3"/>
  <c r="G646" i="3"/>
  <c r="I646" i="3" s="1"/>
  <c r="G621" i="3"/>
  <c r="I621" i="3" s="1"/>
  <c r="H621" i="3"/>
  <c r="G606" i="3"/>
  <c r="I606" i="3" s="1"/>
  <c r="H606" i="3"/>
  <c r="F556" i="3"/>
  <c r="F89" i="7" s="1"/>
  <c r="H572" i="3"/>
  <c r="G572" i="3"/>
  <c r="I572" i="3" s="1"/>
  <c r="G581" i="3"/>
  <c r="I581" i="3" s="1"/>
  <c r="H581" i="3"/>
  <c r="G474" i="3"/>
  <c r="I474" i="3" s="1"/>
  <c r="H452" i="3"/>
  <c r="G431" i="3"/>
  <c r="I431" i="3" s="1"/>
  <c r="H463" i="3"/>
  <c r="G463" i="3"/>
  <c r="I463" i="3" s="1"/>
  <c r="G416" i="3"/>
  <c r="I416" i="3" s="1"/>
  <c r="H424" i="3"/>
  <c r="G424" i="3"/>
  <c r="I424" i="3" s="1"/>
  <c r="H444" i="3"/>
  <c r="G444" i="3"/>
  <c r="I444" i="3" s="1"/>
  <c r="G27" i="3"/>
  <c r="I27" i="3" s="1"/>
  <c r="G172" i="3"/>
  <c r="I172" i="3" s="1"/>
  <c r="H172" i="3"/>
  <c r="H103" i="3"/>
  <c r="H112" i="3"/>
  <c r="G112" i="3"/>
  <c r="I112" i="3" s="1"/>
  <c r="H18" i="3"/>
  <c r="G32" i="3"/>
  <c r="I32" i="3" s="1"/>
  <c r="G89" i="7" l="1"/>
  <c r="I89" i="7" s="1"/>
  <c r="I102" i="7" s="1"/>
  <c r="U14" i="2" s="1"/>
  <c r="H89" i="7"/>
  <c r="H102" i="7" s="1"/>
  <c r="Q20" i="2"/>
  <c r="K20" i="2"/>
  <c r="S20" i="2"/>
  <c r="M20" i="2"/>
  <c r="O20" i="2"/>
  <c r="M18" i="2"/>
  <c r="E18" i="2"/>
  <c r="G18" i="2"/>
  <c r="S18" i="2"/>
  <c r="O18" i="2"/>
  <c r="I18" i="2"/>
  <c r="Q18" i="2"/>
  <c r="K18" i="2"/>
  <c r="S21" i="2"/>
  <c r="O21" i="2"/>
  <c r="M21" i="2"/>
  <c r="Q21" i="2"/>
  <c r="K21" i="2"/>
  <c r="K22" i="2"/>
  <c r="I22" i="2"/>
  <c r="E22" i="2"/>
  <c r="G22" i="2"/>
  <c r="M22" i="2"/>
  <c r="C22" i="2"/>
  <c r="O22" i="2"/>
  <c r="F925" i="3"/>
  <c r="F129" i="7" s="1"/>
  <c r="H556" i="3"/>
  <c r="G556" i="3"/>
  <c r="I556" i="3" s="1"/>
  <c r="I653" i="3" s="1"/>
  <c r="H129" i="7" l="1"/>
  <c r="H140" i="7" s="1"/>
  <c r="G129" i="7"/>
  <c r="I129" i="7" s="1"/>
  <c r="I140" i="7" s="1"/>
  <c r="Q19" i="2"/>
  <c r="O19" i="2"/>
  <c r="K19" i="2"/>
  <c r="S19" i="2"/>
  <c r="M19" i="2"/>
  <c r="G2564" i="3"/>
  <c r="I2564" i="3" s="1"/>
  <c r="I2568" i="3" s="1"/>
  <c r="H2564" i="3"/>
  <c r="Q16" i="2"/>
  <c r="O16" i="2"/>
  <c r="K16" i="2"/>
  <c r="S16" i="2"/>
  <c r="M16" i="2"/>
  <c r="I14" i="2"/>
  <c r="S14" i="2"/>
  <c r="Q14" i="2"/>
  <c r="K14" i="2"/>
  <c r="G14" i="2"/>
  <c r="O14" i="2"/>
  <c r="M14" i="2"/>
  <c r="E14" i="2"/>
  <c r="V21" i="2"/>
  <c r="W21" i="2" s="1"/>
  <c r="V20" i="2"/>
  <c r="W20" i="2" s="1"/>
  <c r="S17" i="2"/>
  <c r="O17" i="2"/>
  <c r="M17" i="2"/>
  <c r="I17" i="2"/>
  <c r="E17" i="2"/>
  <c r="Q17" i="2"/>
  <c r="K17" i="2"/>
  <c r="G17" i="2"/>
  <c r="M13" i="2"/>
  <c r="G13" i="2"/>
  <c r="O13" i="2"/>
  <c r="E13" i="2"/>
  <c r="K13" i="2"/>
  <c r="C13" i="2"/>
  <c r="I13" i="2"/>
  <c r="V22" i="2"/>
  <c r="W22" i="2" s="1"/>
  <c r="G925" i="3"/>
  <c r="I925" i="3" s="1"/>
  <c r="I1010" i="3" s="1"/>
  <c r="H925" i="3"/>
  <c r="F177" i="3"/>
  <c r="F41" i="7" s="1"/>
  <c r="G13" i="3"/>
  <c r="I13" i="3" s="1"/>
  <c r="H13" i="3"/>
  <c r="U15" i="2" l="1"/>
  <c r="H41" i="7"/>
  <c r="H45" i="7" s="1"/>
  <c r="H345" i="7" s="1"/>
  <c r="G41" i="7"/>
  <c r="I41" i="7" s="1"/>
  <c r="I45" i="7" s="1"/>
  <c r="I345" i="7" s="1"/>
  <c r="V19" i="2"/>
  <c r="W19" i="2" s="1"/>
  <c r="I24" i="2"/>
  <c r="V16" i="2"/>
  <c r="W16" i="2" s="1"/>
  <c r="V14" i="2"/>
  <c r="W14" i="2" s="1"/>
  <c r="V13" i="2"/>
  <c r="W13" i="2" s="1"/>
  <c r="G177" i="3"/>
  <c r="I177" i="3" s="1"/>
  <c r="I201" i="3" s="1"/>
  <c r="H177" i="3"/>
  <c r="C18" i="2"/>
  <c r="V18" i="2" s="1"/>
  <c r="W18" i="2" s="1"/>
  <c r="U12" i="2" l="1"/>
  <c r="G12" i="2" s="1"/>
  <c r="G24" i="2" s="1"/>
  <c r="S15" i="2"/>
  <c r="S24" i="2" s="1"/>
  <c r="O15" i="2"/>
  <c r="O24" i="2" s="1"/>
  <c r="M15" i="2"/>
  <c r="M24" i="2" s="1"/>
  <c r="K15" i="2"/>
  <c r="Q15" i="2"/>
  <c r="Q24" i="2" s="1"/>
  <c r="C17" i="2"/>
  <c r="V17" i="2" s="1"/>
  <c r="W17" i="2" s="1"/>
  <c r="U23" i="2" l="1"/>
  <c r="O26" i="2" s="1"/>
  <c r="C12" i="2"/>
  <c r="C24" i="2" s="1"/>
  <c r="E12" i="2"/>
  <c r="E24" i="2" s="1"/>
  <c r="V15" i="2"/>
  <c r="W15" i="2" s="1"/>
  <c r="K24" i="2"/>
  <c r="S26" i="2" l="1"/>
  <c r="I26" i="2"/>
  <c r="G26" i="2"/>
  <c r="M26" i="2"/>
  <c r="K26" i="2"/>
  <c r="Q26" i="2"/>
  <c r="E26" i="2"/>
  <c r="V12" i="2"/>
  <c r="W12" i="2" s="1"/>
  <c r="C26" i="2"/>
  <c r="C27" i="2" s="1"/>
  <c r="C25" i="2"/>
  <c r="E25" i="2" s="1"/>
  <c r="G25" i="2" s="1"/>
  <c r="I25" i="2" s="1"/>
  <c r="K25" i="2" s="1"/>
  <c r="M25" i="2" s="1"/>
  <c r="O25" i="2" s="1"/>
  <c r="Q25" i="2" s="1"/>
  <c r="S25" i="2" s="1"/>
  <c r="E27" i="2" l="1"/>
  <c r="G27" i="2" s="1"/>
  <c r="I27" i="2" s="1"/>
  <c r="K27" i="2" s="1"/>
  <c r="M27" i="2" s="1"/>
  <c r="O27" i="2" s="1"/>
  <c r="Q27" i="2" s="1"/>
  <c r="S27" i="2" s="1"/>
</calcChain>
</file>

<file path=xl/sharedStrings.xml><?xml version="1.0" encoding="utf-8"?>
<sst xmlns="http://schemas.openxmlformats.org/spreadsheetml/2006/main" count="8563" uniqueCount="2103">
  <si>
    <t xml:space="preserve">Estado do Rio de Janeiro                                                        </t>
  </si>
  <si>
    <t>Prefeitura Municipal de Barra Mansa</t>
  </si>
  <si>
    <t xml:space="preserve">Secretaria Municipal de Planejamento Urbano </t>
  </si>
  <si>
    <t>APROVAÇÃO: Eng. Eros dos Santos</t>
  </si>
  <si>
    <t>ITEM</t>
  </si>
  <si>
    <t>CODIGO EMOP/ SINAPI</t>
  </si>
  <si>
    <t>DISCRIMINAÇÃO</t>
  </si>
  <si>
    <t>UN</t>
  </si>
  <si>
    <t>QUANT.</t>
  </si>
  <si>
    <t>PREÇOS (R$)</t>
  </si>
  <si>
    <t>UNIT s/ BDI</t>
  </si>
  <si>
    <t>UNITc/ BDI</t>
  </si>
  <si>
    <t>TOTAL s/ BDI</t>
  </si>
  <si>
    <t>TOTAL c/ BDI</t>
  </si>
  <si>
    <t>1.0</t>
  </si>
  <si>
    <t>SERVIÇOS PRELIMINARES</t>
  </si>
  <si>
    <t>1.1</t>
  </si>
  <si>
    <t>M2</t>
  </si>
  <si>
    <t>X</t>
  </si>
  <si>
    <t>2.0</t>
  </si>
  <si>
    <t>3.0</t>
  </si>
  <si>
    <t>PINTURA</t>
  </si>
  <si>
    <t>4.0</t>
  </si>
  <si>
    <t>M</t>
  </si>
  <si>
    <t>5.0</t>
  </si>
  <si>
    <t>ESQUADRIAS</t>
  </si>
  <si>
    <t>6.0</t>
  </si>
  <si>
    <t>7.0</t>
  </si>
  <si>
    <t>Orçamentista: Engº Alfredo Cunha</t>
  </si>
  <si>
    <t xml:space="preserve">CRONOGRAMA  FÍSICO-FINANCEIRO </t>
  </si>
  <si>
    <t>SERVIÇO</t>
  </si>
  <si>
    <t>30 DIAS</t>
  </si>
  <si>
    <t>60 DIAS</t>
  </si>
  <si>
    <t>TOTAL</t>
  </si>
  <si>
    <t>R$</t>
  </si>
  <si>
    <t>%</t>
  </si>
  <si>
    <t>TOTAL DA OBRA POR MEDIÇÃO</t>
  </si>
  <si>
    <t>TOTAL ACUMULADO DA OBRA</t>
  </si>
  <si>
    <t>Desembolso por medição %</t>
  </si>
  <si>
    <t>Desembolso acumulado %</t>
  </si>
  <si>
    <t>90 DIAS</t>
  </si>
  <si>
    <t>ORÇAMENTO:  Engº Alfredo Cunha</t>
  </si>
  <si>
    <t>10806</t>
  </si>
  <si>
    <t>PLACA DE IDENTIFICACAO DE OBRA PUBLICA,TIPO BANNER/PLOTER, CONSTITUIDA POR LONAE IMPRESSAO DIGITAL</t>
  </si>
  <si>
    <t>00453</t>
  </si>
  <si>
    <t>PREGO COM OU SEM CABECA, EM CAIXAS DE 50KG, OU QUANTIDADES EQUIVALENTES, Nº12X12A 18X30</t>
  </si>
  <si>
    <t>KG</t>
  </si>
  <si>
    <t>00368</t>
  </si>
  <si>
    <t>PINUS, EM PECAS DE 7,50X7,50CM (3"X3")</t>
  </si>
  <si>
    <t>20132</t>
  </si>
  <si>
    <t>MAO-DE-OBRA DE SERVENTE DA CONSTRUCAO CIVIL, INCLUSIVE ENCARGOS SOCIAIS DESONERADOS</t>
  </si>
  <si>
    <t>H</t>
  </si>
  <si>
    <t>20045</t>
  </si>
  <si>
    <t>MAO-DE-OBRA DE CARPINTEIRO DE ESQUADRIASDE MADEIRA, INCLUSIVE ENCARGOS SOCIAISDESONERADOS</t>
  </si>
  <si>
    <t>Local:Rua São João , Barra Mansa - RJ</t>
  </si>
  <si>
    <t>M3</t>
  </si>
  <si>
    <t>SI00000088316</t>
  </si>
  <si>
    <t>SERVENTE COM ENCARGOS COMPLEMENTARES</t>
  </si>
  <si>
    <t>SI00000088309</t>
  </si>
  <si>
    <t>PEDREIRO COM ENCARGOS COMPLEMENTARES</t>
  </si>
  <si>
    <t>PROJETO: Arquiteta Lélia Magda Costa Nogueira</t>
  </si>
  <si>
    <t>LEVANTAMENTO: Arquiteta Lélia Magda Costa Nogueira</t>
  </si>
  <si>
    <t>Serviço :  Reforma e Ampliação da Escola Municipal Comendador Geraldo Ozório Rodrigues</t>
  </si>
  <si>
    <t>Local: Rua São João , Barra Mansa - RJ</t>
  </si>
  <si>
    <t>1.2</t>
  </si>
  <si>
    <t>ARRANCAMENTO DE PORTAS,JANELAS E CAIXILHOS DE AR CONDICIONADO OU OUTROS</t>
  </si>
  <si>
    <t>MAO-DE-OBRA DE SERVENTE DA CONSTRUCAO CIVIL, INCLUSIVE ENCARGOS SOCIAIS</t>
  </si>
  <si>
    <t>ARRANCAMENTO DE GRADES,GRADIS,ALAMBRADOS,CERCAS E PORTOES</t>
  </si>
  <si>
    <t>1.3</t>
  </si>
  <si>
    <t>1.4</t>
  </si>
  <si>
    <t>DEMOLICAO MANUAL DE ALVENARIA DE TIJOLOS FURADOS,INCLUSIVE EMPILHAMENTO LATERAL DENTRO DO CANTEIRO DE SERVICO</t>
  </si>
  <si>
    <t>1.5</t>
  </si>
  <si>
    <t>ARRANCAMENTO DE APARELHOS SANITARIOS</t>
  </si>
  <si>
    <t>1.6</t>
  </si>
  <si>
    <t>05.001.0146-A</t>
  </si>
  <si>
    <t>ARRANCAMENTO DE BANCADA DE PIA/LAVATORIO OU BANCA SECA DE ATE 1,00M DE ALTURA E ATE 0,80M DE LARGURA</t>
  </si>
  <si>
    <t>20115</t>
  </si>
  <si>
    <t>MAO-DE-OBRA DE PEDREIRO, INCLUSIVE ENCARGOS SOCIAIS DESONERADOS</t>
  </si>
  <si>
    <t>05.001.0145-A</t>
  </si>
  <si>
    <t>05.001.0023-A</t>
  </si>
  <si>
    <t>05.001.0147-A</t>
  </si>
  <si>
    <t>05.001.0134-A</t>
  </si>
  <si>
    <t>20039</t>
  </si>
  <si>
    <t>MAO-DE-OBRA DE BOMBEIRO HIDRAULICO DA CONSTRUCAO CIVIL, INCLUSIVE ENCARGOS SOCIAIS DESONERADOS</t>
  </si>
  <si>
    <t>1.7</t>
  </si>
  <si>
    <t>SI00000097632</t>
  </si>
  <si>
    <t>DEMOLIÇÃO DE RODAPÉ CERÂMICO, DE FORMA MANUAL, SEM REAPROVEITAMENTO. AF_12/2017</t>
  </si>
  <si>
    <t>SI00000088256</t>
  </si>
  <si>
    <t>AZULEJISTA OU LADRILHISTA COM ENCARGOS COMPLEMENTARES</t>
  </si>
  <si>
    <t>1.8</t>
  </si>
  <si>
    <t>SI00000097634</t>
  </si>
  <si>
    <t>DEMOLIÇÃO DE REVESTIMENTO CERÂMICO, DE FORMA MECANIZADA COM MARTELETE, SEM REAPROVEITAMENTO. AF_12/2017</t>
  </si>
  <si>
    <t>SI00000005952</t>
  </si>
  <si>
    <t>SI00000005952 MARTELETE OU ROMPEDOR PNEUMÁTICO MANUAL, 28 KG, COM SILENCIADOR - CHI DIURNO. AF_07/2016</t>
  </si>
  <si>
    <t>CHI</t>
  </si>
  <si>
    <t>SI00000005795</t>
  </si>
  <si>
    <t>SI00000005795 MARTELETE OU ROMPEDOR PNEUMÁTICO MANUAL, 28 KG, COM SILENCIADOR - CHP DIURNO. AF_07/2016</t>
  </si>
  <si>
    <t>CHP</t>
  </si>
  <si>
    <t>1.9</t>
  </si>
  <si>
    <t>05.001.0009-A</t>
  </si>
  <si>
    <t>DEMOLICAO DE REVESTIMENTO EM AZULEJOS,CERAMICAS OU MARMORE EM PAREDE,EXCLUSIVE A CAMADA DE ASSENTAMENTO</t>
  </si>
  <si>
    <t>05.001.0014-A</t>
  </si>
  <si>
    <t>DEMOLICAO DE ARGAMASSA DE ASSENTAMENTO DE AZULEJO,CERAMICA OU MARMORE EM PAREDE,INCLUSIVE EMPILHAMENTO LATERAL DENTRO DOCANTEIRO DE SERVICO</t>
  </si>
  <si>
    <t>05.001.0009-A + 05.001.0014-A</t>
  </si>
  <si>
    <t>DEMOLICAO DE REVESTIMENTO EM AZULEJOS,CERAMICAS OU MARMORE EM PAREDE,INCLUSIVE A CAMADA DE ASSENTAMENTO</t>
  </si>
  <si>
    <t>1.10</t>
  </si>
  <si>
    <t>05.001.0008-A</t>
  </si>
  <si>
    <t>DEMOLICAO DE REVESTIMENTO EM ARGAMASSA DE CIMENTO E AREIA EMPAREDE</t>
  </si>
  <si>
    <t>1.11</t>
  </si>
  <si>
    <t>SI00000097629</t>
  </si>
  <si>
    <t>DEMOLIÇÃO DE LAJES, DE FORMA MECANIZADA COM MARTELETE, SEM REAPROVEITAMENTO. AF_12/2017</t>
  </si>
  <si>
    <t>SI00000097627</t>
  </si>
  <si>
    <t>DEMOLIÇÃO DE PILARES E VIGAS EM CONCRETO ARMADO, DE FORMA MECANIZADA COM MARTELETE, SEM REAPROVEITAMENTO. AF_12/2017</t>
  </si>
  <si>
    <t>0041954</t>
  </si>
  <si>
    <t>CABO DE ACO GALVANIZADO, DIAMETRO 9,53 MM (3/8"), COM ALMA DE FIBRA 6 X 25 F</t>
  </si>
  <si>
    <t>1.12</t>
  </si>
  <si>
    <t>1.13</t>
  </si>
  <si>
    <t>1.14</t>
  </si>
  <si>
    <t>SI00000097635</t>
  </si>
  <si>
    <t>DEMOLIÇÃO DE PAVIMENTO INTERTRAVADO, DE FORMA MANUAL, COM REAPROVEITAMENTO. AF_12/2017</t>
  </si>
  <si>
    <t>SI00000088260</t>
  </si>
  <si>
    <t>CALCETEIRO COM ENCARGOS COMPLEMENTARES</t>
  </si>
  <si>
    <t>1.15</t>
  </si>
  <si>
    <t>SI00000097661</t>
  </si>
  <si>
    <t>REMOÇÃO DE CABOS ELÉTRICOS, DE FORMA MANUAL, SEM REAPROVEITAMENTO. AF_12/2017</t>
  </si>
  <si>
    <t>SI00000088264</t>
  </si>
  <si>
    <t>ELETRICISTA COM ENCARGOS COMPLEMENTARES</t>
  </si>
  <si>
    <t>1.16</t>
  </si>
  <si>
    <t>05.001.0071-A</t>
  </si>
  <si>
    <t>REMOCAO CUIDADOSA DE PEITORIS,SOLEIRAS OU CHAPINS</t>
  </si>
  <si>
    <t>1.17</t>
  </si>
  <si>
    <t>ARRANCAMENTO DE APARELHOS DE ILUMINACAO, INCLUSIVE LAMPADAS</t>
  </si>
  <si>
    <t>05.001.0144-A</t>
  </si>
  <si>
    <t>20060</t>
  </si>
  <si>
    <t>MAO-DE-OBRA DE ELETRICISTA DA CONSTRUCAOCIVIL, INCLUSIVE ENCARGOS SOCIAIS DESONERADOS</t>
  </si>
  <si>
    <t>1.18</t>
  </si>
  <si>
    <t>05.001.0041-A</t>
  </si>
  <si>
    <t>REMOCAO DE COBERTURA EM TELHAS DE FIBROCIMENTO CONVENCIONAL,ONDULADA,INCLUSIVE MADEIRAMENTO,MEDIDO O CONJUNTO PELA AREAREAL DE COBERTURA</t>
  </si>
  <si>
    <t>20046</t>
  </si>
  <si>
    <t>MAO-DE-OBRA DE CARPINTEIRO DE FORMA DE CONCRETO, INCLUSIVE ENCARGOS SOCIAIS DESONERADOS</t>
  </si>
  <si>
    <t>1.19</t>
  </si>
  <si>
    <t>05.001.0055-A</t>
  </si>
  <si>
    <t>REMOCAO DE FORRO DE ESTUQUE,GESSO,PLACAS PRENSADAS E SEMELHANTES</t>
  </si>
  <si>
    <t>1.20</t>
  </si>
  <si>
    <t>SI00000097663</t>
  </si>
  <si>
    <t>REMOÇÃO DE LOUÇAS, DE FORMA MANUAL, SEM REAPROVEITAMENTO. AF_12/2017</t>
  </si>
  <si>
    <t>SI00000088267</t>
  </si>
  <si>
    <t>ENCANADOR OU BOMBEIRO HIDRÁULICO COM ENCARGOS COMPLEMENTARES</t>
  </si>
  <si>
    <r>
      <t xml:space="preserve">REMOÇÃO DE LOUÇAS, DE FORMA MANUAL, SEM REAPROVEITAMENTO. AF_12/2017 </t>
    </r>
    <r>
      <rPr>
        <b/>
        <sz val="12"/>
        <rFont val="Arial"/>
        <family val="2"/>
      </rPr>
      <t>(CAIXA D´ÁGUA INCLUSIVE BARRILETE)</t>
    </r>
  </si>
  <si>
    <t>1.21</t>
  </si>
  <si>
    <t>05.001.0138-A</t>
  </si>
  <si>
    <t>ARRANCAMENTO DE TUBULACAO DE FERRO GALVANIZADO,SEM ESCAVACAOOU RASGO EM ALVENARIA</t>
  </si>
  <si>
    <t>1.22</t>
  </si>
  <si>
    <r>
      <t>DEMOLICAO DE REVESTIMENTO EM AZULEJOS,CERAMICAS OU MARMORE EM PAREDE,INCLUSIVE A CAMADA DE ASSENTAMENTO</t>
    </r>
    <r>
      <rPr>
        <b/>
        <sz val="12"/>
        <rFont val="Arial"/>
        <family val="2"/>
      </rPr>
      <t xml:space="preserve"> (REVESTIMENTO DE PEDRA NA FACHADA)</t>
    </r>
  </si>
  <si>
    <t>1.23</t>
  </si>
  <si>
    <t>ARRANCAMENTO DE ORELHÃO</t>
  </si>
  <si>
    <t>05.001.0144-6</t>
  </si>
  <si>
    <t>1.24</t>
  </si>
  <si>
    <t>05.001.0076-A</t>
  </si>
  <si>
    <t>REMOCAO DE DIVISORIAS DE MADEIRA,PRE-MOLDADAS,PRENSADAS OU SEMELHANTES</t>
  </si>
  <si>
    <t>1.25</t>
  </si>
  <si>
    <t>REMOÇÃO DE PEITORIL DE CERÂMICA</t>
  </si>
  <si>
    <t>1.26</t>
  </si>
  <si>
    <r>
      <t xml:space="preserve">REMOCAO CUIDADOSA DE PEITORIS,SOLEIRAS OU CHAPINS </t>
    </r>
    <r>
      <rPr>
        <b/>
        <sz val="12"/>
        <rFont val="Arial"/>
        <family val="2"/>
      </rPr>
      <t>(PEITORIL DE MADEIRA)</t>
    </r>
  </si>
  <si>
    <t>1.27</t>
  </si>
  <si>
    <t>09.005.0052-A</t>
  </si>
  <si>
    <t>CORTE,DESGALHAMENTO,DESTOCAMENTO E DESENRAIZAMENTO DE ARVORE,COM ALTURA ATE 3,00M,DIAMETRO EM TORNO DE 15CM,COM AUXILIODE EQUIPAMENTO MECANICO</t>
  </si>
  <si>
    <t>20133</t>
  </si>
  <si>
    <t>MAO-DE-OBRA DE SERVENTE PARA SERVICOS DECONSERVACAO, INCLUSIVE ENCARGOS SOCIAISDESONERADOS</t>
  </si>
  <si>
    <t>30589</t>
  </si>
  <si>
    <t>19.005.0028-C RETRO-ESCAVADEIRA,MOTOR DIESEL 75CV (CP)</t>
  </si>
  <si>
    <t>ESTRUTURA DE CONCRETO ARMADO</t>
  </si>
  <si>
    <t>SUB-TOTAL 1.0</t>
  </si>
  <si>
    <t>2.1</t>
  </si>
  <si>
    <t>11.013.0003-B</t>
  </si>
  <si>
    <t>VERGAS DE CONCRETO ARMADO PARA ALVENARIA,COM APROVEITAMENTODA MADEIRA POR 10 VEZES</t>
  </si>
  <si>
    <t>00029</t>
  </si>
  <si>
    <t>ACO CA-25, ESTIRADO, PRECO DE REVENDEDOR, NO DIAMETRO DE 06,3MM</t>
  </si>
  <si>
    <t>00004</t>
  </si>
  <si>
    <t>ARAME RECOZIDO Nº 18</t>
  </si>
  <si>
    <t>20015</t>
  </si>
  <si>
    <t>MAO-DE-OBRA DE ARMADOR DE CONCRETO ARMADO, INCLUSIVE ENCARGOS SOCIAIS DESONERADOS</t>
  </si>
  <si>
    <t>31011</t>
  </si>
  <si>
    <t>59.003.0010-B PINUS,PECA 1" X 12" E 1" X 9"</t>
  </si>
  <si>
    <t>30245</t>
  </si>
  <si>
    <t>11.001.0001-B CONCRETO FCK 10MPA</t>
  </si>
  <si>
    <t>ALVENARIA E REVESTIMENTOS</t>
  </si>
  <si>
    <t>12.003.0205-A</t>
  </si>
  <si>
    <t>ALVENARIA DE TIJOLOS CERAMICOS FURADOS 10X20X30CM,COMPLEMENTADA COM 20% DE TIJOLOS DE 10X20X20CM,ASSENTES COM ARGAMASSADE CIMENTO,CAL HIDRATADA ADITIVADA E AREIA,NO TRACO 1:1:8,EMPAREDES DE UMA VEZ(0,20M),DE SUPERFICIE CORRIDA,ATE 3,00M DE ALTURA E MEDIDA PELA AREA REAL</t>
  </si>
  <si>
    <t>00560</t>
  </si>
  <si>
    <t>TIJOLO CERAMICO, FURADO, DE (10X20X30)CM</t>
  </si>
  <si>
    <t>00559</t>
  </si>
  <si>
    <t>TIJOLO CERAMICO, FURADO, DE (10X20X20)CM</t>
  </si>
  <si>
    <t>30174</t>
  </si>
  <si>
    <t>07.005.0030-B ARGAMASSA CIM.,CAL HIDR.AREIA-EMBOC.INT.PREPARO MECANICO</t>
  </si>
  <si>
    <t>12.003.0230-A</t>
  </si>
  <si>
    <t>ALVENARIA DE TIJOLOS CERAMICOS FURADOS 10X20X30CM,COMPLEMENTADA COM 6% DE TIJOLOS DE 10X20X20CM,ASSENTES COM ARGAMASSA DE CIMENTO,CAL HIDRATADA ADITIVADA E AREIA,NO TRACO 1:1:8,EMPAREDES DE MEIA VEZ(0,10M),DE SUPERFICIE CORRIDA,ATE 3,00M DE ALTURA E MEDIDA PELA AREA REAL</t>
  </si>
  <si>
    <t>3.1</t>
  </si>
  <si>
    <t>3.2</t>
  </si>
  <si>
    <t>3.3</t>
  </si>
  <si>
    <t>12.005.0120-A</t>
  </si>
  <si>
    <t>ALVENARIA DE BLOCOS DE CONCRETO 20X20X40CM,ASSENTES COM ARGAMASSA DE CIMENTO,CAL HIDRATADA ADITIVADA E AREIA,NO TRACO 1:1:10,EM PAREDES DE 0,20M DE ESPESSURA,DE SUPERFICIE CORRIDA,ATE 3,00M DE ALTURA E MEDIDA PELA AREA REAL</t>
  </si>
  <si>
    <t>00104</t>
  </si>
  <si>
    <t>BLOCO DE CONCRETO PRENSADO, PARA ALVENARIA, DE (20X20X40)CM</t>
  </si>
  <si>
    <t>30173</t>
  </si>
  <si>
    <t>07.005.0025-B ARGAMASSA CIM.,CAL HIDR.AREIA,TRACO 1:1:10,PARA ASSENTAMENTO DE ALVENARIA,PREPA10,PARA ASSENTAMENTO DE ALVENARIA,PREPA</t>
  </si>
  <si>
    <t>3.4</t>
  </si>
  <si>
    <t>12.007.0020-A</t>
  </si>
  <si>
    <t>PAREDE DE BLOCOS VAZADOS(COBOGO),DE CIMENTO E AREIA,COM PESODE 9,6KG,39X39X7CM,ASSENTES COMO EM 12.006.0010</t>
  </si>
  <si>
    <t>05170</t>
  </si>
  <si>
    <t>COBOGO DE BLOCOS VAZADOS, DE CIMENTO E AREIA, DE (39X39X07)CM</t>
  </si>
  <si>
    <t>00013</t>
  </si>
  <si>
    <t>ACO CA-60, ESTIRADO, PRECO DE REVENDEDOR, NO DIAMETRO DE 04,2MM</t>
  </si>
  <si>
    <t>30164</t>
  </si>
  <si>
    <t>07.002.0030-B ARGAMASSA CIM.,AREIA TRACO 1:4,PREPAROMECANICO</t>
  </si>
  <si>
    <t>30247</t>
  </si>
  <si>
    <t>11.001.0006-B CONCRETO FCK 20MPA</t>
  </si>
  <si>
    <t>3.5</t>
  </si>
  <si>
    <t>3.6</t>
  </si>
  <si>
    <t>13.003.0010-A</t>
  </si>
  <si>
    <t>REVESTIMENTO INTERNO,EMBOCO,DE UMA VEZ,COM ARGAMASSA DE CIMENTO,CAL HIDRATADA ADITIVADA E AREIA,NO TRACO 1:1:8,COM ESPESSURA DE 2CM,ACABAMENTO CAMURCADO,APLICADO SOBRE SUPERFICIE CHAPISCADA,EXCLUSIVE CHAPISCO</t>
  </si>
  <si>
    <t>13.001.0010-B</t>
  </si>
  <si>
    <t>CHAPISCO EM SUPERFICIE DE CONCRETO OU ALVENARIA,COM ARGAMASSA DE CIMENTO E AREIA,NO TRACO 1:3,COM 5MM DE ESPESSURA</t>
  </si>
  <si>
    <t>30163</t>
  </si>
  <si>
    <t>07.002.0025-B ARGAMASSA CIM.,AREIA TRACO 1:3,PREPAROMECANICO</t>
  </si>
  <si>
    <t>REVESTIMENTO INTERNO,EMBOCO,DE UMA VEZ,COM ARGAMASSA DE CIMENTO,CAL HIDRATADA ADITIVADA E AREIA,NO TRACO 1:1:8,COM ESPESSURA DE 2CM,ACABAMENTO CAMURCADO,APLICADO SOBRE SUPERFICIE CHAPISCADA,INCLUSIVE CHAPISCO COM ARGAMASSA DE CIMENTO E AREIA,NO TRACO 1:3,COM 5MM DE ESPESSURA</t>
  </si>
  <si>
    <t>13.003.0010-A + 13.001.0010-B</t>
  </si>
  <si>
    <t>3.7</t>
  </si>
  <si>
    <t>SI00000094997</t>
  </si>
  <si>
    <t>EXECUÇÃO DE PASSEIO (CALÇADA) OU PISO DE CONCRETO COM CONCRETO MOLDADO IN LOCO, USINADO, ACABAMENTO CONVENCIONAL, ESPESSURA 10 CM, ARMADO. AF_07/2016</t>
  </si>
  <si>
    <t>0034492</t>
  </si>
  <si>
    <t>CONCRETO USINADO BOMBEAVEL, CLASSE DE RESISTENCIA C20, COM BRITA 0 E 1, SLUMP = 100 +/- 20 MM, EXCLUI SERVICO DE BOMBEAMENTO (NBR 8953)</t>
  </si>
  <si>
    <t>0007156</t>
  </si>
  <si>
    <t>TELA DE ACO SOLDADA NERVURADA, CA-60, Q-196, (3,11 KG/M2), DIAMETRO DO FIO = 5,0 MM, LARGURA = 2,45 M, ESPACAMENTO DA MALHA = 10 X 10 CM</t>
  </si>
  <si>
    <t>0004517</t>
  </si>
  <si>
    <t>SARRAFO *2,5 X 7,5* CM EM PINUS, MISTA OU EQUIVALENTE DA REGIAO - BRUTA</t>
  </si>
  <si>
    <t>0004460</t>
  </si>
  <si>
    <t>SARRAFO NAO APARELHADO *2,5 X 10* CM, EM MACARANDUBA, ANGELIM OU EQUIVALENTE DA REGIAO -  BRUTA</t>
  </si>
  <si>
    <t>0003777</t>
  </si>
  <si>
    <t>LONA PLASTICA PESADA PRETA, E = 150 MICRA</t>
  </si>
  <si>
    <t>SI00000088262</t>
  </si>
  <si>
    <t>CARPINTEIRO DE FORMAS COM ENCARGOS COMPLEMENTARES</t>
  </si>
  <si>
    <t>3.8</t>
  </si>
  <si>
    <t>SI00000087680</t>
  </si>
  <si>
    <t>CONTRAPISO EM ARGAMASSA TRAÇO 1:4 (CIMENTO E AREIA), PREPARO MECÂNICO COM BETONEIRA 400 L, APLICADO EM ÁREAS SECAS SOBRE LAJE, NÃO ADERIDO, ACABAMENTO NÃO REFORÇADO, ESPESSURA 4CM. AF_07/2021</t>
  </si>
  <si>
    <t>SI00000087301</t>
  </si>
  <si>
    <t>3.9</t>
  </si>
  <si>
    <t>3.10</t>
  </si>
  <si>
    <t>13.380.0011-A</t>
  </si>
  <si>
    <t>PISO DE MARMORITE,COMPREENDENDO:A)LASTRO,COM 4CM DE ESPESSURA MEDIA,DE ARGAMASSA DE CIMENTO E AREIA GROSSA,NO TRACO 1:4;B) CAMADA DE MARMORITE,COM 1CM DE ESPESSURA,FEITA COM GRANILHA Nº1 PRETA E CIMENTO,SUPERFICIE ESTUCADA APOS A FUNDICAO,COM 3 POLIMENTOS MECANICOS,EXCLUSIVE JUNTA</t>
  </si>
  <si>
    <t>11144</t>
  </si>
  <si>
    <t>GRANILHA Nº 1 PRETA</t>
  </si>
  <si>
    <t>00149</t>
  </si>
  <si>
    <t>CIMENTO PORTLAND CP II 32, EM SACO DE 50KG</t>
  </si>
  <si>
    <t>00001</t>
  </si>
  <si>
    <t>AREIA LAVADA, GROSSA, PARA REGIAO METROPOLITANA DO RIO DE JANEIRO</t>
  </si>
  <si>
    <t>20092</t>
  </si>
  <si>
    <t>MAO-DE-OBRA DE MARMORISTA DE MARMORITE,INCLUSIVE ENCARGOS SOCIAIS DESONERADOS</t>
  </si>
  <si>
    <t>05078</t>
  </si>
  <si>
    <t>PEDRA ESMERIL, P/MAQUINA DE POLIMENTO, DE 6" DE GRANULOMETRIA 060</t>
  </si>
  <si>
    <t>05077</t>
  </si>
  <si>
    <t>PEDRA ESMERIL, P/MAQUINA DE POLIMENTO, DE 6" COM GRANULOMETRIA 036</t>
  </si>
  <si>
    <t>30707</t>
  </si>
  <si>
    <t>19.006.0050-E MAQUINA POLIDORA 4HP (CI)</t>
  </si>
  <si>
    <t>30706</t>
  </si>
  <si>
    <t>19.006.0050-C MAQUINA POLIDORA 4HP (CP)</t>
  </si>
  <si>
    <t>3.11</t>
  </si>
  <si>
    <t>13.380.0015-A</t>
  </si>
  <si>
    <t>RODAPE DE MARMORITE,FUNDIDO NO LOCAL,COM 10CM DE ALTURA,1CMDE ESPESSURA,TERMINANDO EM CANTO RETO JUNTO AO PISO,FEITO COM CIMENTO E GRANILHA Nº1 BRANCA,COM POLIMENTO MANUAL,O MARMORITE E EXECUTADO SOBRE EMBOCO PREVIO NAO INCLUIDO NESTA</t>
  </si>
  <si>
    <t>00408</t>
  </si>
  <si>
    <t>GRANILHA Nº 1 BRANCA</t>
  </si>
  <si>
    <t>3.12</t>
  </si>
  <si>
    <t>3.13</t>
  </si>
  <si>
    <t>07798</t>
  </si>
  <si>
    <t>ARGAMASSA PARA REJUNTAMENTO PIGMENTADA,EMBALAGEM DE 5KG</t>
  </si>
  <si>
    <t>07797</t>
  </si>
  <si>
    <t>ARGAMASSA COLANTE, PARA USO EXTERNO, EMBALAGEM DE 20 KG</t>
  </si>
  <si>
    <t>20087</t>
  </si>
  <si>
    <t>MAO-DE-OBRA DE LADRILHEIRO, INCLUSIVE ENCARGOS SOCIAIS DESONERADOS</t>
  </si>
  <si>
    <t>SI00000087263</t>
  </si>
  <si>
    <t>REVESTIMENTO CERÂMICO PARA PISO COM PLACAS TIPO PORCELANATO DE DIMENSÕES 60X60 CM APLICADA EM AMBIENTES DE ÁREA MAIOR QUE 10 M². AF_06/2014</t>
  </si>
  <si>
    <t>0038195</t>
  </si>
  <si>
    <t>PISO PORCELANATO, BORDA RETA, EXTRA, FORMATO MAIOR QUE 2025 CM2</t>
  </si>
  <si>
    <t>0037595</t>
  </si>
  <si>
    <t>ARGAMASSA COLANTE TIPO AC III</t>
  </si>
  <si>
    <t>0034357</t>
  </si>
  <si>
    <t>REJUNTE CIMENTICIO, QUALQUER COR</t>
  </si>
  <si>
    <t>3.14</t>
  </si>
  <si>
    <t>13.030.0291-A</t>
  </si>
  <si>
    <t>REVESTIMENTO DE PAREDES COM CERAMICA,COM MEDIDAS EM TORNO DE(32X57)CM,ASSENTE CONFORME ITEM 13.025.0058</t>
  </si>
  <si>
    <t>11204</t>
  </si>
  <si>
    <t>LADRILHO CERAMICO COM MEDIDAS EM TORNODE (32X57)CM</t>
  </si>
  <si>
    <t>06013</t>
  </si>
  <si>
    <t>MASSA UNICA COM ARGAMASSA DE CIMENTO E AREIA TERMOTRATADA, EM SACOS DE 50KG</t>
  </si>
  <si>
    <t>30350</t>
  </si>
  <si>
    <t>13.001.0010-B CHAPISCO SUPERF. CONCR./ALVEN.,COM ARGAMASSA DE CIMENTO E AREIA NO TRACO 1:3</t>
  </si>
  <si>
    <t>05350</t>
  </si>
  <si>
    <t>PIGMENTO EM PO A BASE DE OXIDO DE FERRO</t>
  </si>
  <si>
    <t>00150</t>
  </si>
  <si>
    <t>CIMENTO BRANCO</t>
  </si>
  <si>
    <t>30129</t>
  </si>
  <si>
    <t>07.001.0010-B PASTA DE CIMENTO COMUM</t>
  </si>
  <si>
    <t>3.15</t>
  </si>
  <si>
    <t>13.030.0255-A</t>
  </si>
  <si>
    <t>REVESTIMENTO DE PAREDES COM LADRILHOS CERAMICOS COM MEDIDASEM TORNO DE (10X10)CM,EM PLACA TELADA NO FORMATO EM TORNO DE(30X30)CM,NAS CORES BRANCO,CINZA,BEGE,CREME,AZUL,MARROM E PRETO,CONFORME ABNT NBR 16928,ASSENTE COM ARGAMASSA COLANTE,REJUNTAMENTO COM ARGAMASSA INDUSTRIALIZADA,EXCLUSIVE CHAPISCOE EMBOCO</t>
  </si>
  <si>
    <t>07796</t>
  </si>
  <si>
    <t>REVESTIMENTO CERAMICO (10X10)CM,PLACA TELADA FORMATO (30X30)CM,BRANCO,CINZA,BEGE,CREME,AZUL,MARROM E PRETO,ABNT NBR16928</t>
  </si>
  <si>
    <t>3.16</t>
  </si>
  <si>
    <t>SI00000087242</t>
  </si>
  <si>
    <t>REVESTIMENTO CERÂMICO PARA PAREDES EXTERNAS EM PASTILHAS DE PORCELANA 5 X 5 CM (PLACAS DE 30 X 30 CM), ALINHADAS A PRUMO, APLICADO EM PANOS COM VÃOS. AF_06/2014</t>
  </si>
  <si>
    <t>0037596</t>
  </si>
  <si>
    <t>ARGAMASSA COLANTE TIPO AC III E</t>
  </si>
  <si>
    <t>0036881</t>
  </si>
  <si>
    <t>PASTILHA CERAMICA/PORCELANA, REVEST INT/EXT E  PISCINA, CORES BRANCA OU FRIAS, SOLIDAS, SEM MESCLAGEM/MISTURA, ACABAMENTO LISO *5 X 5* CM</t>
  </si>
  <si>
    <t>3.17</t>
  </si>
  <si>
    <t>13.348.0075-A</t>
  </si>
  <si>
    <t>SOLEIRA EM GRANITO CINZA ANDORINHA,ESPESSURA DE 2CM,COM 2 POLIMENTOS,LARGURA DE 15CM,ASSENTADO COM ARGAMASSA DE CIMENTO,SAIBRO E AREIA, NO TRACO 1:2:2, E REJUNTAMENTO COM CIMENTOBRANCO E CORANTE</t>
  </si>
  <si>
    <t>13.348.0080-A</t>
  </si>
  <si>
    <t>SOLEIRA EM GRANITO CINZA ANDORINHA,ESPESSURA DE 2CM,COM 2 POLIMENTOS,LARGURA DE 25CM,ASSENTADO COM ARGAMASSA DE CIMENTO,SAIBRO E AREIA, NO TRACO 1:2:2, E REJUNTAMENTO COM CIMENTOBRANCO E CORANTE</t>
  </si>
  <si>
    <t>11184</t>
  </si>
  <si>
    <t>SOLEIRA EM GRANITO CINZA ANDORINHA, 25X2CM, COM 2 POLIMENTOS</t>
  </si>
  <si>
    <t>20091</t>
  </si>
  <si>
    <t>MAO-DE-OBRA DE MARMORISTA DE MARMORE E GRANITO, INCLUSIVE ENCARGOS SOCIAIS DESONERADOS</t>
  </si>
  <si>
    <t>30180</t>
  </si>
  <si>
    <t>07.007.0010-B ARGAMASSA CIM.,SAIBRO,AREIA 1:2:2,PREPARO MECANICO</t>
  </si>
  <si>
    <t>11183</t>
  </si>
  <si>
    <t>SOLEIRA GRANITO CINZA ANDORINHA, 15X2CM,COM 2 POLIMENTOS</t>
  </si>
  <si>
    <t>3.18</t>
  </si>
  <si>
    <t>3.19</t>
  </si>
  <si>
    <t>13.036.0081-A</t>
  </si>
  <si>
    <t>MOLDURA EXTERNA EXECUTADA NO PERIMETRO DAS ESQUADRIAS COM GRANITO CINZA CORUMBA,2CM DE ESPESSURA,COM 2 POLIMENTOS,ASSENTE COMO EM 13.036.0010,EXCLUSIVE ARGAMASSA E REJUNTAMENTO</t>
  </si>
  <si>
    <t>00289</t>
  </si>
  <si>
    <t>CABO SOLIDO DE COBRE ELETROLITICO NU, TEMPERA MOLE, CLASSE 2, SECAO CIRCULAR DE10,0 A 500,0MM2</t>
  </si>
  <si>
    <t>3.20</t>
  </si>
  <si>
    <t>13.045.0045-A</t>
  </si>
  <si>
    <t>PEITORIL DE MARMORE BRANCO NACIONAL,COM ESPESSURA DE 2CM,COM2 POLIMENTOS,EM 2 TIRAS,NA LARGURA,SOMADA DE 20CM, SENDO APARTE INFERIOR EM SUPERPOSICAO,ASSENTE COMO EM 13.045.0040</t>
  </si>
  <si>
    <t>30153</t>
  </si>
  <si>
    <t>07.001.0130-B ARGAMASSA CIM.,SAIBRO,AREIA 1:3:3,PREPARO MANUAL</t>
  </si>
  <si>
    <t>3.21</t>
  </si>
  <si>
    <t>3.22</t>
  </si>
  <si>
    <t>3.23</t>
  </si>
  <si>
    <t>3.24</t>
  </si>
  <si>
    <t>13.348.0056-0</t>
  </si>
  <si>
    <t>PEITORIL EM GRANITO CINZA ANDORINHA,ESPESSURA DE 2CM,LARGURADE 28CM,EXCLUSIVE NATA DE CIMENTO,ARGAMASSA E REJUNTAMENTO</t>
  </si>
  <si>
    <t>11181</t>
  </si>
  <si>
    <t>PEITORIL EM GRANITO CINZA ANDORINHA, (28X2)CM</t>
  </si>
  <si>
    <t>MAO-DE-OBRA DE MARMORISTA DE MARMORE E GRANITO, INCLUSIVE ENCARGOS SOCIAIS</t>
  </si>
  <si>
    <r>
      <t xml:space="preserve">PEITORIL EM GRANITO CINZA ANDORINHA,ESPESSURA DE 2CM,LARGURADE </t>
    </r>
    <r>
      <rPr>
        <b/>
        <sz val="16"/>
        <rFont val="Arial"/>
        <family val="2"/>
      </rPr>
      <t>65CM</t>
    </r>
    <r>
      <rPr>
        <sz val="12"/>
        <rFont val="Arial"/>
        <family val="2"/>
      </rPr>
      <t>,EXCLUSIVE NATA DE CIMENTO,ARGAMASSA E REJUNTAMENTO</t>
    </r>
  </si>
  <si>
    <t>3.25</t>
  </si>
  <si>
    <t>13.348.0056-6</t>
  </si>
  <si>
    <t>3.26</t>
  </si>
  <si>
    <t>13.333.0010-A</t>
  </si>
  <si>
    <t>REVESTIMENTO DE PISO COM CERAMICA TATIL DIRECIONAL,(LADRILHOHIDRAULICO),PARA PESSOAS COM NECESSIDADES ESPECIFICAS,ASSENTES SOBRE SUPERFICIE EM OSSO,CONFORME ITEM 13.330.0010</t>
  </si>
  <si>
    <t>11227</t>
  </si>
  <si>
    <t>PISO CERAMICO TATIL DIRECIONAL, AMARELO,PARA PORTADORES DE NECESSIDADES ESPECIFICAS</t>
  </si>
  <si>
    <t>3.27</t>
  </si>
  <si>
    <t>SUB-TOTAL 3.0</t>
  </si>
  <si>
    <t>02259</t>
  </si>
  <si>
    <t>ALIZAR EM MADEIRA DE LEI, DE (5X2)CM, GRUPO V</t>
  </si>
  <si>
    <t>30998</t>
  </si>
  <si>
    <t>58.002.0412-B TACO DE ALVENARIA (2,5 X 10 X 20)CM</t>
  </si>
  <si>
    <t>00760</t>
  </si>
  <si>
    <t>PORTA LISA, SEMI-OCA PARA PINTURA, DE (80X210X3,5)CM</t>
  </si>
  <si>
    <t>14.006.0010-A</t>
  </si>
  <si>
    <t>PORTA DE MADEIRA DE LEI EM COMPENSADO DE 80X210X3,5CM FOLHEADA NAS 2 FACES,ADUELA DE 13X3CM E ALIZARES DE 5X2CM,EXCLUSIVE FERRAGENS.FORNECIMENTO E COLOCACAO</t>
  </si>
  <si>
    <t>4.1</t>
  </si>
  <si>
    <t>4.2</t>
  </si>
  <si>
    <t>4.3</t>
  </si>
  <si>
    <t>4.4</t>
  </si>
  <si>
    <t>4.5</t>
  </si>
  <si>
    <t>14.003.0225-A</t>
  </si>
  <si>
    <t>PORTA DE ALUMINIO ANODIZADO AO NATURAL,PERFIL SERIE 25,EM VENEZIANA,EXCLUSIVE FECHADURA.FORNECIMENTO E COLOCACAO</t>
  </si>
  <si>
    <t>00022</t>
  </si>
  <si>
    <t>ALUMINIO EM PERFIL TUBULAR EXTRUDADO, LIGA COMUM</t>
  </si>
  <si>
    <t>20131</t>
  </si>
  <si>
    <t>MAO-DE-OBRA DE SERRALHEIRO DA CONSTRUCAOCIVIL, INCLUSIVE ENCARGOS SOCIAIS DESONERADOS</t>
  </si>
  <si>
    <t>4.6</t>
  </si>
  <si>
    <t>14.003.0148-A</t>
  </si>
  <si>
    <t>JANELA DE ALUMINIO ANODIZADO AO NATURAL,TIPO MAXIM-AR,COM 1PAINEL DESLIZANTE PROJETANTE,PROVIDA DE HASTE DE COMANDO,EMPERFIS SERIE 28.FORNECIMENTO E COLOCACAO</t>
  </si>
  <si>
    <t>UNID</t>
  </si>
  <si>
    <t>14.003.0225-A + 14.003.0148-A</t>
  </si>
  <si>
    <t>4.7</t>
  </si>
  <si>
    <t>4.8</t>
  </si>
  <si>
    <t>UNID.</t>
  </si>
  <si>
    <t>4.9</t>
  </si>
  <si>
    <t>4.10</t>
  </si>
  <si>
    <t>4.11</t>
  </si>
  <si>
    <t>4.12</t>
  </si>
  <si>
    <t>4.13</t>
  </si>
  <si>
    <t>4.14</t>
  </si>
  <si>
    <t>4.15</t>
  </si>
  <si>
    <t>4.16</t>
  </si>
  <si>
    <t>14.002.0052-A</t>
  </si>
  <si>
    <t>PORTINHOLA PARA ALCAPAO,CISTERNA OU CAIXA D'AGUA ELEVADA,EMCHAPA DE FERRO GALVANIZADO Nº16,ATE 0,80M DE ALTURA,COM GUARNICAO E ALCA PARA FECHAMENTO A CADEADO,EXCLUSIVE ESTE.FORNECIMENTO E COLOCACAO</t>
  </si>
  <si>
    <t>11794</t>
  </si>
  <si>
    <t>CHAPA DE ACO GALVANIZADO, Nº16 (1,55)MM</t>
  </si>
  <si>
    <t>00011</t>
  </si>
  <si>
    <t>CANTONEIRA DE ACO DOCE, P/SERRALHERIA, PRECO DE REVENDEDOR, DE 5/8"X1/8" ATE 1.1/2"X1/8"</t>
  </si>
  <si>
    <t>4.17</t>
  </si>
  <si>
    <t>4.18</t>
  </si>
  <si>
    <t>0039432</t>
  </si>
  <si>
    <t>FITA DE PAPEL REFORCADA COM LAMINA DE METAL PARA REFORCO DE CANTOS DE CHAPA DE GESSO PARA DRYWALL</t>
  </si>
  <si>
    <t>0020259</t>
  </si>
  <si>
    <t>PERFIL DE BORRACHA EPDM MACICO *12 X 15* MM PARA ESQUADRIAS</t>
  </si>
  <si>
    <t>SI00000088325</t>
  </si>
  <si>
    <t>VIDRACEIRO COM ENCARGOS COMPLEMENTARES</t>
  </si>
  <si>
    <t>SI00000102162</t>
  </si>
  <si>
    <t>INSTALAÇÃO DE VIDRO LISO INCOLOR, E = 4 MM, EM ESQUADRIA DE ALUMÍNIO OU PVC, FIXADO COM BAGUETE. AF_01/2021_P</t>
  </si>
  <si>
    <t>0010492</t>
  </si>
  <si>
    <t>VIDRO LISO INCOLOR 4MM - SEM COLOCACAO</t>
  </si>
  <si>
    <t>4.19</t>
  </si>
  <si>
    <t>4.20</t>
  </si>
  <si>
    <t>SI00000102170</t>
  </si>
  <si>
    <t>INSTALAÇÃO DE VIDRO IMPRESSO, E = 4 MM, EM ESQUADRIA DE ALUMÍNIO OU PVC, FIXADO COM BAGUETE. AF_01/2021_P</t>
  </si>
  <si>
    <t>0010499</t>
  </si>
  <si>
    <t>VIDRO MARTELADO OU CANELADO, 4 MM - SEM COLOCACAO</t>
  </si>
  <si>
    <t>4.21</t>
  </si>
  <si>
    <t>14.002.0070-A</t>
  </si>
  <si>
    <t>PORTAO DE FERRO DE UMA OU DUAS FOLHAS COM ALTURA DE 1,00 A 1,50M E LARGURA DE 1,00 A 3,00M,FORMADO P/BARRAS VERTICAIS DE1.1/4"X1/4",ESPACADAS DE 12,5CM,CONTORNO E MARCOS EM BARRASDE 1.1/4"X3/8",TENDO AO CENTRO UMA FAIXA DE CHAPA DE FERROGALVANIZADO Nº16,DE 20CM DE ALTURA,COM FECHO PARA COLOCACAODE CADEADO,EXCLUSIVE ESTE.FORNECIMENTO E COLOCACAO</t>
  </si>
  <si>
    <t>11242</t>
  </si>
  <si>
    <t>BARRA CHATA DE ACO, DE 3/8"X1.1/4"</t>
  </si>
  <si>
    <t>SUB-TOTAL 4.0</t>
  </si>
  <si>
    <t>MOBILIÁRIO E ACESSÓRIOS</t>
  </si>
  <si>
    <t>5.1</t>
  </si>
  <si>
    <t>18.082.0020-A</t>
  </si>
  <si>
    <t>BANCA SECA DE GRANITO CINZA ANDORINHA,COM 2CM DE ESPESSURA E60CM DE LARGURA,SOBRE APOIOS DE ALVENARIA DE MEIA VEZ E VERGA DE CONCRETO,SEM REVESTIMENTO.FORNECIMENTO E COLOCACAO</t>
  </si>
  <si>
    <t>13357</t>
  </si>
  <si>
    <t>BANCA SECA DE GRANITO CINZA ANDORINHA, COM 2CM DE ESPESSURA E 60CM DE LARGURA</t>
  </si>
  <si>
    <t>30344</t>
  </si>
  <si>
    <t>12.003.0075-B ALVENARIA TIJ. FURADO 10X20X20CM</t>
  </si>
  <si>
    <t>30312</t>
  </si>
  <si>
    <t>11.013.0003-B VERGAS CONCR. ARMADO P/ ALVEN.</t>
  </si>
  <si>
    <t>5.2</t>
  </si>
  <si>
    <t>18.082.0020-6</t>
  </si>
  <si>
    <t>5.3</t>
  </si>
  <si>
    <t>12.035.0001-A</t>
  </si>
  <si>
    <t>PAREDE DIVISORIA PARA SANITARIO EM GRANITO CINZA ANDORINHA,COM 2CM DE ESPESSURA,POLIDA NAS DUAS FACES,FIXACAO PISO OU PAREDE,EXCLUSIVE FERRAGENS PARA FIXACAO.FORNECIMENTO E COLOCACAO</t>
  </si>
  <si>
    <t>10790</t>
  </si>
  <si>
    <t>PLACA DE GRANITO CINZA ANDORINHA, PARA DIVISORIA, 2CM DE ESPESSURA</t>
  </si>
  <si>
    <t>5.4</t>
  </si>
  <si>
    <t>14.007.0200-A</t>
  </si>
  <si>
    <t>FERRAGENS PARA DIVISORIAS DE MARMORE OU MARMORITE,DE SANITARIOS,CONSTANDO DE FORNECIMENTO SEM COLOCACAO(ESTA INCLUIDA NOFORNECIMENTO E COLOCACAO DA DIVISORIA),DE:-4 CANTONEIRAS DEALUMINIO PARA FIXACAO DA PLACA;-12 PARAFUSOS DE ALUMINIO DE3/4"X5/16" COM ROSCA</t>
  </si>
  <si>
    <t>00895</t>
  </si>
  <si>
    <t>PARAFUSO EM LATAO, ACABAMENTO CROMADO, DE 30MM, PARA DIVISORIAS DE MARMORE</t>
  </si>
  <si>
    <t>00893</t>
  </si>
  <si>
    <t>CANTONEIRA DE ALUMINIO, PARA FIXACAO DEPLACAS</t>
  </si>
  <si>
    <t>5.5</t>
  </si>
  <si>
    <t>SUPORTE PARA CALHA DE 150 MM EM FERRO GALVANIZADO</t>
  </si>
  <si>
    <t>BUCHA DE NYLON SEM ABA S10, COM PARAFUSO DE 6,10 X 65 MM EM ACO ZINCADO COM ROSCA SOBERBA, CABECA CHATA E FENDA PHILLIPS</t>
  </si>
  <si>
    <t>SERRALHEIRO COM ENCARGOS COMPLEMENTARES</t>
  </si>
  <si>
    <t>AUXILIAR DE SERRALHEIRO COM ENCARGOS COMPLEMENTARES</t>
  </si>
  <si>
    <t>5.6</t>
  </si>
  <si>
    <t>14.002.0232-A</t>
  </si>
  <si>
    <t>QUADRO DE PROTECAO DE VAO EM CANTONEIRA DE ACO COM ABAS IGUAIS DE 5/8"X1/8",TELA DE ACO,FIO 12,MALHA DE 2,5X2,5M E TELATIPO MOSQUITEIRO EM POLIETILENO.FORNECIMENTO E COLOCACAO</t>
  </si>
  <si>
    <t>00406</t>
  </si>
  <si>
    <t>TELA DE ARAME GALVANIZADO FIO Nº 12, MALHA QUADRADA, DE (2,5X2,5)CM</t>
  </si>
  <si>
    <t>5.7</t>
  </si>
  <si>
    <t>14.010.0015-A</t>
  </si>
  <si>
    <t>MASTRO METALICO EM TUBO DE FERRO GALVANIZADO DE 3" COM ALTURA DE 5,50M,EQUIPADO COM ROLDANA COM FIXACAO EM PRISMA DE CONCRETO DE 30X30X50CM.FORNECIMENTO E COLOCACAO</t>
  </si>
  <si>
    <t>00197</t>
  </si>
  <si>
    <t>TUBO DE ACO GALVANIZADO, COM COSTURA, PESADO, NBR 5580, DN=3"</t>
  </si>
  <si>
    <t>30246</t>
  </si>
  <si>
    <t>11.001.0005-B CONCRETO FCK 15MPA</t>
  </si>
  <si>
    <t>14.010.0010-A</t>
  </si>
  <si>
    <t>MASTRO METALICO EM TUBO DE FERRO GALVANIZADO DE 3" COM ALTURA DE 6,00M,EQUIPADO COM ROLDANA COM FIXACAO EM PRISMA DE CONCRETO DE 30X30X50CM.FORNECIMENTO E COLOCACAO</t>
  </si>
  <si>
    <t>5.8</t>
  </si>
  <si>
    <t>5.9</t>
  </si>
  <si>
    <t>14.008.0090-A</t>
  </si>
  <si>
    <t>QUADRO DE AULA,MEDINDO 5,00X1,20M, EM COMPENSADO DE 10MM DEESPESSURA,REVESTIMENTO COM CHAPA LAMINADA (COMPOSTA DE CELULOSE COM RESINA PRENSADA EM AUTOCLAVE),"VERDE SUPER QUADRO ESCOLAR",COM MOLDURA DE MADEIRA ENVERNIZADA DE 10X2,5CM. FORNECIMENTO E COLOCACAO</t>
  </si>
  <si>
    <t>05908</t>
  </si>
  <si>
    <t>PARAFUSO FERRO, ROSCA SOBERBA, CABECA CHATA, DE (4,8X40)MM</t>
  </si>
  <si>
    <t>05881</t>
  </si>
  <si>
    <t>BUCHA DE NYLON, TIPO S-06</t>
  </si>
  <si>
    <t>02552</t>
  </si>
  <si>
    <t>CHAPA DE MADEIRA COMPENSADA DE PINUS, VIROLA OU EQUIVALENTE, DE 2,20 X 1,6M, COMESPESSURA DE 10MM</t>
  </si>
  <si>
    <t>00597</t>
  </si>
  <si>
    <t>VERNIZ COPAL BRILHANTE PARA INTERIOR</t>
  </si>
  <si>
    <t>GL</t>
  </si>
  <si>
    <t>00418</t>
  </si>
  <si>
    <t>CEDRO EM TABUAS, PRANCHETAS E PRANCHOES,PARA ESQUADRIAS</t>
  </si>
  <si>
    <t>00225</t>
  </si>
  <si>
    <t>ADESIVO DE CONTATO A BASE DE SOLVENTES,RESINAS E BORRACHAS SINTETICAS E ADITIVOS, EMBALAGEM DE 3,2L/2,8KG</t>
  </si>
  <si>
    <t>00080</t>
  </si>
  <si>
    <t>CHAPA LAMINADA (COMP.DE CELULOSE C/RESINA PRENSADA EM AUTO-CLAVE), "VERDE SUPERQUADRO ESCOLAR", (1,25X3,08)M C/ESP.1MM</t>
  </si>
  <si>
    <t>14.008.0090-6</t>
  </si>
  <si>
    <t>5.10</t>
  </si>
  <si>
    <t>14.008.0093-A</t>
  </si>
  <si>
    <t>QUADRO DE AULA,MEDINDO 2,00X1,20M, EM COMPENSADO DE 10MM DEESPESSURA, REVESTIMENTO COM CHAPA DE LAMINADO MELAMINICO NACOR BRANCA BRILHANTE, COM MOLDURA DE MADEIRA ENVERNIZADA DE10X2,5CM.FORNECIMENTO E COLOCACAO</t>
  </si>
  <si>
    <t>00279</t>
  </si>
  <si>
    <t>CHAPA LAMINADA C/ACABAMENTO BRILHANTE, DE (1,25X3,08)M, C/ESPES. DE 0,8MM</t>
  </si>
  <si>
    <t>5.11</t>
  </si>
  <si>
    <t>14.008.0093-6</t>
  </si>
  <si>
    <t>5.12</t>
  </si>
  <si>
    <t>14.006.0399-A</t>
  </si>
  <si>
    <t>PROTECAO TIPO BATE-CADEIRA DE MADEIRA DE LEI,15X2CM,APARELHADA EM UMA FACE E NOS TOPOS,EXCLUSIVE PINTURA.FORNECIMENTO ECOLOCACAO</t>
  </si>
  <si>
    <t>05022</t>
  </si>
  <si>
    <t>MACARANDUBA EM BARRA, APARELHADA, DE (0,3X0,04)M</t>
  </si>
  <si>
    <t>5.13</t>
  </si>
  <si>
    <t>5.14</t>
  </si>
  <si>
    <t>BARRA DE APOIO RETA, EM ACO INOX POLIDO, COMPRIMENTO 70 CM,  FIXADA NA PAREDE - FORNECIMENTO E INSTALAÇÃO. AF_01/2020</t>
  </si>
  <si>
    <t>BARRA DE APOIO RETA, EM ACO INOX POLIDO, COMPRIMENTO 70CM, DIAMETRO MINIMO 3 CM</t>
  </si>
  <si>
    <t>PARAFUSO NIQUELADO 3 1/2" COM ACABAMENTO CROMADO PARA FIXAR PECA SANITARIA, INCLUI PORCA CEGA, ARRUELA E BUCHA DE NYLON TAMANHO S-8</t>
  </si>
  <si>
    <t>SI00000100867</t>
  </si>
  <si>
    <t>0036205</t>
  </si>
  <si>
    <t>0004351</t>
  </si>
  <si>
    <t>5.15</t>
  </si>
  <si>
    <t>5.16</t>
  </si>
  <si>
    <t>5.17</t>
  </si>
  <si>
    <t>SI00000100868</t>
  </si>
  <si>
    <t>BARRA DE APOIO RETA, EM ACO INOX POLIDO, COMPRIMENTO 80 CM,  FIXADA NA PAREDE - FORNECIMENTO E INSTALAÇÃO. AF_01/2020</t>
  </si>
  <si>
    <t>0036081</t>
  </si>
  <si>
    <t>BARRA DE APOIO RETA, EM ACO INOX POLIDO, COMPRIMENTO 80CM, DIAMETRO MINIMO 3 CM</t>
  </si>
  <si>
    <t>18.016.0125-A</t>
  </si>
  <si>
    <t>BARRA DE APOIO(PUXADOR HORIZONTAL/VERTICAL)EM ACO INOXIDAVELAISI 304,TUBO DE 1 1/4",INCLUSIVE FIXACAO COM PARAFUSOS INOXIDAVEIS E BUCHAS PLASTICAS,COM 40CM,PARA PORTAS DE SANITARIOS,VESTIARIOS E QUARTOS ACESSIVEIS EM LOCAIS DE HOSPEDAGEM EDE SAUDE.FORNECIMENTO E INSTALACAO</t>
  </si>
  <si>
    <t>14523</t>
  </si>
  <si>
    <t>BARRA DE APOIO, EM ACO INOXIDAVEL AISI 304, TUBO 1.1/4", INCL. PARAFUSOS INOXIDAVEIS E BUCHAS PLASTICAS COM 40CM</t>
  </si>
  <si>
    <t>01342</t>
  </si>
  <si>
    <t>ESPELHO DE CRISTAL, DE 4MM</t>
  </si>
  <si>
    <t>14.003.0163-A</t>
  </si>
  <si>
    <t>CAIXILHO FIXO DE ALUMINIO ANODIZADO AO NATURAL,SERIE 28,PARAVIDRO.FORNECIMENTO E COLOCACAO</t>
  </si>
  <si>
    <t>5.18</t>
  </si>
  <si>
    <t>18.006.0054-A</t>
  </si>
  <si>
    <t>CABIDE SIMPLES,DE SOBREPOR,EM METAL CROMADO.FORNECIMENTO E COLOCACAO</t>
  </si>
  <si>
    <t>07892</t>
  </si>
  <si>
    <t>CABIDE SIMPLES, DE SOBREPOR, EM METAL CROMADO</t>
  </si>
  <si>
    <t>5.19</t>
  </si>
  <si>
    <t>18.006.0050-A</t>
  </si>
  <si>
    <t>PAPELEIRA,SEM PROTETOR,DE SOBREPOR,EM METAL CROMADO.FORNECIMENTO E COLOCACAO</t>
  </si>
  <si>
    <t>07895</t>
  </si>
  <si>
    <t>PAPELEIRA, SEM PROTETOR, DE SOBREPOR, EMMETAL CROMADO</t>
  </si>
  <si>
    <t>SUB-TOTAL 5.0</t>
  </si>
  <si>
    <t>INSTALAÇÕES HIDROSSANITÁRIAS</t>
  </si>
  <si>
    <t>6.1</t>
  </si>
  <si>
    <t>18.082.0051-A</t>
  </si>
  <si>
    <t>BANCA DE GRANITO CINZA ANDORINHA,COM 2CM DE ESPESSURA,COM ABERTURA PARA 2 CUBAS (EXCLUSIVE ESTAS),SOBRE APOIOS DE ALVENARIA DE MEIA VEZ E VERGA DE CONCRETO,SEM REVESTIMENTO.FORNECIMENTO E COLOCACAO</t>
  </si>
  <si>
    <t>14809</t>
  </si>
  <si>
    <t>BANCA DE GRANITO CINZA ANDORINHA,DE(1,80X0,60)M,COM 2CM DE ESPESSURA E 2 ABERTURAS PARA CUBAS(EXCLUSIVE CUBAS)</t>
  </si>
  <si>
    <t>6.2</t>
  </si>
  <si>
    <t>6.3</t>
  </si>
  <si>
    <t>18.082.0105-A</t>
  </si>
  <si>
    <t>FRONTISPICIO DE GRANITO CINZA ANDORINHA,COM SECAO DE 10X2CM,INCLUSIVE REJUNTAMENTO.FORNECIMENTO E COLOCACAO</t>
  </si>
  <si>
    <t>13366</t>
  </si>
  <si>
    <t>FRONSTISPICIO DE GRANITO CINZA ANDORINHA, COM SECAO DE 10 X 2CM</t>
  </si>
  <si>
    <t>6.4</t>
  </si>
  <si>
    <t>18.082.0100-A</t>
  </si>
  <si>
    <t>FRONTISPICIO DE GRANITO CINZA ANDORINHA,COM SECAO DE 5X2CM,INCLUSIVE REJUNTAMENTO.FORNECIMENTO E COLOCACAO</t>
  </si>
  <si>
    <t>13365</t>
  </si>
  <si>
    <t>FRONTISPICIO DE GRANITO CINZA ANDORINHA,COM SECAO DE 5X2CM</t>
  </si>
  <si>
    <t>6.5</t>
  </si>
  <si>
    <t>18.082.0050-A</t>
  </si>
  <si>
    <t>BANCA DE GRANITO CINZA ANDORINHA,COM 2CM DE ESPESSURA,COM ABERTURA PARA 1 CUBA (EXCLUSIVE ESTA),SOBRE APOIOS DE ALVENARIA DE MEIA VEZ E VERGA DE CONCRETO,SEM REVESTIMENTO.FORNECIMENTO E COLOCACAO</t>
  </si>
  <si>
    <t>14808</t>
  </si>
  <si>
    <t>BANCA DE GRANITO CINZA ANDORINHA,DE(1,20X0,60)M,COM 2CM DE ESPESSURA E 1 ABERTURA PARA CUBA(EXCLUSIVE CUBA)</t>
  </si>
  <si>
    <t>6.6</t>
  </si>
  <si>
    <t>18.082.0052-A</t>
  </si>
  <si>
    <t>BANCA DE GRANITO CINZA ANDORINHA,COM 2CM DE ESPESSURA,COM ABERTURA PARA 3 CUBAS (EXCLUSIVE ESTAS),SOBRE APOIOS DE ALVENARIA DE MEIA VEZ E VERGA DE CONCRETO,SEM REVESTIMENTO.FORNECIMENTO E COLOCACAO</t>
  </si>
  <si>
    <t>14810</t>
  </si>
  <si>
    <t>BANCA DE GRANITO CINZA ANDORINHA,DE(2,70X0,60)M,COM 2CM DE ESPESSURA E 3 ABERTURAS PARA CUBAS(EXCLUSIVE CUBAS)</t>
  </si>
  <si>
    <t>6.7</t>
  </si>
  <si>
    <t>18.016.0040-A</t>
  </si>
  <si>
    <t>CUBA DE ACO INOXIDAVEL,MEDINDO APROXIMADAMENTE (500X400X200)MM,EM CHAPA 20.304,VALVULA DE ESCOAMENTO TIPO AMERICANA 1623,SIFAO 1680 1.1/2" X 1.1/2",EXCLUSIVE TORNEIRA.FORNECIMENTOE COLOCACAO</t>
  </si>
  <si>
    <t>02593</t>
  </si>
  <si>
    <t>VALVULA DE ESCOAMENTO, P/PIA DE COZINHA,1623, EM METAL CROMADO, DE 1.1/2"X3.3/4"</t>
  </si>
  <si>
    <t>02592</t>
  </si>
  <si>
    <t>CUBA DE ACO INOXIDAVEL, CHAPA 20/304, SIMPLES, MEDINDO APROXIMADAMENTE (500X400X200)MM, CHAPA 20/304</t>
  </si>
  <si>
    <t>02356</t>
  </si>
  <si>
    <t>SIFAO EM METAL CROMADO, DE 1.1/2"X1.1/2"</t>
  </si>
  <si>
    <t>6.8</t>
  </si>
  <si>
    <t>SI00000086881</t>
  </si>
  <si>
    <t>SI00000086938</t>
  </si>
  <si>
    <t>CUBA DE EMBUTIR OVAL EM LOUÇA BRANCA, 35 X 50CM OU EQUIVALENTE, INCLUSO VÁLVULA E SIFÃO TIPO GARRAFA EM METAL CROMADO - FORNECIMENTO E INSTALAÇÃO. AF_01/2020</t>
  </si>
  <si>
    <t>SI00000086901</t>
  </si>
  <si>
    <t>SI00000086877</t>
  </si>
  <si>
    <t>6.9</t>
  </si>
  <si>
    <t>6.10</t>
  </si>
  <si>
    <t>6.11</t>
  </si>
  <si>
    <t>03902</t>
  </si>
  <si>
    <t>TORNEIRA PARA LAVATORIO TIPO BANCA, 1193OU SIMILAR DE 1/2"</t>
  </si>
  <si>
    <t>03901</t>
  </si>
  <si>
    <t>SIFAO EM METAL CROMADO, DE  1"X1.1/4"</t>
  </si>
  <si>
    <t>02355</t>
  </si>
  <si>
    <t>VALVULA DE ESCOAMENTO, P/LAVATORIO, 1603, EM METAL CROMADO, DE 1"</t>
  </si>
  <si>
    <t>6.12</t>
  </si>
  <si>
    <t>6.13</t>
  </si>
  <si>
    <t>18.002.0014-A</t>
  </si>
  <si>
    <t>LAVATORIO DE LOUCA BRANCA,COM COLUNA SUSPENSA,PARA PESSOAS COM NECESSIDADES ESPECIFICAS,COM MEDIDAS EM TORNO DE (45,5X35,5)CM,INCLUSIVE SIFAO EM PVC FLEXIVEL,VALVULA DE ESCOAMENTOCROMADA,RABICHO EM PVC,TORNEIRA DE FECHAMENTO AUTOMATICO DEPAREDE,ANTIVANDALISMO DE 85MM,PARA LAVATORIO E ACESSORIOS DEFIXACAO.FORNECIMENTO</t>
  </si>
  <si>
    <t>14789</t>
  </si>
  <si>
    <t>KIT DE ACESSORIOS PARA FIXACAO, COMPREENDENDO PARAFUSOS, BUCHAS E ARRUELAS</t>
  </si>
  <si>
    <t>14009</t>
  </si>
  <si>
    <t>TORNEIRA P/LAVATORIO,DE PAREDE,ACIONAMENTO HIDROMECANICO MANUAL E FECHAMENTO AUTOMATICO,ANTIVANDALISMO,DE 85MM,CROMADA</t>
  </si>
  <si>
    <t>13101</t>
  </si>
  <si>
    <t>LAVATORIO DE LOUCA BRANCA, COM COLUNA SUSPENSA, MEDINDO EM TORNO DE 45,5X35,5CM,P/PESSOAS C/NECESSIDADES ESPECIFICAS</t>
  </si>
  <si>
    <t>07006</t>
  </si>
  <si>
    <t>SIFAO FLEXIVEL EM PVC, DE 1"X40MM, PARAPIA OU LAVATORIO</t>
  </si>
  <si>
    <t>02984</t>
  </si>
  <si>
    <t>RABICHO PLASTICO COM SAIDA DE 1/2" E COMCOMPRIMENTO DE 30CM</t>
  </si>
  <si>
    <t>18.002.0012-A</t>
  </si>
  <si>
    <t>LAVATORIO DE LOUCA BRANCA,TIPO MEDIO LUXO,COM LADRAO,COM MEDIDAS EM TORNO DE (47X35)CM,INCLUSIVE ACESSORIOS DE FIXACAO.FERRAGENS EM METAL CROMADO:SIFAO 1680 DE 1"X1.1/4",TORNEIRA PARA LAVATORIO TIPO BANCA 1193 OU SIMILAR DE 1/2" E VALVULA DE ESCOAMENTO 1603.RABICHO EM PVC.FORNECIMENTO</t>
  </si>
  <si>
    <t>03911</t>
  </si>
  <si>
    <t>LAVATORIO DE LOUCA BRANCA, TIPO MEDIO LUXO, MEDINDO EM TORNO DE (47X35)CM</t>
  </si>
  <si>
    <t>6.14</t>
  </si>
  <si>
    <t>6.15</t>
  </si>
  <si>
    <t>05953</t>
  </si>
  <si>
    <t>BOLSA DE LIGACAO PARA VASO SANITARIO</t>
  </si>
  <si>
    <t>SI00000095472</t>
  </si>
  <si>
    <t>VASO SANITARIO SIFONADO CONVENCIONAL PARA PCD SEM FURO FRONTAL COM LOUÇA BRANCA SEM ASSENTO, INCLUSO CONJUNTO DE LIGAÇÃO PARA BACIA SANITÁRIA AJUSTÁVEL - FORNECIMENTO E INSTALAÇÃO. AF_01/2020</t>
  </si>
  <si>
    <t>0006142</t>
  </si>
  <si>
    <t>CONJUNTO DE LIGACAO PARA BACIA SANITARIA AJUSTAVEL, EM PLASTICO BRANCO, COM TUBO, CANOPLA E ESPUDE</t>
  </si>
  <si>
    <t>SI00000095471</t>
  </si>
  <si>
    <t>6.16</t>
  </si>
  <si>
    <t>18.002.0070-A</t>
  </si>
  <si>
    <t>VASO SANITARIO DE LOUCA BRANCA,TIPO MEDIO LUXO,COM CAIXA ACOPLADA,INCLUSIVE RABICHO CROMADO DE 40CM,COM SAIDA DE 1/2",BOLSA DE LIGACAO E ACESSORIOS DE FIXACAO.FORNECIMENTO</t>
  </si>
  <si>
    <t>13103</t>
  </si>
  <si>
    <t>VASO SANITARIO, DE LOUCA BRANCA, TIPO MEDIO LUXO, COM CAIXA ACOPLADA</t>
  </si>
  <si>
    <t>02978</t>
  </si>
  <si>
    <t>RABICHO CROMADO COM SAIDA DE 1/2" E COMCOMPRIMENTO DE 40CM</t>
  </si>
  <si>
    <t>6.17</t>
  </si>
  <si>
    <t>6.18</t>
  </si>
  <si>
    <t>6.19</t>
  </si>
  <si>
    <t>6.20</t>
  </si>
  <si>
    <t>6.21</t>
  </si>
  <si>
    <t>6.22</t>
  </si>
  <si>
    <t>18.002.0030-A</t>
  </si>
  <si>
    <t>TANQUE DE LOUCA BRANCA,C/COLUNA E MEDIDAS EM TORNO DE (56X48)CM,INCLUSIVE ACESSORIOS DE FIXACAO.FERRAGENS EM METAL CROMADO:TORNEIRA DE PRESSAO,1158 OU SIMILAR,DE 1/2",VALVULA DE ESCOAMENTO 1605 E SIFAO 1680 DE 1.1/4" A 1.1/2".FORNECIMENTO</t>
  </si>
  <si>
    <t>03949</t>
  </si>
  <si>
    <t>VALVULA DE ESCOAMENTO, P/TANQUE, 1605, EM METAL CROMADO, DE 1.1/4"</t>
  </si>
  <si>
    <t>03913</t>
  </si>
  <si>
    <t>COLUNA DE LOUCA BRANCA, PARA TANQUE</t>
  </si>
  <si>
    <t>03912</t>
  </si>
  <si>
    <t>TANQUE DE LOUCA BRANCA, 18 LITROS</t>
  </si>
  <si>
    <t>02567</t>
  </si>
  <si>
    <t>SIFAO EM METAL CROMADO, DE 1.1/4" X 1.1/2"</t>
  </si>
  <si>
    <t>02394</t>
  </si>
  <si>
    <t>TORNEIRA PARA PIA OU TANQUE 1158 OU SIMILAR, DE APROXIMADAMENTE 1/2"X18CM, EM METAL CROMADO</t>
  </si>
  <si>
    <t>18.007.0051-A</t>
  </si>
  <si>
    <t>DUCHINHA MANUAL,COM REGISTRO DE PRESSAO 1/2" CROMADO,RABICHOCROMADO,SUPORTE BRANCO,PISTOLA BRANCA,BUCHAS E PARAFUSOS PARA FIXACAO.FORNECIMENTO</t>
  </si>
  <si>
    <t>02988</t>
  </si>
  <si>
    <t>DUCHINHA MANUAL, COM MANGUEIRA CROMADA DE 1/2"</t>
  </si>
  <si>
    <t>15.004.0059-A</t>
  </si>
  <si>
    <t>INSTALACAO E ASSENTAMENTO DE DUCHINHA MANUAL PARA BANHEIRO(EXCLUSIVE FORNECIMENTO DO APARELHO),COMPREENDENDO:3,00M DE TUBO DE PVC DE 25MM E CONEXOES</t>
  </si>
  <si>
    <t>05780</t>
  </si>
  <si>
    <t>JOELHO 90º DE PVC SOLDAVEL COM BUCHA DELATAO, DE 25MMX1/2"</t>
  </si>
  <si>
    <t>05734</t>
  </si>
  <si>
    <t>JOELHO 90º DE PVC SOLDAVEL, DE 025MM</t>
  </si>
  <si>
    <t>05732</t>
  </si>
  <si>
    <t>TE 90º DE PVC RIGIDO SOLDAVEL, DE 025MM</t>
  </si>
  <si>
    <t>05103</t>
  </si>
  <si>
    <t>SOLVENTE (SOLUCAO LIMPADORA) P/CONEXOESDE PVC, EM FRASCOS PLASTICOS DE 1000CM3</t>
  </si>
  <si>
    <t>05031</t>
  </si>
  <si>
    <t>TUBO DE PVC RIGIDO SOLDAVEL, PONTA/BOLSAC/VIROLA, EM BARRAS DE 6,00M, DE 025MM</t>
  </si>
  <si>
    <t>02385</t>
  </si>
  <si>
    <t>LIXA D'AGUA Nº 100</t>
  </si>
  <si>
    <t>02339</t>
  </si>
  <si>
    <t>ADESIVO PLASTICO PARA PVC RIGIDO, EM BISNAGA DE 75G</t>
  </si>
  <si>
    <t>DUCHINHA MANUAL,COM REGISTRO DE PRESSAO 1/2" CROMADO,RABICHOCROMADO,SUPORTE BRANCO,PISTOLA BRANCA,BUCHAS E PARAFUSOS PARA FIXACAO.FORNECIMENTO e INSTALACAO COMPREENDENDO:3,00M DE TUBO DE PVC DE 25MM E CONEXOES</t>
  </si>
  <si>
    <t>18.007.0051-A + 15.004.0059-A</t>
  </si>
  <si>
    <t>18.009.0105-A</t>
  </si>
  <si>
    <t>TORNEIRA PARA LAVATORIO,DE MESA,ACIONAMENTO HIDROMECANICO COM LEVE PRESSAO MANUAL E FECHAMENTO AUTOMATICO,ACABAMENTO CROMADO.FORNECIMENTO</t>
  </si>
  <si>
    <t>13113</t>
  </si>
  <si>
    <t>TORNEIRA P/LAVATORIO,DE MESA,ACIONAMENTOHIDROMECANICO MANUAL E FECHAMENTO AUTOMATICO,CROMADA</t>
  </si>
  <si>
    <t>FITA VEDA ROSCA EM ROLOS DE 18 MM X 10 M (L X C)</t>
  </si>
  <si>
    <t>07333</t>
  </si>
  <si>
    <t>TORNEIRA HOSPITALAR, ACIONADA POR ALAVANCA, TIPO PAREDE, EM METAL CROMADO, DE APROX. 1/2"X28CM</t>
  </si>
  <si>
    <t>SI00000086910</t>
  </si>
  <si>
    <t>TORNEIRA CROMADA TUBO MÓVEL, DE PAREDE, 1/2 OU 3/4, PARA PIA DE COZINHA, PADRÃO MÉDIO - FORNECIMENTO E INSTALAÇÃO. AF_01/2020</t>
  </si>
  <si>
    <t>0011773</t>
  </si>
  <si>
    <t>TORNEIRA METALICA CROMADA DE PAREDE, PARA COZINHA, BICA MOVEL, COM AREJADOR, 1/2 " OU 3/4 " (REF 1167 / 1168)</t>
  </si>
  <si>
    <t>0003146</t>
  </si>
  <si>
    <t>SI00000086913</t>
  </si>
  <si>
    <t>TORNEIRA CROMADA 1/2 OU 3/4 PARA TANQUE, PADRÃO POPULAR - FORNECIMENTO E INSTALAÇÃO. AF_01/2020</t>
  </si>
  <si>
    <t>emop</t>
  </si>
  <si>
    <t>7.1</t>
  </si>
  <si>
    <t>SUB-TOTAL 6.0</t>
  </si>
  <si>
    <t>INSTALAÇÕES ELÉTRICAS</t>
  </si>
  <si>
    <t>7.2</t>
  </si>
  <si>
    <t>7.3</t>
  </si>
  <si>
    <t>7.4</t>
  </si>
  <si>
    <t>7.5</t>
  </si>
  <si>
    <t>7.6</t>
  </si>
  <si>
    <t>8.0</t>
  </si>
  <si>
    <t>COBERTURA</t>
  </si>
  <si>
    <t>SUB-TOTAL 7.0</t>
  </si>
  <si>
    <t>8.1</t>
  </si>
  <si>
    <t>16.005.0070-A</t>
  </si>
  <si>
    <t>COBERTURA EM TELHA TERMICA DE GALVALUME,TRAPEZOIDAL,DUPLA COM ESPESSURA DE 30MM,INCLUSIVE TODOS OS ACESSORIOS NECESSARIOS A SUA EXECUCAO.MEDIDA PELA AREA REAL DE COBERTURA.FORNECIMENTO E COLOCACAO</t>
  </si>
  <si>
    <t>11093</t>
  </si>
  <si>
    <t>TELHA TERMICA DE GALVALUME, TRAPEZOIDALDUPLA, ESPESSURA DE 30MM, LARGURA DE 1,265M</t>
  </si>
  <si>
    <t>11092</t>
  </si>
  <si>
    <t>RUFO DE GALVALUME, TRAPEZOIDAL, MEDIDASAPROXIMADAS DE (1265X2X300X0,7)MM</t>
  </si>
  <si>
    <t>11091</t>
  </si>
  <si>
    <t>PINO RETO DE FERRO GALVANIZADO, COM VEDACAO, DE 5/16"X300MM, PARA FIXACAO DE TELHA</t>
  </si>
  <si>
    <t>11090</t>
  </si>
  <si>
    <t>GOIVA TRAPEZOIDAL DE 5/16", PARA TELHA</t>
  </si>
  <si>
    <t>11089</t>
  </si>
  <si>
    <t>CONJUNTO DE VEDACAO ELASTICA, PARA TELHATRAPEZOIDAL DE 5/16"</t>
  </si>
  <si>
    <t>11087</t>
  </si>
  <si>
    <t>CONTRA RUFO DE GALVALUME, TRAPEZOIDAL, 2ABAS DE 0,30M, COM LARGURA DE 1,00M, EMCHAPA COM ESPESSURA APROXIMADA DE 0,7MM</t>
  </si>
  <si>
    <t>11069</t>
  </si>
  <si>
    <t>CUMEEIRA DE GALVALUME, TRAPEZOIDAL, ACABAMENTO EM VERNIZ EM AMBAS AS FACES, MEDIDAS APROXIMADAS DE (1265X2X300X0,5)MM</t>
  </si>
  <si>
    <t>20102</t>
  </si>
  <si>
    <t>MAO-DE-OBRA DE MONTADOR A (MONTAGEM DE ESTRUTURAS METALICAS), INCLUSIVE ENCARGOSSOCIAIS DESONERADOS</t>
  </si>
  <si>
    <t>20004</t>
  </si>
  <si>
    <t>MAO-DE-OBRA DE AJUDANTE DA CONSTRUCAO CIVIL, INCLUSIVE ENCARGOS SOCIAIS DESONERADOS</t>
  </si>
  <si>
    <t>8.2</t>
  </si>
  <si>
    <t>0011964</t>
  </si>
  <si>
    <t>PARAFUSO DE ACO TIPO CHUMBADOR PARABOLT, DIAMETRO 3/8", COMPRIMENTO 75 MM</t>
  </si>
  <si>
    <t>SI00000088278</t>
  </si>
  <si>
    <t>MONTADOR DE ESTRUTURA METÁLICA COM ENCARGOS COMPLEMENTARES</t>
  </si>
  <si>
    <t>SI00000093288</t>
  </si>
  <si>
    <t>SI00000093287</t>
  </si>
  <si>
    <t>8.3</t>
  </si>
  <si>
    <t>0013388</t>
  </si>
  <si>
    <t>SOLDA EM BARRA DE ESTANHO-CHUMBO 50/50</t>
  </si>
  <si>
    <t>0005104</t>
  </si>
  <si>
    <t>REBITE DE ALUMINIO VAZADO DE REPUXO, 3,2 X 8 MM (1KG = 1025 UNIDADES)</t>
  </si>
  <si>
    <t>0005061</t>
  </si>
  <si>
    <t>PREGO DE ACO POLIDO COM CABECA 18 X 27 (2 1/2 X 10)</t>
  </si>
  <si>
    <t>0000142</t>
  </si>
  <si>
    <t>SELANTE ELASTICO MONOCOMPONENTE A BASE DE POLIURETANO (PU) PARA JUNTAS DIVERSAS</t>
  </si>
  <si>
    <t>310ML</t>
  </si>
  <si>
    <t>SI00000088323</t>
  </si>
  <si>
    <t>TELHADISTA COM ENCARGOS COMPLEMENTARES</t>
  </si>
  <si>
    <t>SI00000093282</t>
  </si>
  <si>
    <t>SI00000093282 GUINCHO ELÉTRICO DE COLUNA, CAPACIDADE 400 KG, COM MOTO FREIO, MOTOR TRIFÁSICO DE 1,25 CV - CHI DIURNO. AF_03/2016</t>
  </si>
  <si>
    <t>SI00000093281</t>
  </si>
  <si>
    <t>SI00000093281 GUINCHO ELÉTRICO DE COLUNA, CAPACIDADE 400 KG, COM MOTO FREIO, MOTOR TRIFÁSICO DE 1,25 CV - CHP DIURNO. AF_03/2016</t>
  </si>
  <si>
    <t>16.007.0030-A</t>
  </si>
  <si>
    <t>CALHA EM CHAPA DE ACO GALVANIZADO N°24 COM 75CM DE DESENVOLVIMENTO.FORNECIMENTO E COLOCACAO</t>
  </si>
  <si>
    <t>13603</t>
  </si>
  <si>
    <t>REBITE POP, DE (1/8"X3/8"), REF.440, REFAL OU SIMILAR</t>
  </si>
  <si>
    <t>05904</t>
  </si>
  <si>
    <t>PARAFUSO FERRO, ROSCA SOBERBA, CABECA CHATA, DE (3,2X20)MM</t>
  </si>
  <si>
    <t>05448</t>
  </si>
  <si>
    <t>SUPORTE ZINCADO DOBRADO, P/CALHA DE BEIRAL, SEMI-CIRCULAR DE PVC, DE DN=125MM</t>
  </si>
  <si>
    <t>00243</t>
  </si>
  <si>
    <t>ESTANHO EM BARRA</t>
  </si>
  <si>
    <t>00160</t>
  </si>
  <si>
    <t>CHAPA DE ACO CARBONO, GALVANIZADA, PARAUSOS GERAIS, TAMANHO PADRAO, PRECO DE REVENDEDOR, COM ESPESSURA DE 0,5MM</t>
  </si>
  <si>
    <t>8.4</t>
  </si>
  <si>
    <t>16.007.0023-A</t>
  </si>
  <si>
    <t>CUMEEIRA EM CHAPA DE ACO GALVANIZADO,COM ESPESSURA DE 0,5MM,0,30M DE ABA PARA CADA LADO,PARA TELHAS TRAPEZOIDAIS.FORNECIMENTO E COLOCACAO</t>
  </si>
  <si>
    <t>8.5</t>
  </si>
  <si>
    <t>m</t>
  </si>
  <si>
    <t>8.6</t>
  </si>
  <si>
    <t>8.7</t>
  </si>
  <si>
    <t>RUFO EXTERNO/INTERNO EM CHAPA DE AÇO GALVANIZADO NÚMERO 26, CORTE DE 33 CM, INCLUSO IÇAMENTO. AF_07/2019</t>
  </si>
  <si>
    <t>RUFO EXTERNO/INTERNO DE CHAPA DE ACO GALVANIZADA NUM 26, CORTE 33 CM</t>
  </si>
  <si>
    <t>SI00000100327</t>
  </si>
  <si>
    <t>0001113</t>
  </si>
  <si>
    <t>15.004.0202-A</t>
  </si>
  <si>
    <t>TUBO DE QUEDA EM PVC DE 100MM,INCLUSIVE "T" SANITARIO.FORNECIMENTO E ASSENTAMENTO</t>
  </si>
  <si>
    <t>02831</t>
  </si>
  <si>
    <t>ANEL DE BORRACHA, PARA TUBO DE PVC-ESGOTO PRIMARIO, DE 100MM</t>
  </si>
  <si>
    <t>02667</t>
  </si>
  <si>
    <t>TE SANITARIO 90º DE PVC RIGIDO, DE (100X100)MM</t>
  </si>
  <si>
    <t>02617</t>
  </si>
  <si>
    <t>TUBO DE PVC RIGIDO, PONTA/BOLSA COM VIROLA, EM BARRAS DE 6,00M, DE 100MM</t>
  </si>
  <si>
    <t>30375</t>
  </si>
  <si>
    <t>15.003.0358-B SUPORTE 2 CHUMB. P/FIX. TUBUL. 4" E 6"</t>
  </si>
  <si>
    <t>15.004.0204-A</t>
  </si>
  <si>
    <t>TUBO DE QUEDA EM PVC DE 75MM,INCLUSIVE "T" SANITARIO.FORNECIMENTO E ASSENTAMENTO</t>
  </si>
  <si>
    <t>02830</t>
  </si>
  <si>
    <t>ANEL DE BORRACHA, PARA TUBO DE PVC-ESGOTO PRIMARIO, DE 075MM</t>
  </si>
  <si>
    <t>02664</t>
  </si>
  <si>
    <t>TE SANITARIO 90º DE PVC RIGIDO, DE (075X075)MM</t>
  </si>
  <si>
    <t>02616</t>
  </si>
  <si>
    <t>TUBO DE PVC RIGIDO, PONTA/BOLSA COM VIROLA, EM BARRAS DE 6,00M, DE 75MM</t>
  </si>
  <si>
    <t>30374</t>
  </si>
  <si>
    <t>15.003.0356-B SUPORTE 2 CHUMB. P/FIX.TUBUL. 2.1/2"E 3"</t>
  </si>
  <si>
    <t>9.0</t>
  </si>
  <si>
    <t>SUB-TOTAL 8.0</t>
  </si>
  <si>
    <t>9.1</t>
  </si>
  <si>
    <t>17.018.0113-A</t>
  </si>
  <si>
    <t>PINTURA COM TINTA LATEX SEMIBRILHANTE,FOSCA OU ACETINADA,CLASSIFICACAO PREMIUM OU STANDARD (NBR 15079),PARA INTERIOR E EXTERIOR,BRANCA OU COLORIDA,SOBRE TIJOLO,CONCRETO LISO,CIMENTO SEM AMIANTO,E REVESTIMENTO,INCLUSIVE LIXAMENTO,UMA DEMAO DE SELADOR ACRILICO,UMA DEMAO DE MASSA ACRILICA E DUAS DEMAOSDE ACABAMENTO</t>
  </si>
  <si>
    <t>14496</t>
  </si>
  <si>
    <t>LIXA PARA MASSA</t>
  </si>
  <si>
    <t>06028</t>
  </si>
  <si>
    <t>SELADOR PIGMENTADO A BASE DE RESINA ACRILICA MODIFICADA, NA COR BRANCA</t>
  </si>
  <si>
    <t>03876</t>
  </si>
  <si>
    <t>TINTA LATEX STANDARD PARA EXTERIOR/INTERIOR SEMIBRILHANTE BRANCA OU COLORIDA, EMBALDES DE 18 LITROS</t>
  </si>
  <si>
    <t>03874</t>
  </si>
  <si>
    <t>MASSA ACRILICA, EM BALDES DE 18 LITROS</t>
  </si>
  <si>
    <t>20118</t>
  </si>
  <si>
    <t>MAO-DE-OBRA DE PINTOR, INCLUSIVE ENCARGOS SOCIAIS DESONERADOS</t>
  </si>
  <si>
    <t>9.2</t>
  </si>
  <si>
    <r>
      <t xml:space="preserve">PINTURA COM TINTA LATEX SEMIBRILHANTE,FOSCA OU ACETINADA,CLASSIFICACAO PREMIUM OU STANDARD (NBR 15079),PARA INTERIOR E EXTERIOR,BRANCA OU COLORIDA,SOBRE TIJOLO,CONCRETO LISO,CIMENTO SEM AMIANTO,E REVESTIMENTO,INCLUSIVE LIXAMENTO,UMA DEMAO DE SELADOR ACRILICO,UMA DEMAO DE MASSA ACRILICA E DUAS DEMAOSDE ACABAMENTO </t>
    </r>
    <r>
      <rPr>
        <b/>
        <sz val="12"/>
        <rFont val="Arial"/>
        <family val="2"/>
      </rPr>
      <t>(TETOS)</t>
    </r>
  </si>
  <si>
    <t>9.3</t>
  </si>
  <si>
    <t>17.018.0080-A</t>
  </si>
  <si>
    <t>PINTURA COM TINTA LATEX,CLASSIFICACAO STANDARD,CONFORME ABNTNBR 15079,PARA EXTERIOR,INCLUSIVE LIXAMENTOS,LIMPEZA,UMA DEMAO DE SELADOR ACRILICO E DUAS DEMAOS DE ACABAMENTO</t>
  </si>
  <si>
    <t>07603</t>
  </si>
  <si>
    <t>TINTA LATEX STANDARD PARA EXTERIOR/INTERIOR, FOSCA BRANCA OU COLORIDA, EM BALDESDE 18 LITROS</t>
  </si>
  <si>
    <t>9.4</t>
  </si>
  <si>
    <t>17.017.0320-A</t>
  </si>
  <si>
    <t>PINTURA INTERNA OU EXTERNA SOBRE FERRO,COM ESMALTE SINTETICOBRILHANTE OU ACETINADO APOS LIXAMENTO,LIMPEZA,DESENGORDURAMENTO,UMA DEMAO DE FUNDO ANTICORROSIVO NA COR LARANJA DE SECAGEM RAPIDA E DUAS DEMAOS DE ACABAMENTO</t>
  </si>
  <si>
    <t>06021</t>
  </si>
  <si>
    <t>FUNDO ANTICORROSIVO DE SECAGEM RAPIDA LARANJA</t>
  </si>
  <si>
    <t>00124</t>
  </si>
  <si>
    <t>ESMALTE SINTETICO ALQUIDICO ALTO BRILHO,BRILHANTE, ACETINADO OU FOSCO</t>
  </si>
  <si>
    <t>17.017.0140-A</t>
  </si>
  <si>
    <t>PINTURA INTERNA OU EXTERNA SOBRE MADEIRA NOVA,COM ESMALTE SINTETICO ALQUIDICO,BRILHANTE OU ACETINADA EM DUAS DEMAOS SOBRE SUPERFICIE PREPARADA COM MATERIAL DA MESMA LINHA,CONFORMEO ITEM 17.017.0100,EXCLUSIVE ESTE PREPARO</t>
  </si>
  <si>
    <t>17.017.0100-A</t>
  </si>
  <si>
    <t>PREPARO DE MADEIRA NOVA,INCLUSIVE LIXAMENTO,LIMPEZA,UMA DEMAO DE VERNIZ ISOLANTE INCOLOR,DUAS DEMAOS DE MASSA PARA MADEIRA,LIXAMENTO E REMOCAO DE PO,E UMA DEMAO DE FUNDO SINTETICONIVELADOR</t>
  </si>
  <si>
    <t>03878</t>
  </si>
  <si>
    <t>VERNIZ ISOLANTE INCOLOR</t>
  </si>
  <si>
    <t>00413</t>
  </si>
  <si>
    <t>MASSA PARA MADEIRA</t>
  </si>
  <si>
    <t>00324</t>
  </si>
  <si>
    <t>LIXA P/MADEIRA Nº100</t>
  </si>
  <si>
    <t>00125</t>
  </si>
  <si>
    <t>TINTA FUNDO SINTETICO NIVELADOR, PARA MADEIRA, INTERIORES E EXTERIORES</t>
  </si>
  <si>
    <t>9.5</t>
  </si>
  <si>
    <t>9.6</t>
  </si>
  <si>
    <t>17.012.0040-A</t>
  </si>
  <si>
    <t>PINTURA INTERNA OU EXTERNA COM TINTA IMPERMEAVEL EM CORES PARA APLICACAO SOBRE CONCRETO,TIJOLOS,PEDRAS OU ARGAMASSA DE SUPERFICIE POROSA,EM DUAS DEMAOS,USANDO AGUA COMO DILUENTE</t>
  </si>
  <si>
    <t>07324</t>
  </si>
  <si>
    <t>ADESIVO A BASE DE RESINA SINTETICA DE ALTA ADERENCIA, EMBALAGEM DE 18L</t>
  </si>
  <si>
    <t>L</t>
  </si>
  <si>
    <t>00156</t>
  </si>
  <si>
    <t>TINTA MINERAL IMPERMEAVEL</t>
  </si>
  <si>
    <t>SUB-TOTAL 9.0</t>
  </si>
  <si>
    <t>10.0</t>
  </si>
  <si>
    <t>PARTE EXTERNA</t>
  </si>
  <si>
    <t>10.1</t>
  </si>
  <si>
    <t>SI00000094964</t>
  </si>
  <si>
    <t>10.2</t>
  </si>
  <si>
    <t>10.3</t>
  </si>
  <si>
    <t>10.4</t>
  </si>
  <si>
    <t>SUB-TOTAL 10.0</t>
  </si>
  <si>
    <t>11.0</t>
  </si>
  <si>
    <t>TRANSPORTE E BOTA-FORA</t>
  </si>
  <si>
    <t>11.1</t>
  </si>
  <si>
    <t>11.2</t>
  </si>
  <si>
    <t>T</t>
  </si>
  <si>
    <t>30425</t>
  </si>
  <si>
    <t>19.004.0012-E CAMINHAO BASCUL. NO TOCO, 5M3 (CI)</t>
  </si>
  <si>
    <t>30423</t>
  </si>
  <si>
    <t>19.004.0012-C CAMINHAO BASCUL. NO TOCO, 5M3 (CP)</t>
  </si>
  <si>
    <t>30597</t>
  </si>
  <si>
    <t>19.005.0030-E PA CARREGADEIRA,MOTOR DIESEL 100CV,CAPACIDADE RASA 1,3M3 (CI)</t>
  </si>
  <si>
    <t>30595</t>
  </si>
  <si>
    <t>19.005.0030-C PA CARREGADEIRA,MOTOR DIESEL 100CV,CAPACIDADE RASA 1,3M3 (CP)</t>
  </si>
  <si>
    <t>04.011.0051-B</t>
  </si>
  <si>
    <t>CARGA E DESCARGA MECANICA,COM PA-CARREGADEIRA,COM 1,30M3 DECAPACIDADE,UTILIZANDO CAMINHAO BASCULANTE A OLEO DIESEL,COMCAPACIDADE UTIL DE 8T,CONSIDERADOS PARA O CAMINHAO OS TEMPOSDE ESPERA,MANOBRA,CARGA E DESCARGA E PARA A CARREGADEIRA OSTEMPOS DE ESPERA E OPERACAO PARA CARGAS DE 50T POR DIA DE 8H</t>
  </si>
  <si>
    <t>04.005.0123-B</t>
  </si>
  <si>
    <t>TRANSPORTE DE CARGA DE QUALQUER NATUREZA,EXCLUSIVE AS DESPESAS DE CARGA E DESCARGA,TANTO DE ESPERA DO CAMINHAO COMO DO SERVENTE OU EQUIPAMENTO AUXILIAR,A VELOCIDADE MEDIA DE 30KM/H,EM CAMINHAO BASCULANTE A OLEO DIESEL,COM CAPACIDADE UTIL DE8T</t>
  </si>
  <si>
    <t>T X KM</t>
  </si>
  <si>
    <t>11.3</t>
  </si>
  <si>
    <t>11.4</t>
  </si>
  <si>
    <t>TAXA DE DESCARGA NO CTR</t>
  </si>
  <si>
    <t>04.006.0014-B</t>
  </si>
  <si>
    <t>CARGA E DESCARGA MANUAL DE MATERIAL QUE EXIJA O CONCURSO DEMAIS DE UM SERVENTE PARA CADA PECA:VERGALHOES,VIGAS DE MADEIRA,CAIXAS E MEIOS-FIOS,EM CAMINHAO DE CARROCERIA FIXA A OLEODIESEL,COM CAPACIDADE UTIL DE 7,5T,INCLUSIVE O TEMPO DE CARGA,DESCARGA E MANOBRA</t>
  </si>
  <si>
    <t>30416</t>
  </si>
  <si>
    <t>19.004.0004-E CAMINHAO CARROC. FIXA 7,5T (CI)</t>
  </si>
  <si>
    <t>30414</t>
  </si>
  <si>
    <t>19.004.0004-C CAMINHAO CARROC. FIXA, 7,5T (CP)</t>
  </si>
  <si>
    <t>11.5</t>
  </si>
  <si>
    <t>04.005.0005-A</t>
  </si>
  <si>
    <t>TRANSPORTE DE CARGA DE QUALQUER NATUREZA,EXCLUSIVE AS DESPESAS DE CARGA E DESCARGA,TANTO DE ESPERA DO CAMINHAO COMO DO SERVENTE OU EQUIPAMENTO AUXILIAR,A VELOCIDADE MEDIA DE 35KM/H,EM CAMINHAO DE CARROCERIA FIXA A OLEO DIESEL,COM CAPACIDADEUTIL DE 7,5T</t>
  </si>
  <si>
    <t>SUB-TOTAL 11.0</t>
  </si>
  <si>
    <t>TOTAL GERAL=</t>
  </si>
  <si>
    <t>t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</si>
  <si>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</si>
  <si>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</si>
  <si>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</si>
  <si>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</si>
  <si>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</si>
  <si>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</si>
  <si>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</si>
  <si>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</si>
  <si>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</si>
  <si>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</si>
  <si>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</si>
  <si>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</si>
  <si>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</si>
  <si>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</si>
  <si>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</si>
  <si>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</si>
  <si>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</si>
  <si>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</si>
  <si>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SI00000092023</t>
  </si>
  <si>
    <t>INTERRUPTOR SIMPLES (1 MÓDULO) COM 1 TOMADA DE EMBUTIR 2P+T 10 A,  INCLUINDO SUPORTE E PLACA - FORNECIMENTO E INSTALAÇÃO. AF_12/2015</t>
  </si>
  <si>
    <t>SI00000092022</t>
  </si>
  <si>
    <t>SI00000091946</t>
  </si>
  <si>
    <t>SI00000091953</t>
  </si>
  <si>
    <t>INTERRUPTOR SIMPLES (1 MÓDULO), 10A/250V, INCLUINDO SUPORTE E PLACA - FORNECIMENTO E INSTALAÇÃO. AF_12/2015</t>
  </si>
  <si>
    <t>SI00000091952</t>
  </si>
  <si>
    <t>SI00000091959</t>
  </si>
  <si>
    <t>INTERRUPTOR SIMPLES (2 MÓDULOS), 10A/250V, INCLUINDO SUPORTE E PLACA - FORNECIMENTO E INSTALAÇÃO. AF_12/2015</t>
  </si>
  <si>
    <t>SI00000091958</t>
  </si>
  <si>
    <t>SI00000091967</t>
  </si>
  <si>
    <t>INTERRUPTOR SIMPLES (3 MÓDULOS), 10A/250V, INCLUINDO SUPORTE E PLACA - FORNECIMENTO E INSTALAÇÃO. AF_12/2015</t>
  </si>
  <si>
    <t>SI00000091966</t>
  </si>
  <si>
    <t>SI00000091979</t>
  </si>
  <si>
    <t>INTERRUPTOR INTERMEDIÁRIO (1 MÓDULO), 10A/250V, INCLUINDO SUPORTE E PLACA - FORNECIMENTO E INSTALAÇÃO. AF_09/2017</t>
  </si>
  <si>
    <t>SI00000091978</t>
  </si>
  <si>
    <t>SI00000092000</t>
  </si>
  <si>
    <t>TOMADA BAIXA DE EMBUTIR (1 MÓDULO), 2P+T 10 A, INCLUINDO SUPORTE E PLACA - FORNECIMENTO E INSTALAÇÃO. AF_12/2015</t>
  </si>
  <si>
    <t>SI00000091998</t>
  </si>
  <si>
    <t>SI00000092001</t>
  </si>
  <si>
    <t>TOMADA BAIXA DE EMBUTIR (1 MÓDULO), 2P+T 20 A, INCLUINDO SUPORTE E PLACA - FORNECIMENTO E INSTALAÇÃO. AF_12/2015</t>
  </si>
  <si>
    <t>SI00000091999</t>
  </si>
  <si>
    <t>SI00000091993</t>
  </si>
  <si>
    <t>TOMADA ALTA DE EMBUTIR (1 MÓDULO), 2P+T 20 A, INCLUINDO SUPORTE E PLACA - FORNECIMENTO E INSTALAÇÃO. AF_12/2015</t>
  </si>
  <si>
    <t>SI00000091991</t>
  </si>
  <si>
    <t>SI00000093655</t>
  </si>
  <si>
    <t>DISJUNTOR MONOPOLAR TIPO DIN, CORRENTE NOMINAL DE 20A - FORNECIMENTO E INSTALAÇÃO. AF_10/2020</t>
  </si>
  <si>
    <t>0034653</t>
  </si>
  <si>
    <t>DISJUNTOR TIPO DIN/IEC, MONOPOLAR DE 6  ATE  32A</t>
  </si>
  <si>
    <t>0001571</t>
  </si>
  <si>
    <t>TERMINAL A COMPRESSAO EM COBRE ESTANHADO PARA CABO 4 MM2, 1 FURO E 1 COMPRESSAO, PARA PARAFUSO DE FIXACAO M5</t>
  </si>
  <si>
    <t>SI00000088247</t>
  </si>
  <si>
    <t>AUXILIAR DE ELETRICISTA COM ENCARGOS COMPLEMENTARES</t>
  </si>
  <si>
    <t>SI00000093657</t>
  </si>
  <si>
    <t>DISJUNTOR MONOPOLAR TIPO DIN, CORRENTE NOMINAL DE 32A - FORNECIMENTO E INSTALAÇÃO. AF_10/2020</t>
  </si>
  <si>
    <t>0001573</t>
  </si>
  <si>
    <t>TERMINAL A COMPRESSAO EM COBRE ESTANHADO PARA CABO 6 MM2, 1 FURO E 1 COMPRESSAO, PARA PARAFUSO DE FIXACAO M6</t>
  </si>
  <si>
    <t>SI00000093661</t>
  </si>
  <si>
    <t>DISJUNTOR BIPOLAR TIPO DIN, CORRENTE NOMINAL DE 16A - FORNECIMENTO E INSTALAÇÃO. AF_10/2020</t>
  </si>
  <si>
    <t>0034616</t>
  </si>
  <si>
    <t>DISJUNTOR TIPO DIN/IEC, BIPOLAR DE 6 ATE 32A</t>
  </si>
  <si>
    <t>0001570</t>
  </si>
  <si>
    <t>TERMINAL A COMPRESSAO EM COBRE ESTANHADO PARA CABO 2,5 MM2, 1 FURO E 1 COMPRESSAO, PARA PARAFUSO DE FIXACAO M5</t>
  </si>
  <si>
    <t>SI00000093662</t>
  </si>
  <si>
    <t>DISJUNTOR BIPOLAR TIPO DIN, CORRENTE NOMINAL DE 20A - FORNECIMENTO E INSTALAÇÃO. AF_10/2020</t>
  </si>
  <si>
    <t>SI00000093671</t>
  </si>
  <si>
    <t>DISJUNTOR TRIPOLAR TIPO DIN, CORRENTE NOMINAL DE 32A - FORNECIMENTO E INSTALAÇÃO. AF_10/2020</t>
  </si>
  <si>
    <t>0034709</t>
  </si>
  <si>
    <t>DISJUNTOR TIPO DIN/IEC, TRIPOLAR DE 10 ATE 50A</t>
  </si>
  <si>
    <t>SI00000093672</t>
  </si>
  <si>
    <t>DISJUNTOR TRIPOLAR TIPO DIN, CORRENTE NOMINAL DE 40A - FORNECIMENTO E INSTALAÇÃO. AF_10/2020</t>
  </si>
  <si>
    <t>0001574</t>
  </si>
  <si>
    <t>TERMINAL A COMPRESSAO EM COBRE ESTANHADO PARA CABO 10 MM2, 1 FURO E 1 COMPRESSAO, PARA PARAFUSO DE FIXACAO M6</t>
  </si>
  <si>
    <t>15.007.0601-A</t>
  </si>
  <si>
    <t>DISJUNTOR TERMOMAGNETICO TRIPOLAR,DE 40 A 63A,3KA,MODELO DIN,TIPO C.FORNECIMENTO E COLOCACAO</t>
  </si>
  <si>
    <t>11656</t>
  </si>
  <si>
    <t>DISJUNTOR, TRIPOLAR, DE 40 A 63A, 3KA, MODELO DIN, TIPO C</t>
  </si>
  <si>
    <t>15.007.0605-A</t>
  </si>
  <si>
    <t>DISJUNTOR TERMOMAGNETICO,TRIPOLAR,DE 80 A 100A,3KA,MODELO DIN,TIPO C.FORNECIMENTO E COLOCACAO</t>
  </si>
  <si>
    <t>02441</t>
  </si>
  <si>
    <t>DISJUNTOR, TRIPOLAR, DE 80 A 100A, 3KA,MODELO DIN, TIPO C</t>
  </si>
  <si>
    <t>7.25</t>
  </si>
  <si>
    <t>7.26</t>
  </si>
  <si>
    <t>7.27</t>
  </si>
  <si>
    <t>7.28</t>
  </si>
  <si>
    <t>7.29</t>
  </si>
  <si>
    <t>7.30</t>
  </si>
  <si>
    <t>15.007.0525-A</t>
  </si>
  <si>
    <t>DISJUNTOR/INTERRUPTOR DIFERENCIAL RESIDUAL(DDR),CLASSE AC,4POLOS,INSTANTANEO,CORRENTE NOMINAL(IN)40AX415V,SENSIBILIDADE30MA/300MA.FORNECIMENTO E COLOCACAO</t>
  </si>
  <si>
    <t>11869</t>
  </si>
  <si>
    <t>DISJUNTOR/INTERRUPTOR DIFERENCIAL RESIDUAL (DDR), CLASSE AC, 4 POLOS, INST.,C.NOMINAL 40AX415V,SENSIBILIDADE 30MA/300MA</t>
  </si>
  <si>
    <t>15.007.0526-A</t>
  </si>
  <si>
    <t>DISJUNTOR,INTERRUPTOR DIFERENCIAL RESIDUAL(DDR),CLASSE AC,4POLOS,INSTANTANEO,CORRENTE NOMINAL(IN)63AX415V,SENSIBILIDADE30MA/300MA.FORNECIMENTO E COLOCACAO</t>
  </si>
  <si>
    <t>11870</t>
  </si>
  <si>
    <t>DISJUNTOR/INTERRUPTOR DIFERENCIAL RESIDUAL (DDR), CLASSE AC, 4 POLOS, INST.,C.NOMINAL 63AX415V,SENSIBILIDADE 30MA/300MA</t>
  </si>
  <si>
    <t>15.007.0524-A</t>
  </si>
  <si>
    <t>DISJUNTOR/INTERRUPTOR DIFERENCIAL RESIDUAL(DDR),CLASSE AC,4POLOS,INSTANTANEO,CORRENTE NOMINAL(IN)25AX415V,SENSIBILIDADE30MA/300MA.FORNECIMENTO E COLOCACAO</t>
  </si>
  <si>
    <t>DISJUNTOR/INTERRUPTOR DIFERENCIAL RESIDUAL (DDR), CLASSE AC, 4 POLOS, INST.,C.NOMINAL 32AX415V,SENSIBILIDADE 30MA/300MA</t>
  </si>
  <si>
    <t>15.007.0524-5</t>
  </si>
  <si>
    <t>DISJUNTOR/INTERRUPTOR DIFERENCIAL RESIDUAL(DDR),CLASSE AC,4POLOS,INSTANTANEO,CORRENTE NOMINAL(IN)32AX415V,SENSIBILIDADE30MA/300MA.FORNECIMENTO E COLOCACAO</t>
  </si>
  <si>
    <t>15.007.0608-A</t>
  </si>
  <si>
    <t>DISJUNTOR TERMOMAGNETICO,TRIPOLAR,DE 125 A 160A,50KA,MODELOCAIXA MOLDADA,TIPO C.FORNECIMENTO E COLOCACAO</t>
  </si>
  <si>
    <t>02432</t>
  </si>
  <si>
    <t>DISJUNTOR, TRIPOLAR, 125 A 160A, 50KA, MODELO CAIXA MOLDADA, TIPO C</t>
  </si>
  <si>
    <t>15.007.0504-A</t>
  </si>
  <si>
    <t>QUADRO DE DISTRIBUICAO DE ENERGIA,100A,PARA DISJUNTORES TERMO-MAGNETICOS UNIPOLARES,DE EMBUTIR,COM PORTA E BARRAMENTOS DE FASE,NEUTRO E TERRA,TRIFASICO,PARA INSTALACAO DE ATE 18 DISJUNTORES COM DISPOSITIVO PARA CHAVE GERAL.FORNECIMENTO E COLOCACAO</t>
  </si>
  <si>
    <t>02437</t>
  </si>
  <si>
    <t>QUADRO DE DISTRIBUICAO DE ENERGIA,100A,DE EMBUTIR,BARRAMENTO TRIFASICO E NEUTRO,DISP.P/CHAVE GERAL,P/ATE 18 DISJUNTORES</t>
  </si>
  <si>
    <t>15.008.0115-A</t>
  </si>
  <si>
    <t>CABO DE COBRE FLEXIVEL COM ISOLAMENTO TERMOPLASTICO,COMPREENDENDO:PREPARO,CORTE E ENFIACAO EM ELETRODUTOS,NA BITOLA DE 50MM2, 450/750V.FORNECIMENTO E COLOCACAO</t>
  </si>
  <si>
    <t>02363</t>
  </si>
  <si>
    <t>CABO DE COBRE FLEXIVEL COM ISOLAMENTO TERMOPLASTICO, DE 450/750V, DE 50MM2</t>
  </si>
  <si>
    <t>02317</t>
  </si>
  <si>
    <t>FITA ISOLANTE, ROLO DE 19MMX20M</t>
  </si>
  <si>
    <t>15.008.0110-A</t>
  </si>
  <si>
    <t>CABO DE COBRE FLEXIVEL COM ISOLAMENTO TERMOPLASTICO,COMPREENDENDO:PREPARO,CORTE E ENFIACAO EM ELETRODUTOS,NA BITOLA DE 25MM2, 450/750V.FORNECIMENTO E COLOCACAO</t>
  </si>
  <si>
    <t>02362</t>
  </si>
  <si>
    <t>CABO DE COBRE FLEXIVEL COM ISOLAMENTO TERMOPLASTICO, DE 450/750V, DE 25MM2</t>
  </si>
  <si>
    <t>15.008.0100-A</t>
  </si>
  <si>
    <t>CABO DE COBRE FLEXIVEL COM ISOLAMENTO TERMOPLASTICO,COMPREENDENDO:PREPARO,CORTE E ENFIACAO EM ELETRODUTOS NA BITOLA DE 10MM2, 450/750V.FORNECIMENTO E COLOCACAO</t>
  </si>
  <si>
    <t>05710</t>
  </si>
  <si>
    <t>CABO DE COBRE FLEXIVEL COM ISOLAMENTO TERMOPLASTICO, DE 450/750V, DE 10MM2</t>
  </si>
  <si>
    <t>15.008.0095-A</t>
  </si>
  <si>
    <t>CABO DE COBRE FLEXIVEL COM ISOLAMENTO TERMOPLASTICO,COMPREENDENDO:PREPARO,CORTE E ENFIACAO EM ELETRODUTOS,NA BITOLA DE 6MM2, 450/750V.FORNECIMENTO E COLOCACAO</t>
  </si>
  <si>
    <t>05709</t>
  </si>
  <si>
    <t>CABO DE COBRE FLEXIVEL COM ISOLAMENTO TERMOPLASTICO, DE 450/750V, DE 6MM2</t>
  </si>
  <si>
    <t>15.008.0090-A</t>
  </si>
  <si>
    <t>CABO DE COBRE FLEXIVEL COM ISOLAMENTO TERMOPLASTICO,COMPREENDENDO:PREPARO,CORTE E ENFIACAO EM ELETRODUTOS NA BITOLA DE 4MM2, 450/750V.FORNECIMENTO E COLOCACAO</t>
  </si>
  <si>
    <t>05708</t>
  </si>
  <si>
    <t>CABO DE COBRE FLEXIVEL COM ISOLAMENTO TERMOPLASTICO, DE 450/750V, DE 4MM2</t>
  </si>
  <si>
    <t>15.008.0085-A</t>
  </si>
  <si>
    <t>CABO DE COBRE FLEXIVEL COM ISOLAMENTO TERMOPLASTICO,COMPREENDENDO:PREPARO,CORTE E ENFIACAO EM ELETRODUTOS,NA BITOLA DE 2,5MM2, 450/750V.FORNECIMENTO E COLOCACAO</t>
  </si>
  <si>
    <t>05707</t>
  </si>
  <si>
    <t>CABO DE COBRE FLEXIVEL COM ISOLAMENTO TERMOPLASTICO, DE 450/750V, DE 2,5MM2</t>
  </si>
  <si>
    <t>7.31</t>
  </si>
  <si>
    <t>7.32</t>
  </si>
  <si>
    <t>7.33</t>
  </si>
  <si>
    <t>7.34</t>
  </si>
  <si>
    <t>7.35</t>
  </si>
  <si>
    <t>7.36</t>
  </si>
  <si>
    <t>7.37</t>
  </si>
  <si>
    <t>02347</t>
  </si>
  <si>
    <t>ELETRODUTO DE PVC PRETO,RIGIDO ROSQUEAVEL,COM ROSCA EM AMBAS EXTREMIDADES,EM BARRAS DE 3 METROS,DE 2.1/2"</t>
  </si>
  <si>
    <t>15.036.0070-A</t>
  </si>
  <si>
    <t>ELETRODUTO DE PVC RIGIDO ROSQUEAVEL DE 3/4",INCLUSIVE CONEXOES E EMENDAS,EXCLUSIVE ABERTURA E FECHAMENTO DE RASGO.FORNECIMENTO E ASSENTAMENTO</t>
  </si>
  <si>
    <t>02341</t>
  </si>
  <si>
    <t>ELETRODUTO DE PVC PRETO, RIGIDO ROSQUEAVEL, COM ROSCA EM AMBAS EXTREMIDADES, EMBARRAS DE 3 METROS, DE 3/4"</t>
  </si>
  <si>
    <t>15.036.0074-A</t>
  </si>
  <si>
    <t>ELETRODUTO DE PVC RIGIDO ROSQUEAVEL DE 2",INCLUSIVE CONEXOESE EMENDAS,EXCLUSIVE ABERTURA E FECHAMENTO DE RASGO.FORNECIMENTO E ASSENTAMENTO</t>
  </si>
  <si>
    <t>02346</t>
  </si>
  <si>
    <t>ELETRODUTO DE PVC PRETO,RIGIDO ROSQUEAVEL EM AMBAS EXTREMIDADES,EM BARRAS DE 3 METROS,DE 2"</t>
  </si>
  <si>
    <t>SI00000091847</t>
  </si>
  <si>
    <t>ELETRODUTO FLEXÍVEL CORRUGADO REFORÇADO, PVC, DN 32 MM (1"), PARA CIRCUITOS TERMINAIS, INSTALADO EM LAJE - FORNECIMENTO E INSTALAÇÃO. AF_12/2015</t>
  </si>
  <si>
    <t>0043132</t>
  </si>
  <si>
    <t>ARAME RECOZIDO 16 BWG, D = 1,65 MM (0,016 KG/M) OU 18 BWG, D = 1,25 MM (0,01 KG/M)</t>
  </si>
  <si>
    <t>0039245</t>
  </si>
  <si>
    <t>ELETRODUTO PVC FLEXIVEL CORRUGADO, REFORCADO, COR LARANJA, DE 32 MM, PARA LAJES E PISOS</t>
  </si>
  <si>
    <t>SI00000091845</t>
  </si>
  <si>
    <t>ELETRODUTO FLEXÍVEL CORRUGADO REFORÇADO, PVC, DN 25 MM (3/4"), PARA CIRCUITOS TERMINAIS, INSTALADO EM LAJE - FORNECIMENTO E INSTALAÇÃO. AF_12/2015</t>
  </si>
  <si>
    <t>0039244</t>
  </si>
  <si>
    <t>ELETRODUTO PVC FLEXIVEL CORRUGADO, REFORCADO, COR LARANJA, DE 25 MM, PARA LAJES E PISOS</t>
  </si>
  <si>
    <t>SI00000096985</t>
  </si>
  <si>
    <t>HASTE DE ATERRAMENTO 5/8  PARA SPDA - FORNECIMENTO E INSTALAÇÃO. AF_12/2017</t>
  </si>
  <si>
    <t>0003379</t>
  </si>
  <si>
    <t>HASTE DE ATERRAMENTO EM ACO COM 3,00 M DE COMPRIMENTO E DN = 5/8", REVESTIDA COM BAIXA CAMADA DE COBRE, SEM CONECTOR</t>
  </si>
  <si>
    <t>15.009.0135-A</t>
  </si>
  <si>
    <t>CABO SOLIDO DE COBRE ELETROLITICO NU,TEMPERA MOLE,CLASSE 2,SECAO CIRCULAR DE 25MM2.FORNECIMENTO E COLOCACAO</t>
  </si>
  <si>
    <t>15.011.0030-A</t>
  </si>
  <si>
    <t>ENTRADA DE ENERGIA INDIVIDUAL,PADRAO LIGHT,MEDICAO DIRETA,REDE AEREA,DEMANDA ENTRE 33,1 E 66,3KVA,INCLUSIVE CAIXA SECCIONADORA ATE 200A(CSM200)E CAIXA DE PROTECAO ATE 225A(CPG-225)INTERNA E DEMAIS MATERIAIS NECESSARIOS,EXCLUSIVE POSTE,DISJUNTOR E FIOS DE ENTRADA E SAIDA</t>
  </si>
  <si>
    <t>04271</t>
  </si>
  <si>
    <t>BUCHA E ARRUELA DE ALUMINIO PARA ELETRODUTO, DE 2.1/2"</t>
  </si>
  <si>
    <t>02944</t>
  </si>
  <si>
    <t>CURVA 90º DE PVC RIGIDO, ROSQUEAVEL, PARA ELETRODUTO, DE 2.1/2"</t>
  </si>
  <si>
    <t>03888</t>
  </si>
  <si>
    <t>LUVA DE PVC RIGIDO ROSQUEAVEL, PARA ELETRODUTO, DE 2.1/2"</t>
  </si>
  <si>
    <t>03970</t>
  </si>
  <si>
    <t>ARMACAO SECUNDARIA, COMPLETA, PARA 4 LINHAS</t>
  </si>
  <si>
    <t>03971</t>
  </si>
  <si>
    <t>CINTA CIRCULAR DE ACO GALVANIZADO COM PARAFUSOS, DE APROXIMADAMENTE 150MM</t>
  </si>
  <si>
    <t>00115</t>
  </si>
  <si>
    <t>BUCHA E ARRUELA DE ALUMINIO PARA ELETRODUTO, DE 3/4"</t>
  </si>
  <si>
    <t>04210</t>
  </si>
  <si>
    <t>ISOLADOR TIPO CARRETILHA, MARROM, DE (72X72)MM</t>
  </si>
  <si>
    <t>05997</t>
  </si>
  <si>
    <t>BOX DE ALUMINIO CURVO, DE 2.1/2"</t>
  </si>
  <si>
    <t>08023</t>
  </si>
  <si>
    <t>CONECTOR PARAFUSO FENDIDO, TIPO SPLIT BOLT, FABRICADO EM COBRE, PARA CABO DE 050MM2</t>
  </si>
  <si>
    <t>11922</t>
  </si>
  <si>
    <t>11926</t>
  </si>
  <si>
    <t>CAIXA SECCIONADORA (CSM200), PARA ENTRADA DE ENERGIA INDIVIDUAL, PADRAO LIGHT</t>
  </si>
  <si>
    <t>11927</t>
  </si>
  <si>
    <t>CAIXA METALICA PARA PROTECAO GERAL ATE 200A (CPG200) EM ACO GALVANIZADO C/PINT.ELETR.P/ENTR.ENERGIA INDIV.,PADRAO LIGHT</t>
  </si>
  <si>
    <t>03977</t>
  </si>
  <si>
    <t>HASTE TERRA, TIPO CANTONEIRA GALVANIZADA, DE 2,00M</t>
  </si>
  <si>
    <t>18.045.0015-A</t>
  </si>
  <si>
    <t>POSTE DE CONCRETO,COM SECAO CIRCULAR,COM 7,00M DE COMPRIMENTO E CARGA NOMINAL HORIZONTAL NO TOPO DE 100KG,INCLUSIVE ESCAVACAO,EXCLUSIVE TRANSPORTE.FORNECIMENTO E COLOCACAO</t>
  </si>
  <si>
    <t>00456</t>
  </si>
  <si>
    <t>POSTE DE CONCRETO, C/SECAO CIRCULAR, C/07,00M DE COMPR., PADRAO ABNT, EXCLUSIVETRANSP., C/CARGA NOM.HORIZ.TOPO 100KGF</t>
  </si>
  <si>
    <t>30523</t>
  </si>
  <si>
    <t>19.004.0080-C GUINDAUTO 3,5T, ALCANCE 5,90M (CP)</t>
  </si>
  <si>
    <t>30415</t>
  </si>
  <si>
    <t>19.004.0004-D CAMINHAO CARROC. FIXA, 7,5T (CF)</t>
  </si>
  <si>
    <t>30269</t>
  </si>
  <si>
    <t>11.002.0034-B LANCAMENTO CONC.S/ARM.3,5M3/H, HORIZ.</t>
  </si>
  <si>
    <t>6.23</t>
  </si>
  <si>
    <t>15.036.0032-A</t>
  </si>
  <si>
    <t>TUBO DE PVC RIGIDO DE 60MM,SOLDAVEL,EXCLUSIVE CONEXOES,EMENDAS,ABERTURA E FECHAMENTO DE RASGO.FORNECIMENTO E ASSENTAMENTO</t>
  </si>
  <si>
    <t>05695</t>
  </si>
  <si>
    <t>TUBO DE PVC RIGIDO SOLDAVEL, PONTA/BOLSA, EM BARRAS DE 6,00M, DE 060MM</t>
  </si>
  <si>
    <t>15.036.0030-A</t>
  </si>
  <si>
    <t>TUBO DE PVC RIGIDO DE 40MM,SOLDAVEL,EXCLUSIVE CONEXOES,EMENDAS,ABERTURA E FECHAMENTO DE RASGO.FORNECIMENTO E ASSENTAMENTO</t>
  </si>
  <si>
    <t>05693</t>
  </si>
  <si>
    <t>TUBO DE PVC RIGIDO SOLDAVEL, PONTA/BOLSA, EM BARRAS DE 6,00M, DE 040MM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</si>
  <si>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</si>
  <si>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</si>
  <si>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</si>
  <si>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</si>
  <si>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</si>
  <si>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</si>
  <si>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</si>
  <si>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</si>
  <si>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</si>
  <si>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</si>
  <si>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</si>
  <si>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</si>
  <si>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</si>
  <si>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15.036.0029-A</t>
  </si>
  <si>
    <t>TUBO DE PVC RIGIDO DE 32MM,SOLDAVEL,EXCLUSIVE CONEXOES,EMENDAS,ABERTURA E FECHAMENTO DE RASGO.FORNECIMENTO E ASSENTAMENTO</t>
  </si>
  <si>
    <t>05692</t>
  </si>
  <si>
    <t>TUBO DE PVC RIGIDO SOLDAVEL, PONTA/BOLSA, EM BARRAS DE 6,00M, DE 032MM</t>
  </si>
  <si>
    <t>15.036.0028-A</t>
  </si>
  <si>
    <t>TUBO DE PVC RIGIDO DE 25MM,SOLDAVEL,EXCLUSIVE CONEXOES,EMENDAS,ABERTURA E FECHAMENTO DE RASGO.FORNECIMENTO E ASSENTAMENTO</t>
  </si>
  <si>
    <t>15.036.0027-A</t>
  </si>
  <si>
    <t>TUBO DE PVC RIGIDO DE 20MM,SOLDAVEL,EXCLUSIVE CONEXOES,EMENDAS,ABERTURA E FECHAMENTO DE RASGO.FORNECIMENTO E ASSENTAMENTO</t>
  </si>
  <si>
    <t>05030</t>
  </si>
  <si>
    <t>TUBO DE PVC RIGIDO SOLDAVEL, PONTA/BOLSAC/VIROLA, EM BARRAS DE 6,00M, DE 020MM</t>
  </si>
  <si>
    <t>SI00000089505</t>
  </si>
  <si>
    <t>JOELHO 90 GRAUS, PVC, SOLDÁVEL, DN 60MM, INSTALADO EM PRUMADA DE ÁGUA - FORNECIMENTO E INSTALAÇÃO. AF_06/2022</t>
  </si>
  <si>
    <t>0038383</t>
  </si>
  <si>
    <t>LIXA D'AGUA EM FOLHA, GRAO 100</t>
  </si>
  <si>
    <t>0020083</t>
  </si>
  <si>
    <t>SOLUCAO PREPARADORA / LIMPADORA PARA PVC, FRASCO COM 1000 CM3</t>
  </si>
  <si>
    <t>0003539</t>
  </si>
  <si>
    <t>JOELHO PVC, SOLDAVEL, 90 GRAUS, 60 MM, PARA AGUA FRIA PREDIAL</t>
  </si>
  <si>
    <t>0000122</t>
  </si>
  <si>
    <t>ADESIVO PLASTICO PARA PVC, FRASCO COM *850* GR</t>
  </si>
  <si>
    <t>SI00000088248</t>
  </si>
  <si>
    <t>AUXILIAR DE ENCANADOR OU BOMBEIRO HIDRÁULICO COM ENCARGOS COMPLEMENTARES</t>
  </si>
  <si>
    <t>SI00000089497</t>
  </si>
  <si>
    <t>JOELHO 90 GRAUS, PVC, SOLDÁVEL, DN 40MM, INSTALADO EM PRUMADA DE ÁGUA - FORNECIMENTO E INSTALAÇÃO. AF_06/2022</t>
  </si>
  <si>
    <t>0003535</t>
  </si>
  <si>
    <t>JOELHO PVC, SOLDAVEL, 90 GRAUS, 40 MM, PARA AGUA FRIA PREDIAL</t>
  </si>
  <si>
    <t>SI00000089413</t>
  </si>
  <si>
    <t>JOELHO 90 GRAUS, PVC, SOLDÁVEL, DN 32MM, INSTALADO EM RAMAL DE DISTRIBUIÇÃO DE ÁGUA - FORNECIMENTO E INSTALAÇÃO. AF_06/2022</t>
  </si>
  <si>
    <t>0003536</t>
  </si>
  <si>
    <t>JOELHO PVC, SOLDAVEL, 90 GRAUS, 32 MM, PARA AGUA FRIA PREDIAL</t>
  </si>
  <si>
    <t>SI00000089408</t>
  </si>
  <si>
    <t>JOELHO 90 GRAUS, PVC, SOLDÁVEL, DN 25MM, INSTALADO EM RAMAL DE DISTRIBUIÇÃO DE ÁGUA - FORNECIMENTO E INSTALAÇÃO. AF_06/2022</t>
  </si>
  <si>
    <t>0003529</t>
  </si>
  <si>
    <t>JOELHO PVC, SOLDAVEL, 90 GRAUS, 25 MM, PARA AGUA FRIA PREDIAL</t>
  </si>
  <si>
    <t>SI00000089404</t>
  </si>
  <si>
    <t>JOELHO 90 GRAUS, PVC, SOLDÁVEL, DN 20MM, INSTALADO EM RAMAL DE DISTRIBUIÇÃO DE ÁGUA - FORNECIMENTO E INSTALAÇÃO. AF_06/2022</t>
  </si>
  <si>
    <t>0003542</t>
  </si>
  <si>
    <t>JOELHO PVC, SOLDAVEL, 90 GRAUS, 20 MM, PARA AGUA FRIA PREDIAL</t>
  </si>
  <si>
    <t>SI00000094696</t>
  </si>
  <si>
    <t>TÊ, PVC, SOLDÁVEL, DN 60 MM INSTALADO EM RESERVAÇÃO DE ÁGUA DE EDIFICAÇÃO QUE POSSUA RESERVATÓRIO DE FIBRA/FIBROCIMENTO   FORNECIMENTO E INSTALAÇÃO. AF_06/2016</t>
  </si>
  <si>
    <t>0020080</t>
  </si>
  <si>
    <t>ADESIVO PLASTICO PARA PVC, FRASCO COM 175 GR</t>
  </si>
  <si>
    <t>0007143</t>
  </si>
  <si>
    <t>TE SOLDAVEL, PVC, 90 GRAUS, 60 MM, PARA AGUA FRIA PREDIAL (NBR 5648)</t>
  </si>
  <si>
    <t>SI00000094692</t>
  </si>
  <si>
    <t>TÊ, PVC, SOLDÁVEL, DN 40 MM INSTALADO EM RESERVAÇÃO DE ÁGUA DE EDIFICAÇÃO QUE POSSUA RESERVATÓRIO DE FIBRA/FIBROCIMENTO   FORNECIMENTO E INSTALAÇÃO. AF_06/2016</t>
  </si>
  <si>
    <t>0007141</t>
  </si>
  <si>
    <t>TE SOLDAVEL, PVC, 90 GRAUS, 40 MM, PARA AGUA FRIA PREDIAL (NBR 5648)</t>
  </si>
  <si>
    <t>SI00000094690</t>
  </si>
  <si>
    <t>TÊ, PVC, SOLDÁVEL, DN 32 MM INSTALADO EM RESERVAÇÃO DE ÁGUA DE EDIFICAÇÃO QUE POSSUA RESERVATÓRIO DE FIBRA/FIBROCIMENTO   FORNECIMENTO E INSTALAÇÃO. AF_06/2016</t>
  </si>
  <si>
    <t>0007140</t>
  </si>
  <si>
    <t>TE SOLDAVEL, PVC, 90 GRAUS, 32 MM, PARA AGUA FRIA PREDIAL (NBR 5648)</t>
  </si>
  <si>
    <t>SI00000094688</t>
  </si>
  <si>
    <t>TÊ, PVC, SOLDÁVEL, DN  25 MM INSTALADO EM RESERVAÇÃO DE ÁGUA DE EDIFICAÇÃO QUE POSSUA RESERVATÓRIO DE FIBRA/FIBROCIMENTO   FORNECIMENTO E INSTALAÇÃO. AF_06/2016</t>
  </si>
  <si>
    <t>0007139</t>
  </si>
  <si>
    <t>TE SOLDAVEL, PVC, 90 GRAUS, 25 MM, PARA AGUA FRIA PREDIAL (NBR 5648)</t>
  </si>
  <si>
    <t>6.37</t>
  </si>
  <si>
    <t>6.38</t>
  </si>
  <si>
    <t>6.39</t>
  </si>
  <si>
    <t>6.40</t>
  </si>
  <si>
    <t>6.41</t>
  </si>
  <si>
    <t>SI00000103969</t>
  </si>
  <si>
    <t>BUCHA DE REDUÇÃO, LONGA, PVC, SOLDÁVEL, DN 60 X 32 MM, INSTALADO EM PRUMADA DE ÁGUA - FORNECIMENTO E INSTALAÇÃO. AF_06/2022</t>
  </si>
  <si>
    <t>0000814</t>
  </si>
  <si>
    <t>BUCHA DE REDUCAO DE PVC, SOLDAVEL, LONGA, COM 60 X 32 MM, PARA AGUA FRIA PREDIAL</t>
  </si>
  <si>
    <t>SI00000089610</t>
  </si>
  <si>
    <t>ADAPTADOR CURTO COM BOLSA E ROSCA PARA REGISTRO, PVC, SOLDÁVEL, DN 60MM X 2 , INSTALADO EM PRUMADA DE ÁGUA - FORNECIMENTO E INSTALAÇÃO. AF_06/2022</t>
  </si>
  <si>
    <t>0000113</t>
  </si>
  <si>
    <t>ADAPTADOR PVC SOLDAVEL CURTO COM BOLSA E ROSCA, 60 MM X 2", PARA AGUA FRIA</t>
  </si>
  <si>
    <t>SI00000089572</t>
  </si>
  <si>
    <t>ADAPTADOR CURTO COM BOLSA E ROSCA PARA REGISTRO, PVC, SOLDÁVEL, DN 40MM X 1.1/4 , INSTALADO EM PRUMADA DE ÁGUA - FORNECIMENTO E INSTALAÇÃO. AF_06/2022</t>
  </si>
  <si>
    <t>0000109</t>
  </si>
  <si>
    <t>ADAPTADOR PVC SOLDAVEL CURTO COM BOLSA E ROSCA, 40 MM X 1 1/4", PARA AGUA FRIA</t>
  </si>
  <si>
    <t>SI00000089553</t>
  </si>
  <si>
    <t>ADAPTADOR CURTO COM BOLSA E ROSCA PARA REGISTRO, PVC, SOLDÁVEL, DN 32MM X 1 , INSTALADO EM PRUMADA DE ÁGUA - FORNECIMENTO E INSTALAÇÃO. AF_06/2022</t>
  </si>
  <si>
    <t>0000108</t>
  </si>
  <si>
    <t>ADAPTADOR PVC SOLDAVEL CURTO COM BOLSA E ROSCA, 32 MM X 1", PARA AGUA FRIA</t>
  </si>
  <si>
    <t>SI00000089383</t>
  </si>
  <si>
    <t>ADAPTADOR CURTO COM BOLSA E ROSCA PARA REGISTRO, PVC, SOLDÁVEL, DN 25MM X 3/4 , INSTALADO EM RAMAL OU SUB-RAMAL DE ÁGUA - FORNECIMENTO E INSTALAÇÃO. AF_06/2022</t>
  </si>
  <si>
    <t>0000065</t>
  </si>
  <si>
    <t>ADAPTADOR PVC SOLDAVEL CURTO COM BOLSA E ROSCA, 25 MM X 3/4", PARA AGUA FRIA</t>
  </si>
  <si>
    <t>6.42</t>
  </si>
  <si>
    <t>6.43</t>
  </si>
  <si>
    <t>6.44</t>
  </si>
  <si>
    <t>6.45</t>
  </si>
  <si>
    <t>6.46</t>
  </si>
  <si>
    <t>6.47</t>
  </si>
  <si>
    <t>SI00000094712</t>
  </si>
  <si>
    <t>ADAPTADOR COM FLANGES LIVRES, PVC, SOLDÁVEL, DN 60 MM X 2 , INSTALADO EM RESERVAÇÃO DE ÁGUA DE EDIFICAÇÃO QUE POSSUA RESERVATÓRIO DE FIBRA/FIBROCIMENTO   FORNECIMENTO E INSTALAÇÃO. AF_06/2016</t>
  </si>
  <si>
    <t>0000069</t>
  </si>
  <si>
    <t>ADAPTADOR PVC SOLDAVEL, COM FLANGES LIVRES, 60 MM X 2", PARA CAIXA D' AGUA</t>
  </si>
  <si>
    <t>SI00000094710</t>
  </si>
  <si>
    <t>ADAPTADOR COM FLANGES LIVRES, PVC, SOLDÁVEL, DN 40 MM X 1 1/4 , INSTALADO EM RESERVAÇÃO DE ÁGUA DE EDIFICAÇÃO QUE POSSUA RESERVATÓRIO DE FIBRA/FIBROCIMENTO   FORNECIMENTO E INSTALAÇÃO. AF_06/2016</t>
  </si>
  <si>
    <t>0000086</t>
  </si>
  <si>
    <t>ADAPTADOR PVC SOLDAVEL, COM FLANGES LIVRES, 40 MM X 1  1/4", PARA CAIXA D' AGUA</t>
  </si>
  <si>
    <t>SI00000094703</t>
  </si>
  <si>
    <t>ADAPTADOR COM FLANGE E ANEL DE VEDAÇÃO, PVC, SOLDÁVEL, DN  25 MM X 3/4 , INSTALADO EM RESERVAÇÃO DE ÁGUA DE EDIFICAÇÃO QUE POSSUA RESERVATÓRIO DE FIBRA/FIBROCIMENTO   FORNECIMENTO E INSTALAÇÃO. AF_06/2016</t>
  </si>
  <si>
    <t>0000096</t>
  </si>
  <si>
    <t>ADAPTADOR PVC SOLDAVEL, COM FLANGE E ANEL DE VEDACAO, 25 MM X 3/4", PARA CAIXA D'AGUA</t>
  </si>
  <si>
    <t>SI00000094498</t>
  </si>
  <si>
    <t>REGISTRO DE GAVETA BRUTO, LATÃO, ROSCÁVEL, 2" - FORNECIMENTO E INSTALAÇÃO. AF_08/2021</t>
  </si>
  <si>
    <t>0006028</t>
  </si>
  <si>
    <t>REGISTRO GAVETA BRUTO EM LATAO FORJADO, BITOLA 2 " (REF 1509)</t>
  </si>
  <si>
    <t>0003148</t>
  </si>
  <si>
    <t>FITA VEDA ROSCA EM ROLOS DE 18 MM X 50 M (L X C)</t>
  </si>
  <si>
    <t>SI00000094496</t>
  </si>
  <si>
    <t>REGISTRO DE GAVETA BRUTO, LATÃO, ROSCÁVEL, 1 1/4" - FORNECIMENTO E INSTALAÇÃO. AF_08/2021</t>
  </si>
  <si>
    <t>0006017</t>
  </si>
  <si>
    <t>REGISTRO GAVETA BRUTO EM LATAO FORJADO, BITOLA 1 1/4 " (REF 1509)</t>
  </si>
  <si>
    <t>SI00000089353</t>
  </si>
  <si>
    <t>REGISTRO DE GAVETA BRUTO, LATÃO, ROSCÁVEL, 3/4" - FORNECIMENTO E INSTALAÇÃO. AF_08/2021</t>
  </si>
  <si>
    <t>0006016</t>
  </si>
  <si>
    <t>REGISTRO GAVETA BRUTO EM LATAO FORJADO, BITOLA 3/4 " (REF 1509)</t>
  </si>
  <si>
    <t>6.48</t>
  </si>
  <si>
    <t>6.49</t>
  </si>
  <si>
    <t>6.50</t>
  </si>
  <si>
    <t>6.51</t>
  </si>
  <si>
    <t>6.52</t>
  </si>
  <si>
    <t>6.53</t>
  </si>
  <si>
    <t>6.54</t>
  </si>
  <si>
    <t>SI00000094796</t>
  </si>
  <si>
    <t>TORNEIRA DE BOIA PARA CAIXA D'ÁGUA, ROSCÁVEL, 3/4" - FORNECIMENTO E INSTALAÇÃO. AF_08/2021</t>
  </si>
  <si>
    <t>0011830</t>
  </si>
  <si>
    <t>TORNEIRA DE BOIA CONVENCIONAL PARA CAIXA D'AGUA, AGUA FRIA, 3/4", COM HASTE E TORNEIRA METALICOS E BALAO PLASTICO</t>
  </si>
  <si>
    <t>18.009.0079-A</t>
  </si>
  <si>
    <t>TORNEIRA PARA JARDIM,DE 1/2"X10CM APROXIMADAMENTE,EM METAL CROMADO.FORNECIMENTO</t>
  </si>
  <si>
    <t>02393</t>
  </si>
  <si>
    <t>TORNEIRA DE PRESSAO PARA JARDIM, DE 1/2"X10CM APROXIM., EM METAL CROMADO</t>
  </si>
  <si>
    <t>SI00000102609</t>
  </si>
  <si>
    <t>CAIXA D´ÁGUA EM POLIETILENO, 2000 LITROS - FORNECIMENTO E INSTALAÇÃO. AF_06/2021</t>
  </si>
  <si>
    <t>0034640</t>
  </si>
  <si>
    <t>CAIXA D'AGUA EM POLIETILENO 2000 LITROS, COM TAMPA</t>
  </si>
  <si>
    <t>SI00000090373</t>
  </si>
  <si>
    <t>JOELHO 90 GRAUS COM BUCHA DE LATÃO, PVC, SOLDÁVEL, DN 25MM, X 1/2  INSTALADO EM RAMAL OU SUB-RAMAL DE ÁGUA - FORNECIMENTO E INSTALAÇÃO. AF_06/2022</t>
  </si>
  <si>
    <t>0020147</t>
  </si>
  <si>
    <t>JOELHO PVC, SOLDAVEL, COM BUCHA DE LATAO, 90 GRAUS, 25 MM X 1/2", PARA AGUA FRIA PREDIAL</t>
  </si>
  <si>
    <t>SI00000089366</t>
  </si>
  <si>
    <t>JOELHO 90 GRAUS COM BUCHA DE LATÃO, PVC, SOLDÁVEL, DN 25MM, X 3/4  INSTALADO EM RAMAL OU SUB-RAMAL DE ÁGUA - FORNECIMENTO E INSTALAÇÃO. AF_06/2022</t>
  </si>
  <si>
    <t>0003524</t>
  </si>
  <si>
    <t>JOELHO PVC, SOLDAVEL, COM BUCHA DE LATAO, 90 GRAUS, 25 MM X 3/4", PARA AGUA FRIA PREDIAL</t>
  </si>
  <si>
    <t>0003515</t>
  </si>
  <si>
    <t>JOELHO PVC, SOLDAVEL, COM BUCHA DE LATAO, 90 GRAUS, 20 MM X 1/2", PARA AGUA FRIA PREDIAL</t>
  </si>
  <si>
    <t>SI00000090373 ALTERADO</t>
  </si>
  <si>
    <t>JOELHO 90 GRAUS COM BUCHA DE LATÃO, PVC, SOLDÁVEL, DN 20MM, X 1/2  INSTALADO EM RAMAL OU SUB-RAMAL DE ÁGUA - FORNECIMENTO E INSTALAÇÃO. AF_06/2022</t>
  </si>
  <si>
    <t>SI00000089400</t>
  </si>
  <si>
    <t>TÊ DE REDUÇÃO, PVC, SOLDÁVEL, DN 32MM X 25MM, INSTALADO EM RAMAL OU SUB-RAMAL DE ÁGUA - FORNECIMENTO E INSTALAÇÃO. AF_06/2022</t>
  </si>
  <si>
    <t>0007136</t>
  </si>
  <si>
    <t>TE DE REDUCAO, PVC, SOLDAVEL, 90 GRAUS, 32 MM X 25 MM, PARA AGUA FRIA PREDIAL</t>
  </si>
  <si>
    <t>SI00000089397</t>
  </si>
  <si>
    <t>TÊ DE REDUÇÃO, PVC, SOLDÁVEL, DN 25MM X 20MM, INSTALADO EM RAMAL OU SUB-RAMAL DE ÁGUA - FORNECIMENTO E INSTALAÇÃO. AF_06/2022</t>
  </si>
  <si>
    <t>0007104</t>
  </si>
  <si>
    <t>TE DE REDUCAO, PVC, SOLDAVEL, 90 GRAUS, 25 MM X 20 MM, PARA AGUA FRIA PREDIAL</t>
  </si>
  <si>
    <t>6.55</t>
  </si>
  <si>
    <t>6.56</t>
  </si>
  <si>
    <t>6.57</t>
  </si>
  <si>
    <t>6.58</t>
  </si>
  <si>
    <t>SI00000103948</t>
  </si>
  <si>
    <t>BUCHA DE REDUÇÃO, CURTA, PVC, SOLDÁVEL, DN 32 X 25 MM, INSTALADO EM RAMAL OU SUB-RAMAL DE ÁGUA - FORNECIMENTO E INSTALAÇÃO. AF_06/2022</t>
  </si>
  <si>
    <t>0000829</t>
  </si>
  <si>
    <t>BUCHA DE REDUCAO DE PVC, SOLDAVEL, CURTA, COM 32 X 25 MM, PARA AGUA FRIA PREDIAL</t>
  </si>
  <si>
    <t>SI00000103947</t>
  </si>
  <si>
    <t>BUCHA DE REDUÇÃO, CURTA, PVC, SOLDÁVEL, DN 25 X 20 MM, INSTALADO EM RAMAL OU SUB-RAMAL DE ÁGUA - FORNECIMENTO E INSTALAÇÃO. AF_06/2022</t>
  </si>
  <si>
    <t>0000828</t>
  </si>
  <si>
    <t>BUCHA DE REDUCAO DE PVC, SOLDAVEL, CURTA, COM 25 X 20 MM, PARA AGUA FRIA PREDIAL</t>
  </si>
  <si>
    <t>SI00000094792</t>
  </si>
  <si>
    <t>REGISTRO DE GAVETA BRUTO, LATÃO, ROSCÁVEL, 1", COM ACABAMENTO E CANOPLA CROMADOS - FORNECIMENTO E INSTALAÇÃO. AF_08/2021</t>
  </si>
  <si>
    <t>0006013</t>
  </si>
  <si>
    <t>REGISTRO GAVETA COM ACABAMENTO E CANOPLA CROMADOS, SIMPLES, BITOLA 1 " (REF 1509)</t>
  </si>
  <si>
    <t>6.59</t>
  </si>
  <si>
    <t>SI00000089987</t>
  </si>
  <si>
    <t>REGISTRO DE GAVETA BRUTO, LATÃO, ROSCÁVEL, 3/4", COM ACABAMENTO E CANOPLA CROMADOS - FORNECIMENTO E INSTALAÇÃO. AF_08/2021</t>
  </si>
  <si>
    <t>0006005</t>
  </si>
  <si>
    <t>REGISTRO GAVETA COM ACABAMENTO E CANOPLA CROMADOS, SIMPLES, BITOLA 3/4 " (REF 1509)</t>
  </si>
  <si>
    <t>6.60</t>
  </si>
  <si>
    <t>15.036.0053-A</t>
  </si>
  <si>
    <t>TUBO DE PVC RIGIDO DE 150MM,SOLDAVEL,INCLUSIVE CONEXOES E EMENDAS,EXCLUSIVE ABERTURA E FECHAMENTO DE RASGO.FORNECIMENTOE ASSENTAMENTO</t>
  </si>
  <si>
    <t>05070</t>
  </si>
  <si>
    <t>TUBO DE PVC RIGIDO LEVE CIRCULAR EM BARRAS DE 6,00M, COM PONTA E BOLSA LISAS, DE150MM</t>
  </si>
  <si>
    <t>15.036.0048-A</t>
  </si>
  <si>
    <t>TUBO DE PVC RIGIDO DE 100MM,SOLDAVEL,EXCLUSIVE EMENDAS,CONEXOES,ABERTURA E FECHAMENTO DE RASGO.FORNECIMENTO E ASSENTAMENTO</t>
  </si>
  <si>
    <t>15.036.0047-A</t>
  </si>
  <si>
    <t>TUBO DE PVC RIGIDO DE 75MM,SOLDAVEL,EXCLUSIVE EMENDAS,CONEXOES,ABERTURA E FECHAMENTO DE RASGO.FORNECIMENTO E ASSENTAMENTO</t>
  </si>
  <si>
    <t>15.036.0046-A</t>
  </si>
  <si>
    <t>TUBO DE PVC RIGIDO DE 50MM,SOLDAVEL,EXCLUSIVE EMENDAS,CONEXOES,ABERTURA E FECHAMENTO DE RASGO.FORNECIMENTO E ASSENTAMENTO</t>
  </si>
  <si>
    <t>02615</t>
  </si>
  <si>
    <t>TUBO DE PVC RIGIDO, PONTA/BOLSA COM VIROLA, EM BARRAS DE 6,00M, DE 050MM</t>
  </si>
  <si>
    <t>15.036.0045-A</t>
  </si>
  <si>
    <t>TUBO DE PVC RIGIDO DE 40MM,SOLDAVEL,EXCLUSIVE EMENDAS,CONEXOES,ABERTURA E FECHAMENTO DE RASGO.FORNECIMENTO E ASSENTAMENTO</t>
  </si>
  <si>
    <t>02614</t>
  </si>
  <si>
    <t>TUBO DE PVC RIGIDO SOLDAVEL, PONTA/BOLSA, PARA ESGOTO, EM BARRAS DE 6,00M, DE 040MM</t>
  </si>
  <si>
    <t>15.036.0092-A</t>
  </si>
  <si>
    <t>TUBO DE PVC,CONFORME ABNT NBR-7362,PARA ESGOTO SANITARIO,COMDIAMETRO NOMINAL DE 200MM,INCLUSIVE ANEL DE BORRACHA.FORNECIMENTO E COLOCACAO</t>
  </si>
  <si>
    <t>05118</t>
  </si>
  <si>
    <t>TUBO DE PVC PARA ESGOTO, REFORCADO, PONTA E BOLSA, INCLUSIVE ANEL DE BORRACHA, ABNT-NBR 7362, DE 200MM</t>
  </si>
  <si>
    <t>6.61</t>
  </si>
  <si>
    <t>6.62</t>
  </si>
  <si>
    <t>6.63</t>
  </si>
  <si>
    <t>6.64</t>
  </si>
  <si>
    <t>6.65</t>
  </si>
  <si>
    <t>6.66</t>
  </si>
  <si>
    <t>SI00000089748</t>
  </si>
  <si>
    <t>CURVA CURTA 90 GRAUS, PVC, SERIE NORMAL, ESGOTO PREDIAL, DN 100 MM, JUNTA ELÁSTICA, FORNECIDO E INSTALADO EM RAMAL DE DESCARGA OU RAMAL DE ESGOTO SANITÁRIO. AF_12/2014</t>
  </si>
  <si>
    <t>0020078</t>
  </si>
  <si>
    <t>PASTA LUBRIFICANTE PARA TUBOS E CONEXOES COM JUNTA ELASTICA, EMBALAGEM DE *400* GR (USO EM PVC, ACO, POLIETILENO E OUTROS)</t>
  </si>
  <si>
    <t>0001966</t>
  </si>
  <si>
    <t>CURVA PVC CURTA 90 GRAUS, 100 MM, PARA ESGOTO PREDIAL</t>
  </si>
  <si>
    <t>0000301</t>
  </si>
  <si>
    <t>ANEL BORRACHA PARA TUBO ESGOTO PREDIAL, DN 100 MM (NBR 5688)</t>
  </si>
  <si>
    <t>SI00000089742</t>
  </si>
  <si>
    <t>CURVA CURTA 90 GRAUS, PVC, SERIE NORMAL, ESGOTO PREDIAL, DN 75 MM, JUNTA ELÁSTICA, FORNECIDO E INSTALADO EM RAMAL DE DESCARGA OU RAMAL DE ESGOTO SANITÁRIO. AF_12/2014</t>
  </si>
  <si>
    <t>0001951</t>
  </si>
  <si>
    <t>CURVA PVC CURTA 90 GRAUS, DN 75 MM, PARA ESGOTO PREDIAL</t>
  </si>
  <si>
    <t>0000297</t>
  </si>
  <si>
    <t>ANEL BORRACHA PARA TUBO ESGOTO PREDIAL, DN 75 MM (NBR 5688)</t>
  </si>
  <si>
    <t>6.67</t>
  </si>
  <si>
    <t>6.68</t>
  </si>
  <si>
    <t>06.272.0021-A</t>
  </si>
  <si>
    <t>CURVA DE PVC PARA REDE DE ESGOTO,CONFORME ABNT NBR 10569,DE45º,PB,COM DIAMETRO NOMINAL DE 100MM,INCLUSIVE ANEL DE BORRACHA.FORNECIMENTO</t>
  </si>
  <si>
    <t>06.272.0022-A</t>
  </si>
  <si>
    <t>CURVA DE PVC PARA REDE DE ESGOTO,CONFORME ABNT NBR 10569,DE45º,PB,COM DIAMETRO NOMINAL DE 150MM,INCLUSIVE ANEL DE BORRACHA.FORNECIMENTO</t>
  </si>
  <si>
    <t>07514</t>
  </si>
  <si>
    <t>CURVA 45º DE PVC-PB, DE DN=150MM</t>
  </si>
  <si>
    <t>07513</t>
  </si>
  <si>
    <t>CURVA 45º DE PVC-PB, DE DN=100MM</t>
  </si>
  <si>
    <t>6.69</t>
  </si>
  <si>
    <t>6.70</t>
  </si>
  <si>
    <t>6.71</t>
  </si>
  <si>
    <t>6.72</t>
  </si>
  <si>
    <t>6.73</t>
  </si>
  <si>
    <t>06.275.0002-A</t>
  </si>
  <si>
    <t>CURVA DE 45° DE PVC-PBA,COM BOLSA DE JUNTA ELASTICA,DIAMETRONOMINAL 75MM. FORNECIMENTO</t>
  </si>
  <si>
    <t>07154</t>
  </si>
  <si>
    <t>CURVA 45º DE PVC-PBA, JE, PB, DN-075MM</t>
  </si>
  <si>
    <t>06.275.0001-A</t>
  </si>
  <si>
    <t>CURVA DE 45° DE PVC-PBA,COM BOLSA DE JUNTA ELASTICA,DIAMETRONOMINAL 50MM. FORNECIMENTO</t>
  </si>
  <si>
    <t>07153</t>
  </si>
  <si>
    <t>CURVA 45º DE PVC-PBA, JE, PB, DN-050MM</t>
  </si>
  <si>
    <t>SI00000089796</t>
  </si>
  <si>
    <t>TE, PVC, SERIE NORMAL, ESGOTO PREDIAL, DN 100 X 100 MM, JUNTA ELÁSTICA, FORNECIDO E INSTALADO EM RAMAL DE DESCARGA OU RAMAL DE ESGOTO SANITÁRIO. AF_12/2014</t>
  </si>
  <si>
    <t>0007091</t>
  </si>
  <si>
    <t>TE SANITARIO, PVC, DN 100 X 100 MM, SERIE NORMAL, PARA ESGOTO PREDIAL</t>
  </si>
  <si>
    <t>SI00000089786</t>
  </si>
  <si>
    <t>TE, PVC, SERIE NORMAL, ESGOTO PREDIAL, DN 75 X 75 MM, JUNTA ELÁSTICA, FORNECIDO E INSTALADO EM RAMAL DE DESCARGA OU RAMAL DE ESGOTO SANITÁRIO. AF_12/2014</t>
  </si>
  <si>
    <t>0011658</t>
  </si>
  <si>
    <t>TE SANITARIO, PVC, DN 75 X 75 MM, SERIE NORMAL PARA ESGOTO PREDIAL</t>
  </si>
  <si>
    <t>SI00000089784</t>
  </si>
  <si>
    <t>TE, PVC, SERIE NORMAL, ESGOTO PREDIAL, DN 50 X 50 MM, JUNTA ELÁSTICA, FORNECIDO E INSTALADO EM RAMAL DE DESCARGA OU RAMAL DE ESGOTO SANITÁRIO. AF_12/2014</t>
  </si>
  <si>
    <t>0007097</t>
  </si>
  <si>
    <t>TE SANITARIO, PVC, DN 50 X 50 MM, SERIE NORMAL, PARA ESGOTO PREDIAL</t>
  </si>
  <si>
    <t>0000296</t>
  </si>
  <si>
    <t>ANEL BORRACHA PARA TUBO ESGOTO PREDIAL, DN 50 MM (NBR 5688)</t>
  </si>
  <si>
    <t>6.74</t>
  </si>
  <si>
    <t>6.75</t>
  </si>
  <si>
    <t>SI00000089797</t>
  </si>
  <si>
    <t>JUNÇÃO SIMPLES, PVC, SERIE NORMAL, ESGOTO PREDIAL, DN 100 X 100 MM, JUNTA ELÁSTICA, FORNECIDO E INSTALADO EM RAMAL DE DESCARGA OU RAMAL DE ESGOTO SANITÁRIO. AF_12/2014</t>
  </si>
  <si>
    <t>0003670</t>
  </si>
  <si>
    <t>JUNCAO SIMPLES, PVC, 45 GRAUS, DN 100 X 100 MM, SERIE NORMAL PARA ESGOTO PREDIAL</t>
  </si>
  <si>
    <t>6.76</t>
  </si>
  <si>
    <t>6.77</t>
  </si>
  <si>
    <t>6.78</t>
  </si>
  <si>
    <t>6.79</t>
  </si>
  <si>
    <t>JUNÇÃO SIMPLES, PVC, SERIE NORMAL, ESGOTO PREDIAL, DN 100 X 50 MM, JUNTA ELÁSTICA, FORNECIDO E INSTALADO EM RAMAL DE DESCARGA OU RAMAL DE ESGOTO SANITÁRIO. AF_12/2014</t>
  </si>
  <si>
    <t>SI00000089797 alterado</t>
  </si>
  <si>
    <t>JUNCAO SIMPLES, PVC, 45 GRAUS, DN 100 X 50 MM, SERIE NORMAL PARA ESGOTO PREDIAL</t>
  </si>
  <si>
    <t>SI00000089795</t>
  </si>
  <si>
    <t>JUNÇÃO SIMPLES, PVC, SERIE NORMAL, ESGOTO PREDIAL, DN 75 X 75 MM, JUNTA ELÁSTICA, FORNECIDO E INSTALADO EM RAMAL DE DESCARGA OU RAMAL DE ESGOTO SANITÁRIO. AF_12/2014</t>
  </si>
  <si>
    <t>SI00000089795 alterado</t>
  </si>
  <si>
    <t>JUNÇÃO SIMPLES, PVC, SERIE NORMAL, ESGOTO PREDIAL, DN 75 X 50 MM, JUNTA ELÁSTICA, FORNECIDO E INSTALADO EM RAMAL DE DESCARGA OU RAMAL DE ESGOTO SANITÁRIO. AF_12/2014</t>
  </si>
  <si>
    <t>JUNCAO SIMPLES, PVC, DN 75 X 50 MM, SERIE NORMAL PARA ESGOTO PREDIAL</t>
  </si>
  <si>
    <t>SI00000089785</t>
  </si>
  <si>
    <t>JUNÇÃO SIMPLES, PVC, SERIE NORMAL, ESGOTO PREDIAL, DN 50 X 50 MM, JUNTA ELÁSTICA, FORNECIDO E INSTALADO EM RAMAL DE DESCARGA OU RAMAL DE ESGOTO SANITÁRIO. AF_12/2014</t>
  </si>
  <si>
    <t>0003662</t>
  </si>
  <si>
    <t>JUNCAO SIMPLES, PVC, DN 50 X 50 MM, SERIE NORMAL PARA ESGOTO PREDIAL</t>
  </si>
  <si>
    <t>SI00000089783</t>
  </si>
  <si>
    <t>JUNÇÃO SIMPLES, PVC, SERIE NORMAL, ESGOTO PREDIAL, DN 40 MM, JUNTA SOLDÁVEL, FORNECIDO E INSTALADO EM RAMAL DE DESCARGA OU RAMAL DE ESGOTO SANITÁRIO. AF_12/2014</t>
  </si>
  <si>
    <t>0003666</t>
  </si>
  <si>
    <t>JUNCAO SIMPLES, PVC, 45 GRAUS, DN 40 X 40 MM, SERIE NORMAL PARA ESGOTO PREDIAL</t>
  </si>
  <si>
    <t>6.80</t>
  </si>
  <si>
    <t>SI00000089724</t>
  </si>
  <si>
    <t>JOELHO 90 GRAUS, PVC, SERIE NORMAL, ESGOTO PREDIAL, DN 40 MM, JUNTA SOLDÁVEL, FORNECIDO E INSTALADO EM RAMAL DE DESCARGA OU RAMAL DE ESGOTO SANITÁRIO. AF_12/2014</t>
  </si>
  <si>
    <t>0003517</t>
  </si>
  <si>
    <t>JOELHO PVC, SOLDAVEL, BB, 90 GRAUS, DN 40 MM, PARA ESGOTO PREDIAL</t>
  </si>
  <si>
    <t>6.81</t>
  </si>
  <si>
    <t>SI00000089557</t>
  </si>
  <si>
    <t>REDUÇÃO EXCÊNTRICA, PVC, SERIE R, ÁGUA PLUVIAL, DN 100 X 75 MM, JUNTA ELÁSTICA, FORNECIDO E INSTALADO EM RAMAL DE ENCAMINHAMENTO. AF_06/2022</t>
  </si>
  <si>
    <t>0020046</t>
  </si>
  <si>
    <t>REDUCAO EXCENTRICA PVC, SERIE R, DN 100 X 75 MM, PARA ESGOTO OU AGUAS PLUVIAIS PREDIAIS</t>
  </si>
  <si>
    <t>0000299</t>
  </si>
  <si>
    <t>ANEL BORRACHA, DN 100 MM, PARA TUBO SERIE REFORCADA ESGOTO PREDIAL</t>
  </si>
  <si>
    <t>0000298</t>
  </si>
  <si>
    <t>ANEL BORRACHA, DN 75 MM, PARA TUBO SERIE REFORCADA ESGOTO PREDIAL</t>
  </si>
  <si>
    <t>SI00000089549</t>
  </si>
  <si>
    <t>REDUÇÃO EXCÊNTRICA, PVC, SERIE R, ÁGUA PLUVIAL, DN 75 X 50 MM, JUNTA ELÁSTICA, FORNECIDO E INSTALADO EM RAMAL DE ENCAMINHAMENTO. AF_06/2022</t>
  </si>
  <si>
    <t>0020085</t>
  </si>
  <si>
    <t>ANEL BORRACHA, DN 50 MM, PARA TUBO SERIE REFORCADA ESGOTO PREDIAL</t>
  </si>
  <si>
    <t>0020045</t>
  </si>
  <si>
    <t>REDUCAO EXCENTRICA PVC, SERIE R, DN 75 X 50 MM, PARA ESGOTO OU AGUAS PLUVIAIS PREDIAIS</t>
  </si>
  <si>
    <t>6.82</t>
  </si>
  <si>
    <t>SI00000089546</t>
  </si>
  <si>
    <t>BUCHA DE REDUÇÃO LONGA, PVC, SERIE R, ÁGUA PLUVIAL, DN 50 X 40 MM, JUNTA ELÁSTICA, FORNECIDO E INSTALADO EM RAMAL DE ENCAMINHAMENTO. AF_06/2022</t>
  </si>
  <si>
    <t>0038418</t>
  </si>
  <si>
    <t>BUCHA DE REDUCAO, PVC, LONGA, SERIE R, DN 50 X 40 MM, PARA ESGOTO OU AGUAS PLUVIAIS PREDIAIS</t>
  </si>
  <si>
    <t>6.83</t>
  </si>
  <si>
    <t>6.84</t>
  </si>
  <si>
    <t>SI00000089708</t>
  </si>
  <si>
    <t>CAIXA SIFONADA, PVC, DN 150 X 185 X 75 MM, JUNTA ELÁSTICA, FORNECIDA E INSTALADA EM RAMAL DE DESCARGA OU EM RAMAL DE ESGOTO SANITÁRIO. AF_12/2014</t>
  </si>
  <si>
    <t>0011714</t>
  </si>
  <si>
    <t>CAIXA SIFONADA, PVC, 150 X *185* X 75 MM, COM GRELHA QUADRADA, BRANCA</t>
  </si>
  <si>
    <t>SI00000086878</t>
  </si>
  <si>
    <t>VÁLVULA EM METAL CROMADO TIPO AMERICANA 3.1/2 X 1.1/2 PARA PIA - FORNECIMENTO E INSTALAÇÃO. AF_01/2020</t>
  </si>
  <si>
    <t>0006157</t>
  </si>
  <si>
    <t>VALVULA EM METAL CROMADO PARA PIA AMERICANA 3.1/2 X 1.1/2 "</t>
  </si>
  <si>
    <t>6.85</t>
  </si>
  <si>
    <t>VÁLVULA EM METAL CROMADO 1.1/2 X 1.1/2 PARA TANQUE OU LAVATÓRIO, COM OU SEM LADRÃO - FORNECIMENTO E INSTALAÇÃO. AF_01/2020</t>
  </si>
  <si>
    <t>0037588</t>
  </si>
  <si>
    <t>VALVULA DE ESCOAMENTO PARA TANQUE, EM METAL CROMADO, 1.1/2 ", SEM LADRAO, COM TAMPAO PLASTICO</t>
  </si>
  <si>
    <t>6.86</t>
  </si>
  <si>
    <t>6.87</t>
  </si>
  <si>
    <t>SIFÃO DO TIPO GARRAFA EM METAL CROMADO 1 X 1.1/2 - FORNECIMENTO E INSTALAÇÃO. AF_01/2020</t>
  </si>
  <si>
    <t>0006136</t>
  </si>
  <si>
    <t>SIFAO EM METAL CROMADO PARA PIA OU LAVATORIO, 1 X 1.1/2 "</t>
  </si>
  <si>
    <t>6.88</t>
  </si>
  <si>
    <t>6.89</t>
  </si>
  <si>
    <t>6.90</t>
  </si>
  <si>
    <t>6.91</t>
  </si>
  <si>
    <t>6.92</t>
  </si>
  <si>
    <t>SI00000098108</t>
  </si>
  <si>
    <t>CAIXA DE GORDURA DUPLA (CAPACIDADE: 126 L), RETANGULAR, EM ALVENARIA COM BLOCOS DE CONCRETO, DIMENSÕES INTERNAS = 0,4X0,7 M, ALTURA INTERNA = 0,8 M. AF_12/2020</t>
  </si>
  <si>
    <t>0006193</t>
  </si>
  <si>
    <t>TABUA  NAO  APARELHADA  *2,5 X 20* CM, EM MACARANDUBA, ANGELIM OU EQUIVALENTE DA REGIAO - BRUTA</t>
  </si>
  <si>
    <t>0005069</t>
  </si>
  <si>
    <t>PREGO DE ACO POLIDO COM CABECA 17 X 27 (2 1/2 X 11)</t>
  </si>
  <si>
    <t>0004491</t>
  </si>
  <si>
    <t>PONTALETE *7,5 X 7,5* CM EM PINUS, MISTA OU EQUIVALENTE DA REGIAO - BRUTA</t>
  </si>
  <si>
    <t>0002692</t>
  </si>
  <si>
    <t>DESMOLDANTE PROTETOR PARA FORMAS DE MADEIRA, DE BASE OLEOSA EMULSIONADA EM AGUA</t>
  </si>
  <si>
    <t>0000650</t>
  </si>
  <si>
    <t>BLOCO DE VEDACAO DE CONCRETO, 9 X 19 X 39 CM (CLASSE C - NBR 6136)</t>
  </si>
  <si>
    <t>SI00000101616</t>
  </si>
  <si>
    <t>SI00000101616 PREPARO DE FUNDO DE VALA COM LARGURA MENOR QUE 1,5 M (ACERTO DO SOLO NATURAL). AF_08/2020</t>
  </si>
  <si>
    <t>SI00000100475</t>
  </si>
  <si>
    <t>SI00000100475 ARGAMASSA TRAÇO 1:3 (EM VOLUME DE CIMENTO E AREIA MÉDIA ÚMIDA) COM ADIÇÃO DE IMPERMEABILIZANTE, PREPARO MECÂNICO COM BETONEIRA 400 L. AF_08/2019</t>
  </si>
  <si>
    <t>SI00000097734</t>
  </si>
  <si>
    <t>SI00000097734 PEÇA RETANGULAR PRÉ-MOLDADA, VOLUME DE CONCRETO DE 10 A 30 LITROS, TAXA DE AÇO APROXIMADA DE 30KG/M³. AF_01/2018</t>
  </si>
  <si>
    <t>SI00000097733</t>
  </si>
  <si>
    <t>SI00000097733 PEÇA RETANGULAR PRÉ-MOLDADA, VOLUME DE CONCRETO DE ATÉ 10 LITROS, TAXA DE AÇO APROXIMADA DE 30KG/M³. AF_01/2018</t>
  </si>
  <si>
    <t>SI00000094970</t>
  </si>
  <si>
    <t>SI00000094970 CONCRETO FCK = 20MPA, TRAÇO 1:2,7:3 (EM MASSA SECA DE CIMENTO/ AREIA MÉDIA/ BRITA 1) - PREPARO MECÂNICO COM BETONEIRA 600 L. AF_05/2021</t>
  </si>
  <si>
    <t>SI00000087316</t>
  </si>
  <si>
    <t>SI00000087316 ARGAMASSA TRAÇO 1:4 (EM VOLUME DE CIMENTO E AREIA GROSSA ÚMIDA) PARA CHAPISCO CONVENCIONAL, PREPARO MECÂNICO COM BETONEIRA 400 L. AF_08/2019</t>
  </si>
  <si>
    <t>SI00000099260</t>
  </si>
  <si>
    <t>CAIXA ENTERRADA HIDRÁULICA RETANGULAR, EM ALVENARIA COM BLOCOS DE CONCRETO, DIMENSÕES INTERNAS: 0,6X0,6X0,6 M PARA REDE DE DRENAGEM. AF_12/2020</t>
  </si>
  <si>
    <t>SI00000097735</t>
  </si>
  <si>
    <t>SI00000097735 PEÇA RETANGULAR PRÉ-MOLDADA, VOLUME DE CONCRETO DE 30 A 100 LITROS, TAXA DE AÇO APROXIMADA DE 30KG/M³. AF_01/2018</t>
  </si>
  <si>
    <t>SI00000088628</t>
  </si>
  <si>
    <t>SI00000088628 ARGAMASSA TRAÇO 1:3 (EM VOLUME DE CIMENTO E AREIA MÉDIA ÚMIDA), PREPARO MECÂNICO COM BETONEIRA 400 L. AF_08/2019</t>
  </si>
  <si>
    <t>SI00000005679</t>
  </si>
  <si>
    <t>SI00000005679 RETROESCAVADEIRA SOBRE RODAS COM CARREGADEIRA, TRAÇÃO 4X4, POTÊNCIA LÍQ. 88 HP, CAÇAMBA CARREG. CAP. MÍN. 1 M3, CAÇAMBA RETRO CAP. 0,26 M3, PESO OPERACIONAL MÍN. 6.674 KG, PROFUNDIDADE ESCAVAÇÃO MÁX. 4,37 M - CHI DIURNO. AF_06/2014</t>
  </si>
  <si>
    <t>SI00000005678</t>
  </si>
  <si>
    <t>SI00000005678 RETROESCAVADEIRA SOBRE RODAS COM CARREGADEIRA, TRAÇÃO 4X4, POTÊNCIA LÍQ. 88 HP, CAÇAMBA CARREG. CAP. MÍN. 1 M3, CAÇAMBA RETRO CAP. 0,26 M3, PESO OPERACIONAL MÍN. 6.674 KG, PROFUNDIDADE ESCAVAÇÃO MÁX. 4,37 M - CHP DIURNO. AF_06/2014</t>
  </si>
  <si>
    <t>SI00000098086</t>
  </si>
  <si>
    <t>TANQUE SÉPTICO RETANGULAR, EM ALVENARIA COM BLOCOS DE CONCRETO, DIMENSÕES INTERNAS: 1,6 X 4,8 X 2,0 M, VOLUME ÚTIL: 12288 L (PARA 86 CONTRIBUINTES). AF_12/2020</t>
  </si>
  <si>
    <t>0025067</t>
  </si>
  <si>
    <t>BLOCO DE CONCRETO ESTRUTURAL 19 X 19 X 39 CM, FBK 4,5 MPA (NBR 6136)</t>
  </si>
  <si>
    <t>0000660</t>
  </si>
  <si>
    <t>CANALETA DE CONCRETO 19 X 19 X 19 CM (CLASSE C - NBR 6136)</t>
  </si>
  <si>
    <t>SI00000101624</t>
  </si>
  <si>
    <t>SI00000101624 PREPARO DE FUNDO DE VALA COM LARGURA MAIOR OU IGUAL A 1,5 M E MENOR QUE 2,5 M, COM CAMADA DE BRITA, LANÇAMENTO MECANIZADO. AF_08/2020</t>
  </si>
  <si>
    <t>SI00000089993</t>
  </si>
  <si>
    <t>SI00000089993 GRAUTEAMENTO VERTICAL EM ALVENARIA ESTRUTURAL. AF_09/2021</t>
  </si>
  <si>
    <t>SI00000089995</t>
  </si>
  <si>
    <t>SI00000089995 GRAUTEAMENTO DE CINTA SUPERIOR OU DE VERGA EM ALVENARIA ESTRUTURAL. AF_09/2021</t>
  </si>
  <si>
    <t>SI00000089996</t>
  </si>
  <si>
    <t>SI00000089996 ARMAÇÃO VERTICAL DE ALVENARIA ESTRUTURAL; DIÂMETRO DE 10,0 MM. AF_09/2021</t>
  </si>
  <si>
    <t>SI00000089998</t>
  </si>
  <si>
    <t>SI00000089998 ARMAÇÃO DE CINTA DE ALVENARIA ESTRUTURAL; DIÂMETRO DE 10,0 MM. AF_09/2021</t>
  </si>
  <si>
    <t>SI00000092767</t>
  </si>
  <si>
    <t>SI00000092767 ARMAÇÃO DE LAJE DE ESTRUTURA CONVENCIONAL DE CONCRETO ARMADO UTILIZANDO AÇO CA-60 DE 4,2 MM - MONTAGEM. AF_06/2022</t>
  </si>
  <si>
    <t>SI00000098093</t>
  </si>
  <si>
    <t>FILTRO ANAERÓBIO RETANGULAR, EM ALVENARIA COM BLOCOS DE CONCRETO, DIMENSÕES INTERNAS: 1,6 X 5,6 X 1,67 M, VOLUME ÚTIL: 10752 L (PARA 103 CONTRIBUINTES). AF_12/2020</t>
  </si>
  <si>
    <t>0004720</t>
  </si>
  <si>
    <t>PEDRA BRITADA N. 0, OU PEDRISCO (4,8 A 9,5 MM) POSTO PEDREIRA/FORNECEDOR, SEM FRETE</t>
  </si>
  <si>
    <t>6.93</t>
  </si>
  <si>
    <t>1.28</t>
  </si>
  <si>
    <t>01.018.0001-A</t>
  </si>
  <si>
    <t>MARCACAO DE OBRA SEM INSTRUMENTO TOPOGRAFICO,CONSIDERADA A PROJECAO HORIZONTAL DA AREA ENVOLVENTE</t>
  </si>
  <si>
    <t>00349</t>
  </si>
  <si>
    <t>PINUS, EM PECAS DE 2,50X30,00CM (1"X12")</t>
  </si>
  <si>
    <t>2.2</t>
  </si>
  <si>
    <t>1.29</t>
  </si>
  <si>
    <t>1.30</t>
  </si>
  <si>
    <t>03.001.0001-B</t>
  </si>
  <si>
    <t>ESCAVACAO MANUAL DE VALA/CAVA EM MATERIAL DE 1ª CATEGORIA (A(AREIA,ARGILA OU PICARRA),ATE 1,50M DE PROFUNDIDADE,EXCLUSIVE ESCORAMENTO E ESGOTAMENTO</t>
  </si>
  <si>
    <t>03.011.0015-B</t>
  </si>
  <si>
    <t>REATERRO DE VALA/CAVA COM MATERIAL DE BOA QUALIDADE,UTILIZANDO VIBRO COMPACTADOR PORTATIL,EXCLUSIVE MATERIAL</t>
  </si>
  <si>
    <t>20111</t>
  </si>
  <si>
    <t>MAO-DE-OBRA DE OPERADOR DE MAQUINA (TRATOR, ETC.), INCLUSIVE ENCARGOS SOCIAIS DESONERADOS</t>
  </si>
  <si>
    <t>30694</t>
  </si>
  <si>
    <t>19.006.0030-E SOQUETE VIBRATORIO 78KG; 2,5CV (CI)</t>
  </si>
  <si>
    <t>30693</t>
  </si>
  <si>
    <t>19.006.0030-C SOQUETE VIBRATORIO 78KG; 2,5CV (CP)</t>
  </si>
  <si>
    <t>11.003.0020-A</t>
  </si>
  <si>
    <t>CONCRETO PARA CAMADAS PREPARATORIAS COM 180KG DE CIMENTO PORM3 DE CONCRETO,INCLUSIVE MATERIAIS,TRANSPORTE,PRODUCAO,LANCAMENTO E ADENSAMENTO</t>
  </si>
  <si>
    <t>14543</t>
  </si>
  <si>
    <t>PEDRA BRITADA 1 E 2 (MEDIA), PARA REGIAOMETROPOLITANA DO RIO DE JANEIRO</t>
  </si>
  <si>
    <t>30271</t>
  </si>
  <si>
    <t>11.002.0036-B LANCAMENTO CONC.S/ARM.1,5M3/H, HORIZ.</t>
  </si>
  <si>
    <t>30255</t>
  </si>
  <si>
    <t>11.002.0014-B PREPARO CONCR. BETON. 320L; 1,5M3/H</t>
  </si>
  <si>
    <t>2.3</t>
  </si>
  <si>
    <t>11.003.0005-B</t>
  </si>
  <si>
    <t>CONCRETO DOSADO RACIONALMENTE PARA UMA RESISTENCIA CARACTERISTICA A COMPRESSAO DE 25MPA,INCLUSIVE MATERIAIS,TRANSPORTE,PREPARO COM BETONEIRA,LANCAMENTO E ADENSAMENTO</t>
  </si>
  <si>
    <t>30260</t>
  </si>
  <si>
    <t>11.002.0023-B LANCAMENTO CONC.C/ARM.2,0M3/H,HORIZ/VERT</t>
  </si>
  <si>
    <t>30254</t>
  </si>
  <si>
    <t>11.002.0013-B PREPARO CONCR. BETON. 320L; 2,0M3/H</t>
  </si>
  <si>
    <t>1.31</t>
  </si>
  <si>
    <t>03.001.0002-B</t>
  </si>
  <si>
    <t>ESCAVACAO MANUAL DE VALA/CAVA EM MATERIAL DE 1ª CATEGORIA (AREIA,ARGILA OU PICARRA),ENTRE 1,50 E 3,00M DE PROFUNDIDADE,EXCLUSIVE ESCORAMENTO E ESGOTAMENTO</t>
  </si>
  <si>
    <t>2.4</t>
  </si>
  <si>
    <t>11.025.0009-A</t>
  </si>
  <si>
    <t>CONCRETO BOMBEADO,FCK=25MPA,COMPREENDENDO O FORNECIMENTO DECONCRETO IMPORTADO DE USINA,COLOCACAO NAS FORMAS,ESPALHAMENTO,ADENSAMENTO MECANICO E ACABAMENTO</t>
  </si>
  <si>
    <t>07330</t>
  </si>
  <si>
    <t>CONCRETO BOMBEAVEL, UTILIZANDO BRITA 1,DE 25MPA</t>
  </si>
  <si>
    <t>02523</t>
  </si>
  <si>
    <t>INSTALACAO AVULSA DE BOMBA DE CONCRETO</t>
  </si>
  <si>
    <t>30731</t>
  </si>
  <si>
    <t>19.007.0013-E VIBRADOR IMERSAO ELETR. 2CV (CI)</t>
  </si>
  <si>
    <t>30730</t>
  </si>
  <si>
    <t>19.007.0013-C VIBRADOR IMERSAO ELETR. 2CV (CP)</t>
  </si>
  <si>
    <r>
      <t xml:space="preserve">CONCRETO BOMBEADO,FCK=25MPA,COMPREENDENDO O FORNECIMENTO DECONCRETO IMPORTADO DE USINA,COLOCACAO NAS FORMAS,ESPALHAMENTO,ADENSAMENTO MECANICO E ACABAMENTO </t>
    </r>
    <r>
      <rPr>
        <b/>
        <sz val="12"/>
        <rFont val="Arial"/>
        <family val="2"/>
      </rPr>
      <t>(lajes da frente)</t>
    </r>
  </si>
  <si>
    <t>2.5</t>
  </si>
  <si>
    <t>2.6</t>
  </si>
  <si>
    <t>2.7</t>
  </si>
  <si>
    <t>2.8</t>
  </si>
  <si>
    <t>SI00000101963</t>
  </si>
  <si>
    <t>LAJE PRÉ-MOLDADA UNIDIRECIONAL, BIAPOIADA, PARA PISO, ENCHIMENTO EM CERÂMICA, VIGOTA CONVENCIONAL, ALTURA TOTAL DA LAJE (ENCHIMENTO+CAPA) = (8+4). AF_11/2020</t>
  </si>
  <si>
    <t>0040304</t>
  </si>
  <si>
    <t>PREGO DE ACO POLIDO COM CABECA DUPLA 17 X 27 (2 1/2 X 11)</t>
  </si>
  <si>
    <t>0003743</t>
  </si>
  <si>
    <t>LAJE PRE-MOLDADA CONVENCIONAL (LAJOTAS + VIGOTAS) PARA PISO, UNIDIRECIONAL, SOBRECARGA DE 200 KG/M2, VAO ATE 3,50 M (SEM COLOCACAO)</t>
  </si>
  <si>
    <t>SI00000103674</t>
  </si>
  <si>
    <t>SI00000092273</t>
  </si>
  <si>
    <t>SI00000088245</t>
  </si>
  <si>
    <t>ARMADOR COM ENCARGOS COMPLEMENTARES</t>
  </si>
  <si>
    <t>SI00000088238</t>
  </si>
  <si>
    <t>AJUDANTE DE ARMADOR COM ENCARGOS COMPLEMENTARES</t>
  </si>
  <si>
    <t>SI00000092759</t>
  </si>
  <si>
    <t>ARMAÇÃO DE PILAR OU VIGA DE ESTRUTURA CONVENCIONAL DE CONCRETO ARMADO UTILIZANDO AÇO CA-60 DE 5,0 MM - MONTAGEM. AF_06/2022</t>
  </si>
  <si>
    <t>0039017</t>
  </si>
  <si>
    <t>ESPACADOR / DISTANCIADOR CIRCULAR COM ENTRADA LATERAL, EM PLASTICO, PARA VERGALHAO *4,2 A 12,5* MM, COBRIMENTO 20 MM</t>
  </si>
  <si>
    <t>SI00000092800</t>
  </si>
  <si>
    <t>SI00000092762</t>
  </si>
  <si>
    <t>ARMAÇÃO DE PILAR OU VIGA DE ESTRUTURA CONVENCIONAL DE CONCRETO ARMADO UTILIZANDO AÇO CA-50 DE 10,0 MM - MONTAGEM. AF_06/2022</t>
  </si>
  <si>
    <t>SI00000092803</t>
  </si>
  <si>
    <t>SI00000092763</t>
  </si>
  <si>
    <t>ARMAÇÃO DE PILAR OU VIGA DE ESTRUTURA CONVENCIONAL DE CONCRETO ARMADO UTILIZANDO AÇO CA-50 DE 12,5 MM - MONTAGEM. AF_06/2022</t>
  </si>
  <si>
    <t>SI00000092804</t>
  </si>
  <si>
    <t>2.9</t>
  </si>
  <si>
    <t>2.10</t>
  </si>
  <si>
    <t>2.11</t>
  </si>
  <si>
    <t>2.12</t>
  </si>
  <si>
    <t>2.13</t>
  </si>
  <si>
    <t>2.14</t>
  </si>
  <si>
    <t>11.003.0074-A</t>
  </si>
  <si>
    <t>PREENCHIMENTO COM CONCRETO DE 25MPA EM VAZIOS DE ALVENARIA DE BLOCOS DE CONCRETO 20X20X40CM,EM PAREDES DE 20CM,MEDIDO PELA AREA REAL,EXCLUSIVE ARMACAO E A ALVENARIA</t>
  </si>
  <si>
    <t>30248</t>
  </si>
  <si>
    <t>11.001.0007-B CONCRETO FCK 25MPA</t>
  </si>
  <si>
    <t>2.15</t>
  </si>
  <si>
    <t>SI00000102719</t>
  </si>
  <si>
    <t>ENCHIMENTO DE BRITA PARA DRENO, LANÇAMENTO MANUAL. AF_07/2021</t>
  </si>
  <si>
    <t>0004718</t>
  </si>
  <si>
    <t>PEDRA BRITADA N. 2 (19 A 38 MM) POSTO PEDREIRA/FORNECEDOR, SEM FRETE</t>
  </si>
  <si>
    <t>2.16</t>
  </si>
  <si>
    <t>06.100.0020-A</t>
  </si>
  <si>
    <t>MANTA GEOTEXTIL,EM CAMADA VERTICAL FEITA COM PEDRA BRITADA.FORNECIMENTO E COLOCACAO</t>
  </si>
  <si>
    <t>13663</t>
  </si>
  <si>
    <t>MANTA GEOTEXTIL NAO TECIDO POLIESTER LARG.2,30M, RESIST.TRACAO FAIXA LARGA RUPTURA DE 21KN/M E AO PUNCION. 700N</t>
  </si>
  <si>
    <t>2.17</t>
  </si>
  <si>
    <t>2.18</t>
  </si>
  <si>
    <t>2.19</t>
  </si>
  <si>
    <t>SI00000102706</t>
  </si>
  <si>
    <t>TUBO DE PVC CORRUGADO FLEXÍVEL PERFURADO, DN 100 MM, PARA DRENO - FORNECIMENTO E ASSENTAMENTO. AF_07/2021</t>
  </si>
  <si>
    <t>0009833</t>
  </si>
  <si>
    <t>TUBO PVC, FLEXIVEL, CORRUGADO, PERFURADO, DN 110 MM, PARA DRENAGEM, SISTEMA IRRIGACAO</t>
  </si>
  <si>
    <t>SI00000102990</t>
  </si>
  <si>
    <t>CANALETA MEIA CANA PRÉ-MOLDADA DE CONCRETO (D = 30 CM) - FORNECIMENTO E INSTALAÇÃO. AF_08/2021</t>
  </si>
  <si>
    <t>0010541</t>
  </si>
  <si>
    <t>CALHA/CANALETA DE CONCRETO SIMPLES, TIPO MEIA CANA, DIAMETRO DE 30 CM, PARA AGUA PLUVIAL</t>
  </si>
  <si>
    <t>SI00000088629</t>
  </si>
  <si>
    <t>2.20</t>
  </si>
  <si>
    <t>SI00000089529</t>
  </si>
  <si>
    <t>JOELHO 90 GRAUS, PVC, SERIE R, ÁGUA PLUVIAL, DN 100 MM, JUNTA ELÁSTICA, FORNECIDO E INSTALADO EM RAMAL DE ENCAMINHAMENTO. AF_06/2022</t>
  </si>
  <si>
    <t>0020157</t>
  </si>
  <si>
    <t>JOELHO, PVC SERIE R, 90 GRAUS, DN 100 MM, PARA ESGOTO OU AGUAS PLUVIAIS PREDIAIS</t>
  </si>
  <si>
    <t>SI00000092593</t>
  </si>
  <si>
    <t>(COMPOSIÇÃO REPRESENTATIVA) FABRICAÇÃO E INSTALAÇÃO DE TESOURA INTEIRA EM AÇO, PARA VÃOS DE 3 A 12 M E PARA QUALQUER TIPO DE TELHA, INCLUSO IÇAMENTO. AF_12/2015</t>
  </si>
  <si>
    <t>0040598</t>
  </si>
  <si>
    <t>PERFIL UDC ("U" DOBRADO DE CHAPA) SIMPLES DE ACO LAMINADO, GALVANIZADO, ASTM A36, 127 X 50 MM, E= 3 MM</t>
  </si>
  <si>
    <t>0010997</t>
  </si>
  <si>
    <t>ELETRODO REVESTIDO AWS - E7018, DIAMETRO IGUAL A 4,00 MM</t>
  </si>
  <si>
    <t>0004777</t>
  </si>
  <si>
    <t>CANTONEIRA ACO ABAS IGUAIS (QUALQUER BITOLA), ESPESSURA ENTRE 1/8" E 1/4"</t>
  </si>
  <si>
    <t>2.21</t>
  </si>
  <si>
    <t>11.004.0020-B</t>
  </si>
  <si>
    <t>FORMAS DE MADEIRA DE 3ª PARA MOLDAGEM DE PECAS DE CONCRETO ARMADO COM PARAMENTOS PLANOS,EM LAJES,VIGAS,PAREDES,ETC,SERVINDO A MADEIRA 3 VEZES,INCLUSIVE DESMOLDAGEM,EXCLUSIVE ESCORAMENTO.</t>
  </si>
  <si>
    <t>31052</t>
  </si>
  <si>
    <t>54.001.0178-B PINUS EM PECAS DE 2,50X22,50M, (1"X9")</t>
  </si>
  <si>
    <t>30408</t>
  </si>
  <si>
    <t>17.025.0040-B PINTURA C/EMULSAO OLEOSA</t>
  </si>
  <si>
    <t>31067</t>
  </si>
  <si>
    <t>54.001.0172-B PINUS EM PECAS DE 7,50X11,25CM, (3"X4.1/2")</t>
  </si>
  <si>
    <t>2.22</t>
  </si>
  <si>
    <t>11.004.0069-B</t>
  </si>
  <si>
    <t>ESCORAMENTO DE FORMAS DE PARAMENTOS VERTICAIS,PARA ALTURA DE1,50 A 5,00M,COM 30% DE APROVEITAMENTO DA MADEIRA,INCLUSIVERETIRADA</t>
  </si>
  <si>
    <t>31068</t>
  </si>
  <si>
    <t>54.001.0174-B PINUS EM PECAS DE 7,50 X 15,00CM (3"X6")</t>
  </si>
  <si>
    <t>.</t>
  </si>
  <si>
    <t>02.020.0003-A</t>
  </si>
  <si>
    <t>PLACA DE IDENTIFICACAO DE OBRA PUBLICA,TIPO BANNER/PLOTTER,CONSTITUIDA POR LONA E IMPRESSAO DIGITAL,EXCLUSIVE SUPORTE DEMADEIRA.FORNECIMENTO E COLOCACAO</t>
  </si>
  <si>
    <t>MURO DE CONTENÇÃO</t>
  </si>
  <si>
    <t>17.035.0030-A</t>
  </si>
  <si>
    <t>REMOCAO DE PINTURA A OLEO,ESMALTE ALQUIDICA E VERNIZES</t>
  </si>
  <si>
    <t>00155</t>
  </si>
  <si>
    <t>REMOVEDOR DE TINTAS E VERNIZES DE ASPECTO SEMIGELATINOSO, EM LATAS DE 5 LITROS</t>
  </si>
  <si>
    <t>1.32</t>
  </si>
  <si>
    <r>
      <t xml:space="preserve">ARRANCAMENTO DE TUBULACAO DE FERRO GALVANIZADO,SEM ESCAVACAOOU RASGO EM ALVENARIA </t>
    </r>
    <r>
      <rPr>
        <b/>
        <sz val="12"/>
        <rFont val="Arial"/>
        <family val="2"/>
      </rPr>
      <t>(CORRIMÃO DA ESCADA Ø11/2")</t>
    </r>
  </si>
  <si>
    <t>13.380.0101-A</t>
  </si>
  <si>
    <t>RECOMPOSICAO DE PISO DE MARMORITE,CONSIDERANDO 1CM DE ESPESSURA DE CAMADA DE MARMORITE E LASTRO DE ARGAMSSA  COM 4CM DEESPESSURA,EXCLUSIVE POLIMENTO E LASTRO DE ARGAMASSA(VIDE FAMILIA 13.301)</t>
  </si>
  <si>
    <t>13.030.0291-5</t>
  </si>
  <si>
    <t>13.045.0045-6</t>
  </si>
  <si>
    <t>13.045.0045-5</t>
  </si>
  <si>
    <r>
      <t xml:space="preserve">PEITORIL EM GRANITO CINZA ANDORINHA,ESPESSURA DE 2CM,LARGURADE </t>
    </r>
    <r>
      <rPr>
        <b/>
        <sz val="16"/>
        <rFont val="Arial"/>
        <family val="2"/>
      </rPr>
      <t>35CM</t>
    </r>
    <r>
      <rPr>
        <sz val="12"/>
        <rFont val="Arial"/>
        <family val="2"/>
      </rPr>
      <t>,EXCLUSIVE NATA DE CIMENTO,ARGAMASSA E REJUNTAMENTO</t>
    </r>
  </si>
  <si>
    <t>SI00000086910 ALTERADO</t>
  </si>
  <si>
    <t>SI00000086913 ALTERADO</t>
  </si>
  <si>
    <t>MERCADO</t>
  </si>
  <si>
    <t>unid</t>
  </si>
  <si>
    <t>PREÇO</t>
  </si>
  <si>
    <t>PREÇO MEDIANO=</t>
  </si>
  <si>
    <t>4.22</t>
  </si>
  <si>
    <t>4.23</t>
  </si>
  <si>
    <t>4.24</t>
  </si>
  <si>
    <t>Data-Base:   EMOP -  RJ / SINAPI e SCO-RJ- Desonerado - Base JUL-2022</t>
  </si>
  <si>
    <t>MARTELETE OU ROMPEDOR PNEUMÁTICO MANUAL, 28 KG, COM SILENCIADOR - CHI DIURNO. AF_07/2016</t>
  </si>
  <si>
    <t>MARTELETE OU ROMPEDOR PNEUMÁTICO MANUAL, 28 KG, COM SILENCIADOR - CHP DIURNO. AF_07/2016</t>
  </si>
  <si>
    <t>CONCRETAGEM DE VIGAS E LAJES, FCK=25 MPA, PARA LAJES PREMOLDADAS COM USO DE BOMBA - LANÇAMENTO, ADENSAMENTO E ACABAMENTO. AF_02/2022</t>
  </si>
  <si>
    <t>ARMAÇÃO DE LAJE DE ESTRUTURA CONVENCIONAL DE CONCRETO ARMADO UTILIZANDO AÇO CA-60 DE 4,2 MM - MONTAGEM. AF_06/2022</t>
  </si>
  <si>
    <t>FABRICAÇÃO DE ESCORAS DO TIPO PONTALETE, EM MADEIRA, PARA PÉ-DIREITO SIMPLES. AF_09/2020</t>
  </si>
  <si>
    <t>CORTE E DOBRA DE AÇO CA-60, DIÂMETRO DE 5,0 MM. AF_06/2022</t>
  </si>
  <si>
    <t>CORTE E DOBRA DE AÇO CA-50, DIÂMETRO DE 10,0 MM. AF_06/2022</t>
  </si>
  <si>
    <t>CORTE E DOBRA DE AÇO CA-50, DIÂMETRO DE 12,5 MM. AF_06/2022</t>
  </si>
  <si>
    <t>ARGAMASSA TRAÇO 1:3 (EM VOLUME DE CIMENTO E AREIA MÉDIA ÚMIDA), PREPARO MANUAL. AF_08/2019</t>
  </si>
  <si>
    <t>ARGAMASSA TRAÇO 1:4 (EM VOLUME DE CIMENTO E AREIA MÉDIA ÚMIDA) PARA CONTRAPISO, PREPARO MECÂNICO COM BETONEIRA 400 L. AF_08/2019</t>
  </si>
  <si>
    <t>13.348.0056-a</t>
  </si>
  <si>
    <t>CUBA DE EMBUTIR OVAL EM LOUÇA BRANCA, 35 X 50CM OU EQUIVALENTE - FORNECIMENTO E INSTALAÇÃO. AF_01/2020</t>
  </si>
  <si>
    <t>VASO SANITARIO SIFONADO CONVENCIONAL PARA PCD SEM FURO FRONTAL COM  LOUÇA BRANCA SEM ASSENTO -  FORNECIMENTO E INSTALAÇÃO. AF_01/2020</t>
  </si>
  <si>
    <t>TANQUE SÉPTICO RETANGULAR, EM ALVENARIA COM BLOCOS DE CONCRETO, DIMENSÕES INTERNAS: 1,6 X 4,8 X H=2,0 M, VOLUME ÚTIL: 12288 L (PARA 86 CONTRIBUINTES). AF_12/2020</t>
  </si>
  <si>
    <t>FILTRO ANAERÓBIO RETANGULAR, EM ALVENARIA COM BLOCOS DE CONCRETO, DIMENSÕES INTERNAS: 1,6 X 5,6 X H=1,67 M, VOLUME ÚTIL: 10752 L (PARA 103 CONTRIBUINTES). AF_12/2020</t>
  </si>
  <si>
    <t>INTERRUPTOR SIMPLES (1 MÓDULO) COM 1 TOMADA DE EMBUTIR 2P+T 10 A,  SEM SUPORTE E SEM PLACA - FORNECIMENTO E INSTALAÇÃO. AF_12/2015</t>
  </si>
  <si>
    <t>SUPORTE PARAFUSADO COM PLACA DE ENCAIXE 4" X 2" MÉDIO (1,30 M DO PISO) PARA PONTO ELÉTRICO - FORNECIMENTO E INSTALAÇÃO. AF_12/2015</t>
  </si>
  <si>
    <t>INTERRUPTOR SIMPLES (1 MÓDULO), 10A/250V, SEM SUPORTE E SEM PLACA - FORNECIMENTO E INSTALAÇÃO. AF_12/2015</t>
  </si>
  <si>
    <t>INTERRUPTOR SIMPLES (2 MÓDULOS), 10A/250V, SEM SUPORTE E SEM PLACA - FORNECIMENTO E INSTALAÇÃO. AF_12/2015</t>
  </si>
  <si>
    <t>INTERRUPTOR SIMPLES (3 MÓDULOS), 10A/250V, SEM SUPORTE E SEM PLACA - FORNECIMENTO E INSTALAÇÃO. AF_12/2015</t>
  </si>
  <si>
    <t>INTERRUPTOR INTERMEDIÁRIO (1 MÓDULO), 10A/250V, SEM SUPORTE E SEM PLACA - FORNECIMENTO E INSTALAÇÃO. AF_09/2017</t>
  </si>
  <si>
    <t>TOMADA BAIXA DE EMBUTIR (1 MÓDULO), 2P+T 10 A, SEM SUPORTE E SEM PLACA - FORNECIMENTO E INSTALAÇÃO. AF_12/2015</t>
  </si>
  <si>
    <t>TOMADA BAIXA DE EMBUTIR (1 MÓDULO), 2P+T 20 A, SEM SUPORTE E SEM PLACA - FORNECIMENTO E INSTALAÇÃO. AF_12/2015</t>
  </si>
  <si>
    <t>TOMADA ALTA DE EMBUTIR (1 MÓDULO), 2P+T 20 A, SEM SUPORTE E SEM PLACA - FORNECIMENTO E INSTALAÇÃO. AF_12/2015</t>
  </si>
  <si>
    <t>CAIXA POLIMERICA P/MED.DIRETA MONO(CM1)EM POLICARBONATO C/TAMPA TRANSP.P/ENTR.ENERGIA INDIV.,PADRAO CONC.ENERG.ELET.</t>
  </si>
  <si>
    <t>GUINDASTE HIDRÁULICO AUTOPROPELIDO, COM LANÇA TELESCÓPICA 40 M, CAPACIDADE MÁXIMA 60 T, POTÊNCIA 260 KW - CHI DIURNO. AF_03/2016</t>
  </si>
  <si>
    <t>GUINDASTE HIDRÁULICO AUTOPROPELIDO, COM LANÇA TELESCÓPICA 40 M, CAPACIDADE MÁXIMA 60 T, POTÊNCIA 260 KW - CHP DIURNO. AF_03/2016</t>
  </si>
  <si>
    <t>C L Vidraçaria e Construções</t>
  </si>
  <si>
    <t>Cosiba Serviços Industriais</t>
  </si>
  <si>
    <t>J M Vidros temperados</t>
  </si>
  <si>
    <t>Veicol Vidraçaria</t>
  </si>
  <si>
    <t>Wander Box</t>
  </si>
  <si>
    <r>
      <rPr>
        <sz val="12"/>
        <rFont val="Arial MT"/>
        <family val="2"/>
      </rPr>
      <t>Porta de correr 4 folhas (2 Fixas e 2 Móveis) com básculas na parte superior,  em  Vidro   Temperado  Incolor  10mm  +  Kit  Branco  + Fechadura, medindo: 3400 x 2500mm.</t>
    </r>
  </si>
  <si>
    <t>Porta de correr 4 folhas (2 Fixas e 2 Móveis) com básculas na parte superior,  em  Vidro   Temperado  Incolor  10mm  +  Kit  Branco  + Fechadura, medindo: 3400 x 2500mm.</t>
  </si>
  <si>
    <t>Janela  de  correr  4  folhas  (2  Fixas  e  2  Móveis)  com  básculas  na parte  superior,  em  Vidro  Temperado  Incolor  8mm  +  Kit  Branco  + Bate Fecha, medindo: 2000 x 1300mm.</t>
  </si>
  <si>
    <t>Janela  de  correr  4  folhas  (2  Fixas  e  2  Móveis)  com  básculas  na parte  superior,  em  Vidro  Temperado  Incolor  8mm  +  Kit  Branco  + Bate Fecha, medindo: 2500 x 1300mm.</t>
  </si>
  <si>
    <t>Janela  de  correr  4  folhas  (2  Fixas  e  2  Móveis)  com  básculas  na parte  superior,  em  Vidro  Temperado  Incolor  8mm  +  Kit  Branco  + Bate Fecha, medindo: 2500 x 1400mm.</t>
  </si>
  <si>
    <t>Janela  de  correr  4  folhas  (2  Fixas  e  2  Móveis)  com  básculas  na parte  superior,  em  Vidro  Temperado  Incolor  8mm  +  Kit  Branco  + Bate Fecha, medindo: 3000 x 1300mm.</t>
  </si>
  <si>
    <t>120 DIAS</t>
  </si>
  <si>
    <t>150 DIAS</t>
  </si>
  <si>
    <t>180 DIAS</t>
  </si>
  <si>
    <t>210 DIAS</t>
  </si>
  <si>
    <t>240 DIAS</t>
  </si>
  <si>
    <t>270 DIAS</t>
  </si>
  <si>
    <r>
      <t>DEMOLIÇÃO DE FORMA MECANIZADA COM MARTELETE, SEM REAPROVEITAMENTO. AF_12/2017</t>
    </r>
    <r>
      <rPr>
        <b/>
        <sz val="12"/>
        <rFont val="Arial"/>
        <family val="2"/>
      </rPr>
      <t xml:space="preserve"> ( PISO EM CONCRETO CALÇADAS)</t>
    </r>
  </si>
  <si>
    <r>
      <t>CONCRETO PARA CAMADAS PREPARATORIAS COM 180KG DE CIMENTO PORM3 DE CONCRETO,INCLUSIVE MATERIAIS,TRANSPORTE,PRODUCAO,LANCAMENTO E ADENSAMENTO</t>
    </r>
    <r>
      <rPr>
        <b/>
        <sz val="12"/>
        <rFont val="Arial"/>
        <family val="2"/>
      </rPr>
      <t xml:space="preserve"> (MAGRO)</t>
    </r>
  </si>
  <si>
    <r>
      <t>PINTURA INTERNA OU EXTERNA COM TINTA IMPERMEAVEL EM CORES PARA APLICACAO SOBRE CONCRETO,TIJOLOS,PEDRAS OU ARGAMASSA DE SUPERFICIE POROSA,EM DUAS DEMAOS,USANDO AGUA COMO DILUENTE</t>
    </r>
    <r>
      <rPr>
        <b/>
        <sz val="12"/>
        <rFont val="Arial"/>
        <family val="2"/>
      </rPr>
      <t xml:space="preserve"> (muro de contenção, laje depósito de gáz e laje do lixo)</t>
    </r>
  </si>
  <si>
    <t>SI00000087301 ARGAMASSA TRAÇO 1:4 (EM VOLUME DE CIMENTO E AREIA MÉDIA ÚMIDA) PARA CONTRAPISO, PREPARO MECÂNICO COM BETONEIRA 400 L. AF_08/2019</t>
  </si>
  <si>
    <t>SI00000087680 alterado</t>
  </si>
  <si>
    <r>
      <t xml:space="preserve">REVESTIMENTO DE PAREDES COM LADRILHOS CERAMICOS COM MEDIDASEM TORNO DE (10X10)CM,EM PLACA TELADA NO FORMATO EM TORNO DE(30X30)CM,NAS </t>
    </r>
    <r>
      <rPr>
        <b/>
        <sz val="12"/>
        <rFont val="Arial"/>
        <family val="2"/>
      </rPr>
      <t>CORES CONFORME PROJETO,</t>
    </r>
    <r>
      <rPr>
        <sz val="12"/>
        <rFont val="Arial"/>
        <family val="2"/>
      </rPr>
      <t>CONFORME ABNT NBR 16928,ASSENTE COM ARGAMASSA COLANTE,REJUNTAMENTO COM ARGAMASSA INDUSTRIALIZADA,EXCLUSIVE CHAPISCOE EMBOCO</t>
    </r>
  </si>
  <si>
    <r>
      <t xml:space="preserve">REVESTIMENTO CERÂMICO PARA PAREDES EXTERNAS EM PASTILHAS DE PORCELANA 5 X 5 CM (PLACAS DE 30 X 30 CM), ALINHADAS A PRUMO, APLICADO EM PANOS COM VÃOS. AF_06/2014 </t>
    </r>
    <r>
      <rPr>
        <b/>
        <sz val="12"/>
        <rFont val="Arial"/>
        <family val="2"/>
      </rPr>
      <t>CORES CONFORME PROJETO</t>
    </r>
  </si>
  <si>
    <r>
      <t>SOLEIRA EM GRANITO CINZA ANDORINHA,ESPESSURA DE 3CM,COM 2 POLIMENTOS,LARGURA DE 15CM,ASSENTADO COM ARGAMASSA DE CIMENTO,SAIBRO E AREIA, NO TRACO 1:2:2, E REJUNTAMENTO COM CIMENTOBRANCO E CORANTE,</t>
    </r>
    <r>
      <rPr>
        <b/>
        <sz val="12"/>
        <rFont val="Arial"/>
        <family val="2"/>
      </rPr>
      <t xml:space="preserve"> inclusive quebra de quina na proporção 1/2 conforme detalhe em projeto</t>
    </r>
  </si>
  <si>
    <t>3.28</t>
  </si>
  <si>
    <t>13.348.0051-A</t>
  </si>
  <si>
    <t>PEITORIL EM GRANITO CINZA ANDORINHA,ESPESSURA DE 2CM,LARGURA15 A 18CM,EXCLUSIVE NATA DE CIMENTO, ARGAMASSA E REJUNTAMENTO</t>
  </si>
  <si>
    <t>11200</t>
  </si>
  <si>
    <t>PEITORIL GRANITO CINZA ANDORINHA, 18X2CM</t>
  </si>
  <si>
    <r>
      <t xml:space="preserve">PEITORIL EM GRANITO CINZA ANDORINHA,ESPESSURA DE 2CM,LARGURA </t>
    </r>
    <r>
      <rPr>
        <b/>
        <sz val="12"/>
        <rFont val="Arial"/>
        <family val="2"/>
      </rPr>
      <t>18CM</t>
    </r>
    <r>
      <rPr>
        <sz val="12"/>
        <rFont val="Arial"/>
        <family val="2"/>
      </rPr>
      <t>,EXCLUSIVE NATA DE CIMENTO, ARGAMASSA E REJUNTAMENTO</t>
    </r>
  </si>
  <si>
    <r>
      <t xml:space="preserve">PEITORIL EM GRANITO CINZA ANDORINHA,ESPESSURA DE 2CM,LARGURADE </t>
    </r>
    <r>
      <rPr>
        <b/>
        <sz val="12"/>
        <rFont val="Arial"/>
        <family val="2"/>
      </rPr>
      <t>28CM</t>
    </r>
    <r>
      <rPr>
        <sz val="12"/>
        <rFont val="Arial"/>
        <family val="2"/>
      </rPr>
      <t>,EXCLUSIVE NATA DE CIMENTO,ARGAMASSA E REJUNTAMENTO</t>
    </r>
  </si>
  <si>
    <t>13.416.0010-A</t>
  </si>
  <si>
    <t>PISO TATIL DE BORRACHA,DIRECIONAL,PARA PESSOAS COM NECESSIDADES ESPECIFICAS,25X25CM,ESPESSURA DE 5MM,NA COR PRETA,COLADOSOBRE BASE EXISTENTE.FORNECIMENTO E COLOCACAO</t>
  </si>
  <si>
    <t>11196</t>
  </si>
  <si>
    <t>PISO TATIL BORRACHA DIRECIONAL, 25X25CM,ESP.5MM, NA COR PRETA, PARA PESSOAS COMNECESSIDADES ESPECIAIS</t>
  </si>
  <si>
    <t>00135</t>
  </si>
  <si>
    <t>COLA PARA PISOS DE BORRACHA</t>
  </si>
  <si>
    <t>13.416.0015-A</t>
  </si>
  <si>
    <t>PISO TATIL DE BORRACHA,ALERTA,PARA PESSOAS COM NECESSIDADESESPECIFICAS,25X25CM, ESPESSURA DE 5MM, NA COR PRETA, COLADOSOBRE BASE EXISTENTE.FORNECIMENTO E COLOCACAO</t>
  </si>
  <si>
    <t>11197</t>
  </si>
  <si>
    <t>PISO TATIL BORRACHA ALERTA, 25X25CM, ESPESSURA DE 5MM, NA COR PRETA, PARA PESSOAS COM NECESSIDADES ESPECIAIS</t>
  </si>
  <si>
    <r>
      <t xml:space="preserve">PORTA DE MADEIRA DE LEI EM COMPENSADO DE 80X210X3,5CM FOLHEADA NAS 2 FACES,ADUELA </t>
    </r>
    <r>
      <rPr>
        <b/>
        <sz val="16"/>
        <rFont val="Arial"/>
        <family val="2"/>
      </rPr>
      <t xml:space="preserve">DE 25X3CM </t>
    </r>
    <r>
      <rPr>
        <sz val="12"/>
        <rFont val="Arial"/>
        <family val="2"/>
      </rPr>
      <t>E ALIZARES DE 5X2CM,EXCLUSIVE FERRAGENS.FORNECIMENTO E COLOCACAO</t>
    </r>
  </si>
  <si>
    <r>
      <t xml:space="preserve">PORTA DE MADEIRA DE LEI EM COMPENSADO DE 80X210X3,5CM FOLHEADA NAS 2 FACES,ADUELA DE </t>
    </r>
    <r>
      <rPr>
        <b/>
        <sz val="16"/>
        <rFont val="Arial"/>
        <family val="2"/>
      </rPr>
      <t>15X3CM</t>
    </r>
    <r>
      <rPr>
        <sz val="12"/>
        <rFont val="Arial"/>
        <family val="2"/>
      </rPr>
      <t xml:space="preserve"> E ALIZARES DE 5X2CM,EXCLUSIVE FERRAGENS.FORNECIMENTO E COLOCACAO</t>
    </r>
  </si>
  <si>
    <t>14.007.0057-A</t>
  </si>
  <si>
    <t>FERRAGENS P/PORTA MADEIRA,1 FOLHA DE ABRIR,INTERNA,CONSTANDODE FORNEC.S/COLOC.,DE:-FECHADURA SIMPLES,RETANGULAR ACABAM.CROMADO ACETINADO;-MACANETA TIPO ALAVANCA,ACABAMENTO CROMADOACETINADO;-ROSETA CIRCULAR EM LATAO LAMINADO ACABAMENTO CROMADO ACETINADO;-3 DOBRADICAS DE FERRO GALVANIZ.DE 3"X2.1/2",COM PINO E BOLAS DE LATAO</t>
  </si>
  <si>
    <t>13755</t>
  </si>
  <si>
    <t>DOBRADICA 3"X2.1/2" EM FERRO GALVANIZADO, COM PINOS E BOLAS DE LATAO</t>
  </si>
  <si>
    <t>13754</t>
  </si>
  <si>
    <t>FECHADURA SIMPLES, RETANGULAR, MACANETATIPO ALAVANCA, ROSETA CIRCULAR EM LATAOLAMINADO, ACABAMENTO CROMADO ACETINADO</t>
  </si>
  <si>
    <t>0007568</t>
  </si>
  <si>
    <t>4.25</t>
  </si>
  <si>
    <t>SI00000088315</t>
  </si>
  <si>
    <t>SI00000088251</t>
  </si>
  <si>
    <t>14.002.0187-A</t>
  </si>
  <si>
    <t>GRADIL DE FERRO,ALTURA DE 1,20M,EM BARRAS VERTICAIS QUADRADAS DE 5/8" E ESPACADAS DE 12,50CM, SOLDADAS EM DUAS BARRAS,SUPERIOR E INFERIOR DE 1.1/2"X1/4",MONTANTES A CADA 1,50M EM BARRAS DE 1.1/2"X3/8",INCLUSIVE PINTURA.FORNECIMENTO E COLOCACAO</t>
  </si>
  <si>
    <t>11277</t>
  </si>
  <si>
    <t>BARRA QUADRADA DE ACO, DE 5/8"</t>
  </si>
  <si>
    <t>11276</t>
  </si>
  <si>
    <t>BARRA CHATA DE ACO, DE 1.1/2"X1/4"</t>
  </si>
  <si>
    <t>10910</t>
  </si>
  <si>
    <t>BARRA CHATA DE ACO 1.1/2"X3/8"</t>
  </si>
  <si>
    <t>30201</t>
  </si>
  <si>
    <t>07.170.0010-B ARGAMASSA CIM., AREIA TRACO 1:3 C/RESINA</t>
  </si>
  <si>
    <t>14.002.0187-6</t>
  </si>
  <si>
    <t>17.017.0320-A-B PINTURA INTERNA OU EXTERNA SOBRE FERRO,COM ESMALTE SINTETICOBRILHANTE OU ACETINADO APOS LIXAMENTO,LIMPEZA,DESENGORDURAMENTO,UMA DEMAO DE FUNDO ANTICORROSIVO NA COR LARANJA DE SECAGEM RAPIDA E DUAS DEMAOS DE ACABAMENTO</t>
  </si>
  <si>
    <r>
      <t>INSTALAÇÃO DE</t>
    </r>
    <r>
      <rPr>
        <b/>
        <sz val="12"/>
        <rFont val="Arial"/>
        <family val="2"/>
      </rPr>
      <t xml:space="preserve"> VIDRO MINI BOREAL</t>
    </r>
    <r>
      <rPr>
        <sz val="12"/>
        <rFont val="Arial"/>
        <family val="2"/>
      </rPr>
      <t>, E = 4 MM, EM ESQUADRIA DE ALUMÍNIO OU PVC, FIXADO COM BAGUETE. AF_01/2021_P</t>
    </r>
  </si>
  <si>
    <t>14.003.0071-A</t>
  </si>
  <si>
    <t>JANELA BASCULANTE DE ALUMINIO ANODIZADO EM BRONZE OU PRETO,COM 1 ORDEM E BASCULA INFERIOR FIXA, EM PERFIS SERIE 28. FORNECIMENTO E COLOCACAO</t>
  </si>
  <si>
    <t>4.26</t>
  </si>
  <si>
    <t>4.27</t>
  </si>
  <si>
    <t>SI00000100852</t>
  </si>
  <si>
    <t>CUBA DE EMBUTIR RETANGULAR DE AÇO INOXIDÁVEL, 56 X 33 X 12 CM - FORNECIMENTO E INSTALAÇÃO. AF_01/2020</t>
  </si>
  <si>
    <t>0004823</t>
  </si>
  <si>
    <t>MASSA PLASTICA PARA MARMORE/GRANITO</t>
  </si>
  <si>
    <t>CUBA ACO INOX (AISI 304) DE EMBUTIR COM VALVULA DE 3 1/2 ", DE *56 X 33 X 12* CM</t>
  </si>
  <si>
    <t>SI00000088274</t>
  </si>
  <si>
    <t>MARMORISTA/GRANITEIRO COM ENCARGOS COMPLEMENTARES</t>
  </si>
  <si>
    <t>SI00000086936</t>
  </si>
  <si>
    <t>CUBA DE EMBUTIR DE AÇO INOXIDÁVEL MÉDIA, INCLUSO VÁLVULA TIPO AMERICANA E SIFÃO TIPO GARRAFA EM METAL CROMADO - FORNECIMENTO E INSTALAÇÃO. AF_01/2020</t>
  </si>
  <si>
    <t>SI00000086900</t>
  </si>
  <si>
    <t>SI00000086900 CUBA DE EMBUTIR RETANGULAR DE AÇO INOXIDÁVEL, 46 X 30 X 12 CM - FORNECIMENTO E INSTALAÇÃO. AF_01/2020</t>
  </si>
  <si>
    <t>SI00000086881 SIFÃO DO TIPO GARRAFA EM METAL CROMADO 1 X 1.1/2 - FORNECIMENTO E INSTALAÇÃO. AF_01/2020</t>
  </si>
  <si>
    <t>SI00000086878 VÁLVULA EM METAL CROMADO TIPO AMERICANA 3.1/2 X 1.1/2 PARA PIA - FORNECIMENTO E INSTALAÇÃO. AF_01/2020</t>
  </si>
  <si>
    <t>mercado</t>
  </si>
  <si>
    <t>CUBA DE EMBUTIR RETANGULAR DE AÇO INOXIDÁVEL, 60 X 50X 33CM - FORNECIMENTO E INSTALAÇÃO. AF_01/2020</t>
  </si>
  <si>
    <t>SI00000086936 alterado</t>
  </si>
  <si>
    <t>4.28</t>
  </si>
  <si>
    <t>4.29</t>
  </si>
  <si>
    <t>4.30</t>
  </si>
  <si>
    <t>0034360</t>
  </si>
  <si>
    <t>PERFIL DE ALUMINIO ANODIZADO</t>
  </si>
  <si>
    <t>4.31</t>
  </si>
  <si>
    <t>Janela   com parte inferior fixa e parte superior com  básculas ,  em  Vidro  Temperado  Incolor  8mm  +  Kit  Branco  + Bate Fecha, medindo: 2000 x 1300mm.</t>
  </si>
  <si>
    <r>
      <t>Janela   com parte inferior fixa e parte superior com  básculas ,  em  Vidro  Temperado  Incolor  8mm  +  Kit  Branco  + Bate Fecha, medindo: 2000 x 1300mm.</t>
    </r>
    <r>
      <rPr>
        <b/>
        <sz val="12"/>
        <rFont val="Arial"/>
        <family val="2"/>
      </rPr>
      <t xml:space="preserve"> (refeitório)</t>
    </r>
  </si>
  <si>
    <t>14.003.0148-5</t>
  </si>
  <si>
    <r>
      <t>JANELA DE ALUMINIO ANODIZADO AO NATURAL,TIPO MAXIM-AR,</t>
    </r>
    <r>
      <rPr>
        <b/>
        <sz val="12"/>
        <rFont val="Arial"/>
        <family val="2"/>
      </rPr>
      <t>COM 1PAINEL DESLIZANTE</t>
    </r>
    <r>
      <rPr>
        <sz val="12"/>
        <rFont val="Arial"/>
        <family val="2"/>
      </rPr>
      <t xml:space="preserve"> PROJETANTE,PROVIDA DE HASTE DE COMANDO,EMPERFIS SERIE 28.FORNECIMENTO E COLOCACAO EM CONTRAMARCOS.</t>
    </r>
  </si>
  <si>
    <r>
      <t>JANELA DE ALUMINIO ANODIZADO AO NATURAL,TIPO MAXIM-AR,</t>
    </r>
    <r>
      <rPr>
        <b/>
        <sz val="12"/>
        <rFont val="Arial"/>
        <family val="2"/>
      </rPr>
      <t>COM 2 PAINÉIS  DESLIZANTES</t>
    </r>
    <r>
      <rPr>
        <sz val="12"/>
        <rFont val="Arial"/>
        <family val="2"/>
      </rPr>
      <t xml:space="preserve"> PROJETANTE,PROVIDA DE HASTE DE COMANDO,EMPERFIS SERIE 28.FORNECIMENTO E COLOCACAO EM CONTRAMARCOS.</t>
    </r>
  </si>
  <si>
    <t>PAREDE DIVISORIA PARA SANITARIO EM GRANITO CINZA ANDORINHA,COM 2,5CM DE ESPESSURA,POLIDA NAS DUAS FACES,FIXACAO PISO OU PAREDE,EXCLUSIVE FERRAGENS PARA FIXACAO.FORNECIMENTO E COLOCACAO</t>
  </si>
  <si>
    <t xml:space="preserve">FERRAGENS PARA DIVISORIAS DE MARMORE OU MARMORITE,DE SANITARIOS,CONSTANDO DE FORNECIMENTO SEM COLOCACAO(ESTA INCLUIDA NOFORNECIMENTO E COLOCACAO DA DIVISORIA),DE:-4 CANTONEIRAS DEALUMINIO PARA FIXACAO DA PLACA;-12 PARAFUSOS ATARRACHANTES DE ALUMINIO DE3/4"X5/16" </t>
  </si>
  <si>
    <t>SI00000099857</t>
  </si>
  <si>
    <t>CORRIMÃO SIMPLES, DIÂMETRO EXTERNO = 1 1/2", EM ALUMÍNIO. AF_04/2019_P</t>
  </si>
  <si>
    <t>0011033</t>
  </si>
  <si>
    <t>ADUELA EM MADEIRA DE LEI, DE (15X3)CM, GRUPO V</t>
  </si>
  <si>
    <t>ADUELA EM MADEIRA DE LEI, DE (25X3)CM, GRUPO V</t>
  </si>
  <si>
    <t>0039961</t>
  </si>
  <si>
    <t>SILICONE ACETICO USO GERAL INCOLOR 280 G</t>
  </si>
  <si>
    <t>0039026</t>
  </si>
  <si>
    <t>PREGO DE ACO POLIDO SEM CABECA 15 X 15 (1 1/4 X 13)</t>
  </si>
  <si>
    <t>PORTA DE MADEIRA DE LEI EM COMPENSADO DE 80X210X3,5CM FOLHEADA NAS 2 FACES,ADUELA DE 25X3CM E ALIZARES DE 5X2CM,EXCLUSIVE FERRAGENS.FORNECIMENTO E COLOCACAO,  INCLUSIVE VISOR COM VIDRO LISO 4MM COM MEDIDAS DE  30X40CM</t>
  </si>
  <si>
    <t>SI00000102152</t>
  </si>
  <si>
    <t>INSTALAÇÃO DE VIDRO LISO, E = 4 MM, EM ESQUADRIA DE MADEIRA, FIXADO COM BAGUETE. AF_01/2021</t>
  </si>
  <si>
    <t>14.006.0010-6     + SINAPI 102152 alterado</t>
  </si>
  <si>
    <t>PORTA DE MADEIRA DE LEI EM COMPENSADO DE 80X210X3,5CM FOLHEADA NAS 2 FACES,ADUELA DE 15X3CM E ALIZARES DE 5X2CM,EXCLUSIVE FERRAGENS.FORNECIMENTO E COLOCACAO,  INCLUSIVE VISOR COM VIDRO LISO 4MM COM MEDIDAS DE  30X40CM</t>
  </si>
  <si>
    <t>14.007.0266-A</t>
  </si>
  <si>
    <t>FERRAGENS PARA PORTAS DE ABRIR,DE FERRO OU ALUMINIO,CONSTANDO DE FORNECIMENTO DAS PECAS:-FECHADURA DE CILINDRO OVALADO PARA MONTANTES ESTREITOS,EM LATAO,ACABAMENTO CROMADO;-ESPELHORETANGULAR,EM LATAO,ACABAMENTO CROMADO OU ROSETA CIRCULAR EM LATAO,ACABAMENTO CROMADO;-MACANETA TIPO ALAVANCA,EM LATAO,ZAMAK OU ACO ZINCADO,ACABAMENTO CROMADO,EXCLUSIVE DOBRADICA</t>
  </si>
  <si>
    <t>02918</t>
  </si>
  <si>
    <t>FECHADURA DE CILINDRO OVALADO PARA MONTANTES ESTREITOS, EM LATAO, ACABAMENTO CROMADO</t>
  </si>
  <si>
    <t>14.007.0288-A</t>
  </si>
  <si>
    <t>DOBRADICA 3"X3",DE FERRO GALVANIZADO,COM PINO DE FERRO E BOLAS DE LATAO.FORNECIMENTO</t>
  </si>
  <si>
    <t>05502</t>
  </si>
  <si>
    <t>DOBRADICA EM FERRO GALVANIZADO, COM PINOE BOLAS DE LATAO, DE 3"X3"</t>
  </si>
  <si>
    <t>FERRAGENS PARA PORTAS DE ABRIR,DE FERRO OU ALUMINIO,CONSTANDO DE FORNECIMENTO DAS PECAS:-FECHADURA DE CILINDRO OVALADO PARA MONTANTES ESTREITOS,EM LATAO,ACABAMENTO CROMADO;-ESPELHORETANGULAR,EM LATAO,ACABAMENTO CROMADO OU ROSETA CIRCULAR EM LATAO,ACABAMENTO CROMADO;-MACANETA TIPO ALAVANCA,EM LATAO,ZAMAK OU ACO ZINCADO,ACABAMENTO CROMADO,inclusive 3 DOBRADICAS 3"X3",DE FERRO GALVANIZADO,COM PINO DE FERRO E BOLAS DE LATAO.</t>
  </si>
  <si>
    <t xml:space="preserve">14.007.0266-5 + 14.007.0288-5 </t>
  </si>
  <si>
    <t>11246</t>
  </si>
  <si>
    <t>FECHADURA EM FERRO CROMADO, DE SOBREPOR,COM CILINDRO, PARA PORTAO</t>
  </si>
  <si>
    <t>14.002.0070-6</t>
  </si>
  <si>
    <t>4.32</t>
  </si>
  <si>
    <t>5.20</t>
  </si>
  <si>
    <r>
      <t>BANCA DE GRANITO CINZA ANDORINHA, EM "L"COM 2CM DE ESPESSURA,COM ABERTURA PARA 2 CUBAS (EXCLUSIVE ESTAS), COM BORDAS ELEVADAS, SOBRE APOIOS DE ALVENARIA DE MEIA VEZ E VERGA DE CONCRETO,SEM REVESTIMENTO.FORNECIMENTO E COLOCACAO</t>
    </r>
    <r>
      <rPr>
        <b/>
        <sz val="12"/>
        <rFont val="Arial"/>
        <family val="2"/>
      </rPr>
      <t xml:space="preserve"> ( COZINHA)</t>
    </r>
  </si>
  <si>
    <r>
      <t>BANCA SECA DE GRANITO CINZA ANDORINHA,COM 2CM DE ESPESSURA E60CM DE LARGURA,SOBRE APOIOS DE ALVENARIA DE MEIA VEZ E VERGA DE CONCRETO,SEM REVESTIMENTO.FORNECIMENTO E COLOCACAO</t>
    </r>
    <r>
      <rPr>
        <b/>
        <sz val="12"/>
        <rFont val="Arial"/>
        <family val="2"/>
      </rPr>
      <t xml:space="preserve"> ( COZINHA)</t>
    </r>
  </si>
  <si>
    <r>
      <t xml:space="preserve">BANCA SECA DE GRANITO CINZA ANDORINHA,COM 2CM DE ESPESSURA E </t>
    </r>
    <r>
      <rPr>
        <b/>
        <sz val="12"/>
        <rFont val="Arial"/>
        <family val="2"/>
      </rPr>
      <t>40CM DE LARGURA</t>
    </r>
    <r>
      <rPr>
        <sz val="12"/>
        <rFont val="Arial"/>
        <family val="2"/>
      </rPr>
      <t>,SOBRE APOIOS DE ALVENARIA DE MEIA VEZ E VERGA DE CONCRETO,SEM REVESTIMENTO.FORNECIMENTO E COLOCACAO</t>
    </r>
    <r>
      <rPr>
        <b/>
        <sz val="12"/>
        <rFont val="Arial"/>
        <family val="2"/>
      </rPr>
      <t xml:space="preserve"> ( COZINHA)</t>
    </r>
  </si>
  <si>
    <t>18.082.0020-5</t>
  </si>
  <si>
    <t>18.082.0100-6</t>
  </si>
  <si>
    <t>SAIA  DE GRANITO CINZA ANDORINHA,COM SECAO DE 15X2CM,INCLUSIVE REJUNTAMENTO.FORNECIMENTO E COLOCACAO</t>
  </si>
  <si>
    <t>18.070.0005-A</t>
  </si>
  <si>
    <t>PRATELEIRA DE MARMORE BRANCO NACIONAL,COM 30CM DE LARGURA E2CM DE ESPESSURA,SOBRE CONSOLO DE FERRO.FORNECIMENTO E COLOCACAO</t>
  </si>
  <si>
    <t>18.070.0005-6</t>
  </si>
  <si>
    <t>SI00000086938 alterado</t>
  </si>
  <si>
    <t>CUBA DE EMBUTIR DE AÇO INOXIDÁVEL MÉDIA, INCLUSO VÁLVULA TIPO AMERICANA E SIFÃO TIPO GARRAFA EM METAL CROMADO - FORNECIMENTO E INSTALAÇÃO. AF_01/2020 (cuba inox 40 x  34 x 14 aproximadamente com válvula Ø31/2" e sifão cromado )</t>
  </si>
  <si>
    <t>CUBA DE EMBUTIR DE AÇO INOXIDÁVEL MÉDIA, INCLUSO VÁLVULA TIPO AMERICANA E SIFÃO TIPO GARRAFA EM METAL CROMADO - FORNECIMENTO E INSTALAÇÃO. AF_01/2020 (cuba inox 60 x  50 x 33 aproximadamente com válvula Ø41/2" e sifão cromado )</t>
  </si>
  <si>
    <t>CUBA DE EMBUTIR DE AÇO INOXIDÁVEL MÉDIA, INCLUSO VÁLVULA TIPO AMERICANA E SIFÃO TIPO GARRAFA EM METAL CROMADO - FORNECIMENTO E INSTALAÇÃO. AF_01/2020 (cuba inox 56 x 34 x 17 aproximadamente com válvula Ø41/2" e sifão cromado )</t>
  </si>
  <si>
    <t>cuba de louça branca de embutir, medidas úteis aproximadas, 45x32x16cm, sifão cromado. Fornecimento e instalação.</t>
  </si>
  <si>
    <t xml:space="preserve">cuba de louça branca de embutir, medidas úteis aproximadas, Ø 30x14cm, sifão cromado. Fornecimento e instalação </t>
  </si>
  <si>
    <t>SI00000100849</t>
  </si>
  <si>
    <t>ASSENTO SANITÁRIO CONVENCIONAL - FORNECIMENTO E INSTALACAO. AF_01/2020</t>
  </si>
  <si>
    <t>0000377</t>
  </si>
  <si>
    <t>ASSENTO SANITARIO DE PLASTICO, TIPO CONVENCIONAL</t>
  </si>
  <si>
    <t>SI00000095472 + SI00000100849</t>
  </si>
  <si>
    <t>VASO SANITARIO DE LOUCA BRANCA,TIPO MEDIO LUXO,COM CAIXA ACOPLADA,INCLUSIVE RABICHO CROMADO DE 40CM,COM SAIDA DE 1/2",BOLSA DE LIGACAO E ACESSORIOS DE FIXACAO.FORNECIMENTO inclusive ASSENTO SANITÁRIO CONVENCIONAL.</t>
  </si>
  <si>
    <t>18.002.0070-A + SI00000100849</t>
  </si>
  <si>
    <t>18.009.0105-5</t>
  </si>
  <si>
    <t>6.94</t>
  </si>
  <si>
    <t>CALHA EM CHAPA DE ACO GALVANIZADO N°24 COM 80CM DE DESENVOLVIMENTO.FORNECIMENTO E COLOCACAO</t>
  </si>
  <si>
    <t>2.23</t>
  </si>
  <si>
    <t>20042</t>
  </si>
  <si>
    <t>MAO-DE-OBRA DE CALCETEIRO, INCLUSIVE ENCARGOS SOCIAS DESONERADOS</t>
  </si>
  <si>
    <t>30282</t>
  </si>
  <si>
    <t>11.004.0021-B FORMAS MADEIRA PARAM. PLANOS, 2 VEZES</t>
  </si>
  <si>
    <t>30270</t>
  </si>
  <si>
    <t>11.002.0035-B LANCAMENTO CONC.S/ARM.2,0M3/H, HORIZ.</t>
  </si>
  <si>
    <t>05.001.0142-A</t>
  </si>
  <si>
    <t>ARRANCAMENTO DE MEIOS-FIOS,DE GRANITO OU CONCRETO,RETOS OU CURVOS,INCLUSIVE EMPILHAMENTO LATERAL DENTRO DO CANTEIRO DE SERVICO</t>
  </si>
  <si>
    <t>SI00000094994</t>
  </si>
  <si>
    <t>EXECUÇÃO DE PASSEIO (CALÇADA) OU PISO DE CONCRETO COM CONCRETO MOLDADO IN LOCO, FEITO EM OBRA, ACABAMENTO CONVENCIONAL, ESPESSURA 8 CM, ARMADO. AF_07/2016</t>
  </si>
  <si>
    <t>SI00000094964 CONCRETO FCK = 20MPA, TRAÇO 1:2,7:3 (EM MASSA SECA DE CIMENTO/ AREIA MÉDIA/ BRITA 1) - PREPARO MECÂNICO COM BETONEIRA 400 L. AF_05/2021</t>
  </si>
  <si>
    <t>10.5</t>
  </si>
  <si>
    <t>13.333.0015-A</t>
  </si>
  <si>
    <t>REVESTIMENTO DE PISO COM CERAMICA TATIL ALERTA,(LADRILHO HIDRAULICO) PARA PESSOAS COM NECESSIDADES  ESPECIFICAS,ASSENTESSOBRE SUPERFICIE EM OSSO,CONFORME ITEM 13.330.0010</t>
  </si>
  <si>
    <t>11228</t>
  </si>
  <si>
    <t>PISO CERAMICO TATIL ALERTA, AMARELO, PARA PORTADORES DE NECESSIDADES ESPECIFICAS</t>
  </si>
  <si>
    <t>10.6</t>
  </si>
  <si>
    <t>10.7</t>
  </si>
  <si>
    <t>09.010.0001-A</t>
  </si>
  <si>
    <t>CORDOES DE CONCRETO SIMPLES,COM SECAO DE 10X25CM,MOLDADOS NOLOCAL,INCLUSIVE ESCAVACAO E REATERRO</t>
  </si>
  <si>
    <t>30263</t>
  </si>
  <si>
    <t>11.002.0027-B LANCAMENTO CONC.S/ARM.7,0M3/H,HORIZ/VERT</t>
  </si>
  <si>
    <t>10.8</t>
  </si>
  <si>
    <t>10.9</t>
  </si>
  <si>
    <t>10.10</t>
  </si>
  <si>
    <t>09.006.0003-A</t>
  </si>
  <si>
    <t>ENCHIMENTO DE CAVAS,SENDO UM TERCO COM TERRA PRETA VEGETAL</t>
  </si>
  <si>
    <t>00717</t>
  </si>
  <si>
    <t>TERRA PRETA SIMPLES</t>
  </si>
  <si>
    <t>SI00000088441</t>
  </si>
  <si>
    <t>JARDINEIRO COM ENCARGOS COMPLEMENTARES</t>
  </si>
  <si>
    <t>SI00000098511</t>
  </si>
  <si>
    <t>PLANTIO DE ÁRVORE ORNAMENTAL COM ALTURA DE MUDA MAIOR QUE 2,00 M E MENOR OU IGUAL A 4,00 M. AF_05/2018</t>
  </si>
  <si>
    <t>MUDA DE RESEDÁ COM 2M DE ALTURA APROXIMADAMENTE</t>
  </si>
  <si>
    <t>SI00000098511 ALTERADO</t>
  </si>
  <si>
    <t>05.057.0020-A</t>
  </si>
  <si>
    <t>ANEL TATIL DE TEXTURA CONSTRASTANTE (BORRACHA) E,PLACA TATILDE ALUMINIO EM BRAILE 10X3CM, PARA SINALIZACAO DE CORRIMAOS,PARA PESSOAS COM NECESSIDADES ESPECIFICAS.FORNECIMENTO E COLOCACAO</t>
  </si>
  <si>
    <t>14521</t>
  </si>
  <si>
    <t>KIT DE ANEL TATIL DE BORRACHA FLEXIVEL P/CORRIMAO C/DIAM. ATE 2.1/2" E PLACA DEALUMINIO EM BRAILE (10X3)CM, P/CORRIMAOS</t>
  </si>
  <si>
    <t xml:space="preserve">CARGA E DESCARGA MECANICA,COM PA-CARREGADEIRA,COM 1,30M3 DECAPACIDADE,UTILIZANDO CAMINHAO BASCULANTE A OLEO DIESEL,COMCAPACIDADE UTIL DE 8T,CONSIDERADOS PARA O CAMINHAO OS TEMPOSDE ESPERA,MANOBRA,CARGA E DESCARGA E PARA A CARREGADEIRA OSTEMPOS DE ESPERA E OPERACAO PARA CARGAS DE 50T POR DIA DE 8H </t>
  </si>
  <si>
    <r>
      <t>TRANSPORTE DE CARGA DE QUALQUER NATUREZA,EXCLUSIVE AS DESPESAS DE CARGA E DESCARGA,TANTO DE ESPERA DO CAMINHAO COMO DO SERVENTE OU EQUIPAMENTO AUXILIAR,A VELOCIDADE MEDIA DE 30KM/H,EM CAMINHAO BASCULANTE A OLEO DIESEL,COM CAPACIDADE UTIL DE8T</t>
    </r>
    <r>
      <rPr>
        <b/>
        <sz val="12"/>
        <rFont val="Arial"/>
        <family val="2"/>
      </rPr>
      <t xml:space="preserve"> DMT ATÉ CTR = 11 Km</t>
    </r>
  </si>
  <si>
    <r>
      <t>TRANSPORTE DE CARGA DE QUALQUER NATUREZA,EXCLUSIVE AS DESPESAS DE CARGA E DESCARGA,TANTO DE ESPERA DO CAMINHAO COMO DO SERVENTE OU EQUIPAMENTO AUXILIAR,A VELOCIDADE MEDIA DE 35KM/H,EM CAMINHAO DE CARROCERIA FIXA A OLEO DIESEL,COM CAPACIDADEUTIL DE 7,5T .</t>
    </r>
    <r>
      <rPr>
        <b/>
        <sz val="12"/>
        <rFont val="Arial"/>
        <family val="2"/>
      </rPr>
      <t>DMT ATÉ DEPÓSITO DA SMMU</t>
    </r>
    <r>
      <rPr>
        <sz val="12"/>
        <rFont val="Arial"/>
        <family val="2"/>
      </rPr>
      <t xml:space="preserve"> - 8KM</t>
    </r>
  </si>
  <si>
    <t>5.21</t>
  </si>
  <si>
    <t>Forncecimento e instalação de plataforma elevatória para acessibilidade conforme projeto</t>
  </si>
  <si>
    <t>MONTELE ELEVADORES</t>
  </si>
  <si>
    <t>MERCURY PROJETOS E SERVIÇOS LTDA</t>
  </si>
  <si>
    <t xml:space="preserve">CTR BARRA MANSA </t>
  </si>
  <si>
    <t>SUB-TOTAL 2.0</t>
  </si>
  <si>
    <t xml:space="preserve">COMPOSIÇÃO DE PREÇOS  - BDI 28,82% em todos os itens exceto nos itens 4.10 a 4.20, 4.32, 5.21 e 11.3 em que o BDI é  22,85% </t>
  </si>
  <si>
    <t xml:space="preserve">PLANILHA ORÇAMENTÁRIA  -  BDI 28,82% em todos os itens exceto nos itens 4.10 a 4.20, 4.32, 5.21 e 11.3 em que o BDI é  22,85% </t>
  </si>
  <si>
    <t>2.24</t>
  </si>
  <si>
    <t>SI00000101964</t>
  </si>
  <si>
    <t>LAJE PRÉ-MOLDADA UNIDIRECIONAL, BIAPOIADA, PARA FORRO, ENCHIMENTO EM CERÂMICA, VIGOTA CONVENCIONAL, ALTURA TOTAL DA LAJE (ENCHIMENTO+CAPA) = (8+3). AF_11/2020</t>
  </si>
  <si>
    <t>0003736</t>
  </si>
  <si>
    <t>LAJE PRE-MOLDADA CONVENCIONAL (LAJOTAS + VIGOTAS) PARA FORRO, UNIDIRECIONAL, SOBRECARGA DE 100 KG/M2, VAO ATE 4,00 M (SEM COLOCACAO)</t>
  </si>
  <si>
    <t>SI00000103674 CONCRETAGEM DE VIGAS E LAJES, FCK=25 MPA, PARA LAJES PREMOLDADAS COM USO DE BOMBA - LANÇAMENTO, ADENSAMENTO E ACABAMENTO. AF_02/2022</t>
  </si>
  <si>
    <t>SI00000092273 FABRICAÇÃO DE ESCORAS DO TIPO PONTALETE, EM MADEIRA, PARA PÉ-DIREITO SIMPLES. AF_09/2020</t>
  </si>
  <si>
    <r>
      <t xml:space="preserve">LAJE PRÉ-MOLDADA UNIDIRECIONAL, BIAPOIADA, PARA FORRO, ENCHIMENTO EM CERÂMICA, VIGOTA CONVENCIONAL, ALTURA TOTAL DA LAJE (ENCHIMENTO+CAPA) = (8+3). AF_11/2020 - </t>
    </r>
    <r>
      <rPr>
        <b/>
        <sz val="12"/>
        <rFont val="Arial"/>
        <family val="2"/>
      </rPr>
      <t>DEPÓSITO DE GÁS E DEPOSITO DE LIXO</t>
    </r>
  </si>
  <si>
    <t>EXECUÇÃO DE PISO DE CONCRETO COM CONCRETO MOLDADO IN LOCO, USINADO, 20MPa, ACABAMENTO CONVENCIONAL, ESPESSURA 10 CM, ARMADO. AF_07/2016</t>
  </si>
  <si>
    <t>CONTRAPISO EM ARGAMASSA TRAÇO 1:4 (CIMENTO E AREIA), PREPARO MECÂNICO COM BETONEIRA 400 L, APLICADO EM ÁREAS SECAS , NÃO ADERIDO, ACABAMENTO NÃO REFORÇADO, ESPESSURA 4CM. AF_07/2021</t>
  </si>
  <si>
    <r>
      <t>Sóculo em ARGAMASSA TRAÇO 1:4 (CIMENTO E AREIA), PREPARO MECÂNICO COM BETONEIRA 400 L, APLICADO EM ÁREAS SECAS , NÃO ADERIDO, ACABAMENTO NÃO REFORÇADO, ESPESSURA 8CM. AF_07/2021</t>
    </r>
    <r>
      <rPr>
        <b/>
        <sz val="12"/>
        <rFont val="Arial"/>
        <family val="2"/>
      </rPr>
      <t xml:space="preserve"> (SÓCULO)</t>
    </r>
  </si>
  <si>
    <t>13.381.0050-A</t>
  </si>
  <si>
    <t>JUNTA PLASTICA 17X3MM,PARA PISOS CONTINUOS.FORNECIMENTO E COLOCACAO</t>
  </si>
  <si>
    <t>00316</t>
  </si>
  <si>
    <t>JUNTA PLASTICA, P/PISO, ALTURA DE 17MM,E C/ESPES. DE 3MM</t>
  </si>
  <si>
    <t>PISO DE MARMORITE,COMPREENDENDO:A)LASTRO,COM 4CM DE ESPESSURA MEDIA,DE ARGAMASSA DE CIMENTO E AREIA GROSSA,NO TRACO 1:4;B) CAMADA DE MARMORITE,COM 1CM DE ESPESSURA,FEITA COM GRANILHA Nº1 PRETA E CIMENTO,SUPERFICIE ESTUCADA APOS A FUNDICAO,COM 3 POLIMENTOS MECANICOS,INCLUSIVE JUNTA PLASTICA 17X3MM</t>
  </si>
  <si>
    <t>13.380.0011-A                +3 X 13.381.0050-A</t>
  </si>
  <si>
    <t>05.001.0825-A</t>
  </si>
  <si>
    <t>LIMPEZA E POLIMENTO DE PISO DE MARMORITE,ANTIGO,USANDO ESTUQUE COM ADESIVO,CIMENTO BRANCO E CORANTE,SENDO 2 POLIMENTOS MECANICOS</t>
  </si>
  <si>
    <t>05079</t>
  </si>
  <si>
    <t>PEDRA ESMERIL, P/MAQUINA DE POLIMENTO, DE 6" COM GRANULOMETRIA 120</t>
  </si>
  <si>
    <t>13.380.0101-A + 05.001.0825-A</t>
  </si>
  <si>
    <r>
      <t>RECOMPOSICAO DE PISO DE MARMORITE,CONSIDERANDO 1CM DE ESPESSURA DE CAMADA DE MARMORITE E LASTRO DE ARGAMSSA  COM 4CM DEESPESSURA, INCLUSIVE POLIMENTO E LASTRO DE ARGAMASSA(VIDE FAMILIA 13.301) ---</t>
    </r>
    <r>
      <rPr>
        <b/>
        <sz val="12"/>
        <rFont val="Arial"/>
        <family val="2"/>
      </rPr>
      <t>Recuperação de marmorite vermelho da escada inclusive rodapés</t>
    </r>
  </si>
  <si>
    <t>REVESTIMENTO CERÂMICO PARA PISO COM PLACAS TIPO PORCELANATO RETIFICADO DE DIMENSÕES 60X60 CM APLICADA EM AMBIENTES DE ÁREA MAIOR QUE 10 M². AF_06/2014</t>
  </si>
  <si>
    <t>REVESTIMENTO DE PAREDES COM CERAMICA,COM MEDIDAS APROXIMADAS DE 30X60 CM,ASSENTE COM ARGAMASSA COLANTE PARA USO EXTERNO E REJUNTE.</t>
  </si>
  <si>
    <r>
      <t xml:space="preserve">MOLDURA EXTERNA EXECUTADA NO PERIMETRO DAS ESQUADRIAS COM GRANITO </t>
    </r>
    <r>
      <rPr>
        <b/>
        <sz val="12"/>
        <rFont val="Arial"/>
        <family val="2"/>
      </rPr>
      <t>CINZA ANDORINHA</t>
    </r>
    <r>
      <rPr>
        <sz val="12"/>
        <rFont val="Arial"/>
        <family val="2"/>
      </rPr>
      <t xml:space="preserve">,2CM DE ESPESSURA,COM 2 POLIMENTOS,ASSENTE COMO EM 13.036.0010,EXCLUSIVE ARGAMASSA E REJUNTAMENTO </t>
    </r>
    <r>
      <rPr>
        <b/>
        <sz val="12"/>
        <rFont val="Arial"/>
        <family val="2"/>
      </rPr>
      <t>( DIMENSÕES CONFORME PROJETO - LARGURAS DE 17CM E 27CM)</t>
    </r>
  </si>
  <si>
    <r>
      <t>PISO TATIL DE BORRACHA,DIRECIONAL,PARA PESSOAS COM NECESSIDADES ESPECIFICAS,25X25CM,ESPESSURA DE 5MM,</t>
    </r>
    <r>
      <rPr>
        <b/>
        <sz val="12"/>
        <rFont val="Arial"/>
        <family val="2"/>
      </rPr>
      <t>NA COR AMARELA</t>
    </r>
    <r>
      <rPr>
        <sz val="12"/>
        <rFont val="Arial"/>
        <family val="2"/>
      </rPr>
      <t>,COLADOSOBRE BASE EXISTENTE.FORNECIMENTO E COLOCACAO</t>
    </r>
  </si>
  <si>
    <r>
      <t xml:space="preserve">PISO TATIL DE BORRACHA,ALERTA,PARA PESSOAS COM NECESSIDADESESPECIFICAS,25X25CM, ESPESSURA DE 5MM, </t>
    </r>
    <r>
      <rPr>
        <b/>
        <sz val="12"/>
        <rFont val="Arial"/>
        <family val="2"/>
      </rPr>
      <t>NA COR AMARELA</t>
    </r>
    <r>
      <rPr>
        <sz val="12"/>
        <rFont val="Arial"/>
        <family val="2"/>
      </rPr>
      <t>, COLADOSOBRE BASE EXISTENTE.FORNECIMENTO E COLOCACAO</t>
    </r>
  </si>
  <si>
    <t>Janela de correr 2 folhas (2 Folhas Móveis) com básculas na parte superior em Vidro Temperado Incolor 8mm + Kit Branco + Bate Fecha, medindo: 800 x 1300mm.</t>
  </si>
  <si>
    <t>Janela de correr 2 folhas (2 Folhas Móveis) básculas na parte superior em Vidro Temperado Incolor 8mm + Kit Branco + Bate Fecha, medindo: 1000 x 1300mm.</t>
  </si>
  <si>
    <t>Janela de correr 2 folhas (2 Folhas Móveis) básculas na parte superior em Vidro Temperado Incolor 8mm + Kit Branco + Bate Fecha, medindo: 1200 x 1300mm.</t>
  </si>
  <si>
    <t>Janela de correr 2 folhas (2 Folhas Móveis) básculas na parte superior em Vidro Temperado Incolor 8mm + Kit Branco + Bate Fecha, medindo: 1400 x 1300mm.</t>
  </si>
  <si>
    <t>Janela de correr 2 folhas (2 Folhas Móveis) básculas na parte superior em Vidro Temperado Incolor 8mm + Kit Branco + Bate Fecha, medindo: 1500 x 1300mm.</t>
  </si>
  <si>
    <t>Janela de correr 2 folhas (2 Folhas Móveis) básculas na parte superior em Vidro Temperado Incolor 8mm + Kit Branco + Bate Fecha, medindo: 1600 x 1300mm.</t>
  </si>
  <si>
    <t>PRATELEIRA DE GRANITO CINZA ANDORINHA,COM 2,5CM DE ESPESSURA E 55CM DE LARGURA ÚTIL,ENGASTADAS NAS PAREDES E APOIADAS SOBRE TUBO DE AÇO GALVANIZADO Ø3/8".FORNECIMENTO E COLOCACAO</t>
  </si>
  <si>
    <t>PRATELEIRA DE GRANITO CINZA ANDORINHA,COM 2,5CM DE ESPESSURA E 50CM DE LARGURA ÚTIL,ENGASTADAS NAS PAREDES E APOIADAS SOBRE TUBO DE AÇO GALVANIZADO Ø3/4".FORNECIMENTO E COLOCACAO</t>
  </si>
  <si>
    <t>00148</t>
  </si>
  <si>
    <t>TUBO DE ACO GALVANIZADO, COM COSTURA, PESADO, NBR 5580, DN=3/4"</t>
  </si>
  <si>
    <t>17.020.0070-A</t>
  </si>
  <si>
    <t>ENVERNIZAMENTO DE MADEIRA EM SUPERFICIE INTERIOR,COM VERNIZPOLIURETANO BRILHANTE E TRANSPARENTE,INCLUSIVE LIXAMENTO,UMADEMAO DE VERNIZ IMUNIZANTE E IMPERMEABILIZANTE INCOLOR,ANILINA E DUAS DEMAOS DE ACABAMENTO</t>
  </si>
  <si>
    <t>00154</t>
  </si>
  <si>
    <t>VERNIZ POLIURETANO BRILHANTE E TRANSPARENTE</t>
  </si>
  <si>
    <t>14.006.0399-A + 17.020.0070-A</t>
  </si>
  <si>
    <t>14.006.0399-6 + 17.020.0070-A</t>
  </si>
  <si>
    <t>CAIXILHO FIXO DE ALUMINIO ANODIZADO AO NATURAL,SERIE 28,PARAVIDRO, inclusive espelho de cristal de 4mm.FORNECIMENTO E COLOCACAO</t>
  </si>
  <si>
    <t>PRATELEIRA DE GRANITO CINZA ANDORINHA , COM 40CM DE LARGURA E2CM DE ESPESSURA, EMBUTIDAS NA ALVENARIA E APOIADOS SOBRE TUBO DE ACO GALVANIZADO Ø3/4".FORNECIMENTO E COLOCACAO CONFORME PROJETO</t>
  </si>
  <si>
    <t>LAVATORIO DE LOUCA BRANCA,COM COLUNA SUSPENSA,PARA PESSOAS COM NECESSIDADES ESPECIFICAS,COM MEDIDAS EM TORNO DE (45,5X35,5)CM,INCLUSIVE SIFAO EM PVC FLEXIVEL,VALVULA DE ESCOAMENTOCROMADA,RABICHO EM PVC,E ACESSORIOS DEFIXACAO.FORNECIMENTO, EXCLUSIVE TORNEIRA</t>
  </si>
  <si>
    <t>18.002.0014-6</t>
  </si>
  <si>
    <t>LAVATORIO DE LOUCA BRANCA,TIPO MEDIO LUXO,COM LADRAO,COM MEDIDAS EM TORNO DE (47X35)CM,INCLUSIVE ACESSORIOS DE FIXACAO.FERRAGENS EM METAL CROMADO:SIFAO 1680 DE 1"X1.1/4", E VALVULA DE ESCOAMENTO 1603.RABICHO EM PVC.FORNECIMENTO, EXCLUSIVE TORNEIRA</t>
  </si>
  <si>
    <t>VASO SANITARIO SIFONADO COM CAIXA ACOPLADA PARA PCD SEM FURO FRONTAL COM LOUÇA BRANCA SEM ASSENTO, INCLUSO CONJUNTO DE LIGAÇÃO PARA BACIA SANITÁRIA AJUSTÁVEL - FORNECIMENTO E INSTALAÇÃO. AF_01/2020, inclusive ASSENTO SANITÁRIO CONVENCIONAL.</t>
  </si>
  <si>
    <r>
      <t xml:space="preserve">TORNEIRA PARA LAVATORIO,DE MESA,ACIONAMENTO HIDROMECANICO COM LEVE PRESSAO MANUAL E FECHAMENTO AUTOMATICO,ACABAMENTO CROMADO.FORNECIMENTO </t>
    </r>
    <r>
      <rPr>
        <b/>
        <sz val="12"/>
        <rFont val="Arial"/>
        <family val="2"/>
      </rPr>
      <t>- SANITÁRIO ALUNOS, FUNCIONÁRIOS E PROFESSORES</t>
    </r>
  </si>
  <si>
    <r>
      <t xml:space="preserve">torneira acionada por alvavanca, com arejador, tipo banca, em metal cromado, 1/4" de volta - </t>
    </r>
    <r>
      <rPr>
        <b/>
        <sz val="12"/>
        <rFont val="Arial"/>
        <family val="2"/>
      </rPr>
      <t>SANITÁRIO PCD</t>
    </r>
  </si>
  <si>
    <r>
      <t xml:space="preserve">torneira acionada por alvavanca, com arejador, tipo parede, bica móvel, em metal cromado, 1/4" de volta - </t>
    </r>
    <r>
      <rPr>
        <b/>
        <sz val="12"/>
        <rFont val="Arial"/>
        <family val="2"/>
      </rPr>
      <t>COZINHA</t>
    </r>
  </si>
  <si>
    <t>TORNEIRA PARA JARDIM,DE 1/2"X10CM APROXIMADAMENTE,EM METAL CROMADO COM ROSCA PARA MANGUEIRA.FORNECIMENTO</t>
  </si>
  <si>
    <t>14190</t>
  </si>
  <si>
    <t>LAMPADA LED, TUBULAR, 1200MM, T8, 18W, FLUXO LUMINOSO EM TORNO DE 1850LM</t>
  </si>
  <si>
    <t>05946</t>
  </si>
  <si>
    <t>SUPORTE TIPO PE DE GALINHA PARA FIXACAODE LUMINARIAS</t>
  </si>
  <si>
    <t>05337</t>
  </si>
  <si>
    <t>SUPORTE P/LAMPADA TUBULAR</t>
  </si>
  <si>
    <t>14189</t>
  </si>
  <si>
    <t>LAMPADA LED, TUBULAR, 600MM, T8, 9W, FLUXO LUMINOSO EM TORNO DE 900LM</t>
  </si>
  <si>
    <t>12.005.0010-A</t>
  </si>
  <si>
    <t>ALVENARIA DE BLOCOS DE CONCRETO 10X20X40CM,ASSENTES COM ARGAMASSA DE CIMENTO E AREIA,NO TRACO 1:8,EM PAREDES DE 0,10M DEESPESSURA,DE SUPERFICIE CORRIDA,ATE 3,00M DE ALTURA E MEDIDAPELA AREA REAL</t>
  </si>
  <si>
    <t>00103</t>
  </si>
  <si>
    <t>BLOCO DE CONCRETO PRENSADO, PARA ALVENARIA, DE (10X20X40)CM</t>
  </si>
  <si>
    <t>30167</t>
  </si>
  <si>
    <t>07.002.0045-B ARGAMASSA CIM.,AREIA TRACO 1:8,PREPAROMECANICO</t>
  </si>
  <si>
    <t>11.003.0052-A</t>
  </si>
  <si>
    <t>PREENCHIMENTO COM CONCRETO DE 20MPA EM VAZIOS DE ALVENARIA DE BLOCOS DE CONCRETO 10X20X40CM,EM PAREDES DE 10CM,MEDIDO PELA AREA REAL,EXCLUSIVE ARMACAO E A ALVENARIA</t>
  </si>
  <si>
    <t>SI00000092760</t>
  </si>
  <si>
    <t>ARMAÇÃO DE PILAR OU VIGA DE ESTRUTURA CONVENCIONAL DE CONCRETO ARMADO UTILIZANDO AÇO CA-50 DE 6,3 MM - MONTAGEM. AF_06/2022</t>
  </si>
  <si>
    <t>SI00000092801</t>
  </si>
  <si>
    <t>SI00000092801 CORTE E DOBRA DE AÇO CA-50, DIÂMETRO DE 6,3 MM. AF_06/2022</t>
  </si>
  <si>
    <t>PREENCHIMENTO COM CONCRETO DE 20MPA EM VAZIOS DE ALVENARIA DE BLOCOS DE CONCRETO 10X20X40CM,EM PAREDES DE 10CM,MEDIDO PELA AREA REAL,EXCLUSIVE  ALVENARIA, INCLUSIVE ARMAÇÃO UTILIZANDO AÇO CA-50 DE 6,3MM</t>
  </si>
  <si>
    <t>11.003.0052-A + SI00000092760</t>
  </si>
  <si>
    <t>JANELA BASCULANTE DE ALUMINIO ANODIZADO FOSCO, BRONZE OU PRETO,COM 1 ORDEM E BASCULA INFERIOR FIXA, EM PERFIS SERIE 28. FORNECIMENTO E COLOCACAO EM CONTRAMARCOS.</t>
  </si>
  <si>
    <t>14.003.0071-6</t>
  </si>
  <si>
    <t>14.003.0077-A</t>
  </si>
  <si>
    <t>JANELA BASCULANTE DE ALUMINIO ANODIZADO EM BRONZE OU PRETO,COM 2 ORDENS SENDO A INFERIOR FIXA,EM PERFIS SERIE 28.FORNECIMENTO E COLOCACAO</t>
  </si>
  <si>
    <t>JANELA BASCULANTE DE ALUMINIO ANODIZADO FOSCO,  BRONZE OU PRETO,COM 2 ORDENS SENDO A INFERIOR FIXA,EM PERFIS SERIE 28.FORNECIMENTO E COLOCACAO</t>
  </si>
  <si>
    <t>JANELA BASCULANTE DE ALUMINIO ANODIZADO FOSCO,  BRONZE OU PRETO,COM 3 ORDENS SENDO A INFERIOR FIXA,EM PERFIS SERIE 28.FORNECIMENTO E COLOCACAO</t>
  </si>
  <si>
    <t>0011732</t>
  </si>
  <si>
    <t>GRELHA PVC CROMADA REDONDA, 150 MM</t>
  </si>
  <si>
    <t>CAIXA SIFONADA, PVC, DN 150 X 185 X 75 MM, JUNTA ELÁSTICA, FORNECIDA E INSTALADA EM RAMAL DE DESCARGA OU EM RAMAL DE ESGOTO SANITÁRIO. AF_12/2014, INCLUSIVE GRELHA REDONDA CROMADA.</t>
  </si>
  <si>
    <t>SI00000089708 ALTERADO</t>
  </si>
  <si>
    <t>4.33</t>
  </si>
  <si>
    <t>30406</t>
  </si>
  <si>
    <t>17.017.0300-B PINTURA INT./EXT., TINTA OLEO S/FERRO</t>
  </si>
  <si>
    <t>m2</t>
  </si>
  <si>
    <r>
      <t xml:space="preserve">CORRIMÃO EM ALUMÍNIO DIÂMETRO EXTERNO = 1 1/2"- </t>
    </r>
    <r>
      <rPr>
        <b/>
        <sz val="14"/>
        <rFont val="Arial"/>
        <family val="2"/>
      </rPr>
      <t>conforme projeto arquitetônico</t>
    </r>
  </si>
  <si>
    <r>
      <t xml:space="preserve">BANCA DE GRANITO CINZA ANDORINHA,COM 2CM DE ESPESSURA,COM ABERTURA PARA 1 CUBA (EXCLUSIVE ESTA),SOBRE APOIOS DE ALVENARIA E APOIADOS SOBRE TUBO DE ACO GALVANIZADO Ø3/4,SEM REVESTIMENTO, FORNECIMENTO E COLOCACAO - </t>
    </r>
    <r>
      <rPr>
        <b/>
        <sz val="12"/>
        <rFont val="Arial"/>
        <family val="2"/>
      </rPr>
      <t>sala de professores</t>
    </r>
  </si>
  <si>
    <r>
      <t xml:space="preserve">BANCA DE GRANITO CINZA ANDORINHA,COM 2CM DE ESPESSURA,COM ABERTURA PARA 3 CUBAS (EXCLUSIVE ESTAS),SOBRE APOIOS SOBRE APOIOS EM ALVENARIA E TUBO GALVANIZADO Ø 3/4",SEM REVESTIMENTO,SEM REVESTIMENTO,FORNECIMENTO E COLOCACAO - </t>
    </r>
    <r>
      <rPr>
        <b/>
        <sz val="12"/>
        <rFont val="Arial"/>
        <family val="2"/>
      </rPr>
      <t>refeitório</t>
    </r>
  </si>
  <si>
    <t>SI00000097907</t>
  </si>
  <si>
    <t>CAIXA ENTERRADA HIDRÁULICA RETANGULAR, EM ALVENARIA COM BLOCOS DE CONCRETO, DIMENSÕES INTERNAS: 0,8X0,8X0,6 M PARA REDE DE ESGOTO. AF_12/2020</t>
  </si>
  <si>
    <t>CAIXA ENTERRADA HIDRÁULICA RETANGULAR, EM ALVENARIA COM BLOCOS DE CONCRETO, DIMENSÕES INTERNAS: 0,8X0,8X0,6 M PARA REDE DE ESGOTO. AF_12/2020 - CAIXA DE INSPEÇÃO</t>
  </si>
  <si>
    <t>FABRICAÇÃO E INSTALAÇÃO DE TESOURA INTEIRA EM AÇO, PARA VÃOS DE 3 A 12 M E PARA QUALQUER TIPO DE TELHA, INCLUSO IÇAMENTO. AF_12/2015</t>
  </si>
  <si>
    <t>9.7</t>
  </si>
  <si>
    <t>17.017.0350-A</t>
  </si>
  <si>
    <t>PINTURA INTERNA OU EXTERNA SOBRE FERRO GALVANIZADO OU ALUMINIO,USANDO FUNDO PARA GALVANIZADO,INCLUSIVE LIXAMENTO LEVE,LIMPEZA,DESENGORDURAMENTO E DUAS DEMAOS DE ACABAMENTO COM ESMALTE SINTETICO BRILHANTE OU ACETINADO</t>
  </si>
  <si>
    <t>07425</t>
  </si>
  <si>
    <t>PRIMER EPOXI,ISOCIANATO DE 2 COMPONENTES</t>
  </si>
  <si>
    <t>00840</t>
  </si>
  <si>
    <t>DETERGENTE NEUTRO P/LIMPEZA INDUSTRIAL,EM SACO DE 25KG</t>
  </si>
  <si>
    <r>
      <t xml:space="preserve">PINTURA COM TINTA LATEX SEMIBRILHANTE,FOSCA OU ACETINADA,CLASSIFICACAO PREMIUM OU STANDARD (NBR 15079),PARA INTERIOR E EXTERIOR,BRANCA OU COLORIDA,SOBRE TIJOLO,CONCRETO LISO,CIMENTO SEM AMIANTO,E REVESTIMENTO,INCLUSIVE LIXAMENTO,UMA DEMAO DE SELADOR ACRILICO,UMA DEMAO DE MASSA ACRILICA E DUAS DEMAOSDE ACABAMENTO </t>
    </r>
    <r>
      <rPr>
        <b/>
        <sz val="12"/>
        <rFont val="Arial"/>
        <family val="2"/>
      </rPr>
      <t>(PAREDES INTERNAS)</t>
    </r>
  </si>
  <si>
    <r>
      <t xml:space="preserve">PINTURA COM TINTA LATEX,CLASSIFICACAO STANDARD,CONFORME ABNTNBR 15079,PARA EXTERIOR,INCLUSIVE LIXAMENTOS,LIMPEZA,UMA DEMAO DE SELADOR ACRILICO E DUAS DEMAOS DE ACABAMENTO </t>
    </r>
    <r>
      <rPr>
        <b/>
        <sz val="12"/>
        <rFont val="Arial"/>
        <family val="2"/>
      </rPr>
      <t>(PAREDES EXTERNAS)</t>
    </r>
  </si>
  <si>
    <t>FORNECIMENTO E PLANTIO DE RESEDÁ NAS CORES BRANCA, ROSA, ROXA E VERMELHA CONFORME PROJETO , COM 2M DE ALTURA APROXIMADAMENTE</t>
  </si>
  <si>
    <t>08.027.0042-A</t>
  </si>
  <si>
    <t>MEIO-FIO RETO DE CONCRETO SIMPLES FCK=15MPA,PRE-MOLDADO,TIPODER-RJ,MEDINDO 0,15M NA BASE E COM ALTURA DE 0,30M,REJUNTAMENTO COM ARGAMASSA DE CIMENTO E AREIA NO TRACO 1:3,5,COM FORNECIMENTO DE TODOS OS MATERIAIS,ESCAVACAO E REATERRO</t>
  </si>
  <si>
    <t>30280</t>
  </si>
  <si>
    <t>11.004.0001-B FORMAS MADEIRA, PINUS, 20 VEZES</t>
  </si>
  <si>
    <t>30253</t>
  </si>
  <si>
    <t>11.002.0012-B PREPARO CONCR. BETON. 600L; 3,5 M3/H</t>
  </si>
  <si>
    <t>10.11</t>
  </si>
  <si>
    <t>Fita Antiderrapante Luminosa</t>
  </si>
  <si>
    <t>Fornecimento e colocação de fita Antiderrapante Luminosa largura 5cm nas escadas conforme projeto.</t>
  </si>
  <si>
    <t>7.38</t>
  </si>
  <si>
    <t>SI00000097608</t>
  </si>
  <si>
    <t>LUMINÁRIA ARANDELA TIPO TARTARUGA, COM GRADE, DE SOBREPOR, COM 1 LÂMPADA FLUORESCENTE DE 15 W, SEM REATOR - FORNECIMENTO E INSTALAÇÃO. AF_02/2020</t>
  </si>
  <si>
    <t>0038775</t>
  </si>
  <si>
    <t>LUMINARIA TIPO TARTARUGA PARA AREA EXTERNA EM ALUMINIO, COM GRADE, PARA 1 LAMPADA, BASE E27, POTENCIA MAXIMA 40/60 W (NAO INCLUI LAMPADA)</t>
  </si>
  <si>
    <t>0038191</t>
  </si>
  <si>
    <t>LAMPADA FLUORESCENTE COMPACTA 2U BRANCA 15 W, BASE E27 (127/220 V)</t>
  </si>
  <si>
    <t>SI00000097608 ALTERADO</t>
  </si>
  <si>
    <t>18.027.0474-A</t>
  </si>
  <si>
    <t>LUMINARIA DE SOBREPOR, FIXADA EM LAJE OU FORRO, TIPO CALHA,CHANFRADA OU PRISMATICA, COMPLETA, COM LAMPADA LED TUBULARDE 2 X 9W. FORNECIMENTO E COLOCACAO</t>
  </si>
  <si>
    <t>14675</t>
  </si>
  <si>
    <t>CALHA CHANFRADA EM CHAPA DE ACO PARA LUMINARIA DE SOBREPOR, PARA 2 LAMPADAS TUBULARES DE 600MM</t>
  </si>
  <si>
    <t>18.027.0476-A</t>
  </si>
  <si>
    <t>LUMINARIA DE SOBREPOR, FIXADA EM LAJE OU FORRO, TIPO CALHA,CHANFRADA OU PRISMATICA, COMPLETA, COM LAMPADA LED TUBULARDE 2 X 18W. FORNECIMENTO E COLOCACAO</t>
  </si>
  <si>
    <t>14679</t>
  </si>
  <si>
    <t>CALHA CHANFRADA EM CHAPA DE ACO PARA LUMINARIA DE SOBREPOR, PARA 2 LAMPADAS TUBULARES DE 1200MM</t>
  </si>
  <si>
    <t>6.95</t>
  </si>
  <si>
    <t>15.001.0069-A</t>
  </si>
  <si>
    <t>ABRIGO PARA HIDROMETRO DE 1/2" OU 3/4",NAS DIMENSOES DE (0,45X0,12X0,42)M,EMBUTIDO NO MURO,REVESTIDO COM ARGAMASSA DE CIMENTO E SAIBRO,NO TRACO 1:6,COM FUNDO DE CONCRETO NO TRACO 1:3 E ESPESSURA 3CM,PORTA DE (46X43)CM EM GRADE CONFECCIONADAEM FERRO CHATO DE 1/2" COM ESPESSURA DE 1/8" E CADEADO DE 30MM,CONFORME PROJETO Nº 2089/EMOP</t>
  </si>
  <si>
    <t>05468</t>
  </si>
  <si>
    <t>CADEADO COM DUPLA TRAVA, DISCO DE SEGURANCA ANTI GAZUA, CORPO DE LATAO MACICO, CILINDRO DE LATAO TREFILADO, DE 30MM</t>
  </si>
  <si>
    <t>00009</t>
  </si>
  <si>
    <t>BARRA CHATA EM FERRO, PRECO DE REVENDEDOR, DE 1/2"X1/8" A 1.1/4"X1.1/4"</t>
  </si>
  <si>
    <t>31020</t>
  </si>
  <si>
    <t>11.009.0050-B BARRA DE ACO CA-25,REDONDA,SEM SALIENCIAOU MOSSA,DIAMETRO IGUAL A 6,3MM</t>
  </si>
  <si>
    <t>30276</t>
  </si>
  <si>
    <t>11.003.0001-B CONCRETO FCK 10MPA INCL. MAT.,PREP.,LANC</t>
  </si>
  <si>
    <t>30178</t>
  </si>
  <si>
    <t>07.006.0020-B ARGAMASSA CIM.,SAIBRO TRACO 1:6,PREPAROMECANICO</t>
  </si>
  <si>
    <t xml:space="preserve">ABRIGO PARA HIDROMETRO DE 1/2" OU 3/4",NAS DIMENSOES DE (0,45X0,12X0,42)M,EMBUTIDO NO MURO,REVESTIDO COM ARGAMASSA DE CIMENTO E SAIBRO,NO TRACO 1:6,COM FUNDO DE CONCRETO NO TRACO 1:3 E ESPESSURA 3CM,PORTA DE (46X43)CM EM GRADE CONFECCIONADAEM FERRO CHATO DE 1/2" COM ESPESSURA DE 1/8" E CADEADO DE 30MM,CONFORME PROJETO </t>
  </si>
  <si>
    <t>ELEVADORES ALPHA LTDA</t>
  </si>
  <si>
    <t>6.97</t>
  </si>
  <si>
    <t>6.96</t>
  </si>
  <si>
    <t>6.98</t>
  </si>
  <si>
    <t>SI00000091861</t>
  </si>
  <si>
    <t>ELETRODUTO FLEXÍVEL LISO, PEAD, DN 40 MM (1 1/4"), PARA CIRCUITOS TERMINAIS, INSTALADO EM PAREDE - FORNECIMENTO E INSTALAÇÃO. AF_12/2015</t>
  </si>
  <si>
    <t>0040402</t>
  </si>
  <si>
    <t>ELETRODUTO FLEXIVEL PLANO EM PEAD, COR PRETA E LARANJA,  DIAMETRO 40 MM</t>
  </si>
  <si>
    <t>SI00000097329</t>
  </si>
  <si>
    <t>TUBO EM COBRE FLEXÍVEL, DN 1/2", COM ISOLAMENTO, INSTALADO EM RAMAL DE ALIMENTAÇÃO DE AR CONDICIONADO COM CONDENSADORA INDIVIDUAL  FORNECIMENTO E INSTALAÇÃO. AF_12/2015</t>
  </si>
  <si>
    <t>0039737</t>
  </si>
  <si>
    <t>TUBO DE BORRACHA ELASTOMERICA FLEXIVEL, PRETA, PARA ISOLAMENTO TERMICO DE TUBULACAO, DN 1/2" (12 MM), E= 19 MM, COEFICIENTE DE CONDUTIVIDADE TERMICA 0,036W/mK, VAPOR DE AGUA MAIOR OU IGUAL A 10.000</t>
  </si>
  <si>
    <t>0039660</t>
  </si>
  <si>
    <t>TUBO DE COBRE FLEXIVEL, D = 1/2 ", E = 0,79 MM, PARA AR-CONDICIONADO/ INSTALACOES GAS RESIDENCIAIS E COMERCIAIS</t>
  </si>
  <si>
    <t>ELETRODUTO FLEXÍVEL LISO, PEAD, DN 40 MM (1 1/4"), PARA CIRCUITOS TERMINAIS,- FORNECIMENTO E INSTALAÇÃO. AF_12/2015</t>
  </si>
  <si>
    <t>6.99</t>
  </si>
  <si>
    <t>ALVENARIA DE BLOCOS DE CONCRETO 10X20X30CM,ASSENTES COM ARGAMASSA DE CIMENTO E AREIA,NO TRACO 1:8,EM PAREDES DE 0,10M DEESPESSURA,DE SUPERFICIE CORRIDA,ATE 3,00M DE ALTURA E MEDIDAPELA AREA REAL</t>
  </si>
  <si>
    <t>12.005.0010-6</t>
  </si>
  <si>
    <r>
      <t>PEITORIL DE</t>
    </r>
    <r>
      <rPr>
        <b/>
        <sz val="16"/>
        <rFont val="Arial"/>
        <family val="2"/>
      </rPr>
      <t xml:space="preserve"> granito cinza andorinha,</t>
    </r>
    <r>
      <rPr>
        <sz val="12"/>
        <rFont val="Arial"/>
        <family val="2"/>
      </rPr>
      <t>COM ESPESSURA DE 2CM,COM2 POLIMENTOS,EM 2 TIRAS,NA LARGURA,SOMADA DE</t>
    </r>
    <r>
      <rPr>
        <b/>
        <sz val="14"/>
        <rFont val="Arial"/>
        <family val="2"/>
      </rPr>
      <t>30CM</t>
    </r>
    <r>
      <rPr>
        <sz val="12"/>
        <rFont val="Arial"/>
        <family val="2"/>
      </rPr>
      <t>, SENDO APARTE INFERIOR EM SUPERPOSICAO,ASSENTE COMO EM 13.045.0040, tendo pingadeira com friso.</t>
    </r>
  </si>
  <si>
    <r>
      <t>PEITORIL DE</t>
    </r>
    <r>
      <rPr>
        <b/>
        <sz val="16"/>
        <rFont val="Arial"/>
        <family val="2"/>
      </rPr>
      <t xml:space="preserve"> granito cinza andorinha,</t>
    </r>
    <r>
      <rPr>
        <sz val="12"/>
        <rFont val="Arial"/>
        <family val="2"/>
      </rPr>
      <t xml:space="preserve">COM ESPESSURA DE 2CM,COM2 POLIMENTOS,EM 2 TIRAS,NA LARGURA,SOMADA DE </t>
    </r>
    <r>
      <rPr>
        <b/>
        <sz val="16"/>
        <rFont val="Arial"/>
        <family val="2"/>
      </rPr>
      <t>20</t>
    </r>
    <r>
      <rPr>
        <b/>
        <sz val="14"/>
        <rFont val="Arial"/>
        <family val="2"/>
      </rPr>
      <t>CM</t>
    </r>
    <r>
      <rPr>
        <sz val="12"/>
        <rFont val="Arial"/>
        <family val="2"/>
      </rPr>
      <t>, SENDO APARTE INFERIOR EM SUPERPOSICAO,ASSENTE COMO EM 13.045.0040 , tendo pingadeira com friso.</t>
    </r>
  </si>
  <si>
    <r>
      <t xml:space="preserve">PEITORIL DE </t>
    </r>
    <r>
      <rPr>
        <b/>
        <sz val="12"/>
        <rFont val="Arial"/>
        <family val="2"/>
      </rPr>
      <t>granito cinza andorinha,</t>
    </r>
    <r>
      <rPr>
        <sz val="12"/>
        <rFont val="Arial"/>
        <family val="2"/>
      </rPr>
      <t>COM ESPESSURA DE 2CM,COM2 POLIMENTOS,EM 2 TIRAS,NA LARGURA,SOMADA DE</t>
    </r>
    <r>
      <rPr>
        <b/>
        <sz val="12"/>
        <rFont val="Arial"/>
        <family val="2"/>
      </rPr>
      <t>30CM</t>
    </r>
    <r>
      <rPr>
        <sz val="12"/>
        <rFont val="Arial"/>
        <family val="2"/>
      </rPr>
      <t>, SENDO APARTE INFERIOR EM SUPERPOSICAO,ASSENTE COMO EM 13.045.0040, tendo pingadeira com friso.</t>
    </r>
  </si>
  <si>
    <r>
      <t xml:space="preserve">PEITORIL DE </t>
    </r>
    <r>
      <rPr>
        <b/>
        <sz val="12"/>
        <rFont val="Arial"/>
        <family val="2"/>
      </rPr>
      <t>granito cinza andorinha</t>
    </r>
    <r>
      <rPr>
        <sz val="12"/>
        <rFont val="Arial"/>
        <family val="2"/>
      </rPr>
      <t xml:space="preserve">,COM ESPESSURA DE 2CM,COM2 POLIMENTOS,EM 2 TIRAS,NA LARGURA,SOMADA DE </t>
    </r>
    <r>
      <rPr>
        <b/>
        <sz val="12"/>
        <rFont val="Arial"/>
        <family val="2"/>
      </rPr>
      <t>20CM</t>
    </r>
    <r>
      <rPr>
        <sz val="12"/>
        <rFont val="Arial"/>
        <family val="2"/>
      </rPr>
      <t>, SENDO APARTE INFERIOR EM SUPERPOSICAO,ASSENTE COMO EM 13.045.0040 , tendo pingadeira com friso.</t>
    </r>
  </si>
  <si>
    <t>PORTA DE ALUMINIO ANODIZADO AO NATURAL FOSCO,PERFIL SERIE 25,EM VENEZIANA,EXCLUSIVE FECHADURA.FORNECIMENTO E COLOCACAO EM CONTRAMARCO.</t>
  </si>
  <si>
    <t>SI00000091341</t>
  </si>
  <si>
    <t>PORTA EM ALUMÍNIO DE ABRIR TIPO VENEZIANA COM GUARNIÇÃO, FIXAÇÃO COM PARAFUSOS - FORNECIMENTO E INSTALAÇÃO. AF_12/2019</t>
  </si>
  <si>
    <t>0039025</t>
  </si>
  <si>
    <t>PORTA DE ABRIR EM ALUMINIO TIPO VENEZIANA, ACABAMENTO ANODIZADO NATURAL, SEM GUARNICAO/ALIZAR/VISTA, 87 X 210 CM</t>
  </si>
  <si>
    <t>0036888</t>
  </si>
  <si>
    <t>GUARNICAO / MOLDURA / ARREMATE DE ACABAMENTO PARA ESQUADRIA, EM ALUMINIO PERFIL 25, ACABAMENTO ANODIZADO BRANCO OU BRILHANTE, PARA 1 FACE</t>
  </si>
  <si>
    <t>SI00000091341 ALTERADO</t>
  </si>
  <si>
    <t>4.34</t>
  </si>
  <si>
    <t>14.007.0322-A</t>
  </si>
  <si>
    <t>CADEADO DE 30MM,C/DUPLA TRAVA,DISCO DE SEGURANCA ANTI-GAZUA,CORPO DE LATAO MACICO,CILINDRO DE LATAO TREFILADO.FORNECIMENTO</t>
  </si>
  <si>
    <t>14.002.0052-A + 14.007.0322-A</t>
  </si>
  <si>
    <t>PORTINHOLA PARA ALCAPAO,CISTERNA OU CAIXA D'AGUA ELEVADA,EMCHAPA DE FERRO GALVANIZADO Nº16,ATE 0,80M DE ALTURA,COM GUARNICAO E ALCA PARA FECHAMENTO A CADEADO DE 30MM,C/DUPLA TRAVA,DISCO DE SEGURANCA ANTI-GAZUA,CORPO DE LATAO MACICO,CILINDRO DE LATAO TREFILADO,INCLUSIVE ESTE.FORNECIMENTO E COLOCACAO</t>
  </si>
  <si>
    <r>
      <t xml:space="preserve">GRADIL DE FERRO,ALTURA DE 1,50M,EM BARRAS VERTICAIS REDONDAS DE 5/8" E ESPACADAS DE 12,50CM, SOLDADAS EM TRÊS BARRAS HORIZONTAIS DE 1.1/2"X1/4",DUAS VERTICAIS 1.1/2"X1/4",INCLUSIVE PINTURA COM ESMALTE SINTETICOBRILHANTE OU ACETINADO APOS LIXAMENTO,LIMPEZA,DESENGORDURAMENTO,UMA DEMAO DE FUNDO ANTICORROSIVO NA COR LARANJA DE SECAGEM RAPIDA E DUAS DEMAOS DE ACABAMENTO.FORNECIMENTO E COLOCACAO - </t>
    </r>
    <r>
      <rPr>
        <b/>
        <sz val="12"/>
        <rFont val="Arial"/>
        <family val="2"/>
      </rPr>
      <t>JANELAS EXTERNAS</t>
    </r>
  </si>
  <si>
    <r>
      <t>GRADIL DE FERRO,ALTURA DE 1,50M,EM BARRAS VERTICAIS REDONDAS DE 5/8" E ESPACADAS DE 12,50CM, SOLDADAS EM TRÊS BARRAS HORIZONTAIS DE 1.1/2"X1/4",DUAS VERTICAIS 1.1/2"X1/4",INCLUSIVE PINTURA COM ESMALTE SINTETICOBRILHANTE OU ACETINADO APOS LIXAMENTO,LIMPEZA,DESENGORDURAMENTO,UMA DEMAO DE FUNDO ANTICORROSIVO NA COR LARANJA DE SECAGEM RAPIDA E DUAS DEMAOS DE ACABAMENTO.FORNECIMENTO E COLOCACAO -</t>
    </r>
    <r>
      <rPr>
        <b/>
        <sz val="12"/>
        <rFont val="Arial"/>
        <family val="2"/>
      </rPr>
      <t xml:space="preserve"> JANELAS EXTERNAS</t>
    </r>
  </si>
  <si>
    <r>
      <t xml:space="preserve">PORTAO DE FERRO DE UMA OU DUAS FOLHAS COM CONTORNO E MARCOS EM BARRAS DE 1.1/2"X1/4,  TRAVESSAS HORIZONTAIS EM BARRAS DE 11/2" X 1/4", BARRAS VERTICAIS REDONDAS DE 5/8"",ESPACADAS DE 12,5CM, INCLUSIVE FECHADURA EM FERRO CROMADO, COM CILINDRO.FORNECIMENTO E COLOCACAO - </t>
    </r>
    <r>
      <rPr>
        <b/>
        <sz val="12"/>
        <rFont val="Arial"/>
        <family val="2"/>
      </rPr>
      <t>CONFORME PROJETO</t>
    </r>
  </si>
  <si>
    <t>4.35</t>
  </si>
  <si>
    <t>14.002.0046-A</t>
  </si>
  <si>
    <t>PORTA DE FERRO PARA SUBESTACAO TRANSFORMADORA,COM UMA OU DUAS FOLHAS,QUADRO E MARCO DE BARRAS E CANTONEIRAS,REVESTIDA DECHAPA DE FERRO GALVANIZADO Nº18,COM PAINEL SUPERIOR FECHADOPOR TELA DE ARAME GALVANIZADO Nº10, MALHA DE 2CM, ALTURA DE30CM, INCLUSIVE FECHO PARA COLOCACAO DE CADEADO, EXCLUSIVEESTE.FORNECIMENTO E COLOCACAO</t>
  </si>
  <si>
    <t>07231</t>
  </si>
  <si>
    <t>CHAPA DE ACO CARBONO, GALVANIZADA, PARAUSOS GERAIS, TAMANHO PADRAO, PRECO DE REVENDEDOR, COM ESPESSURA DE 1,25MM</t>
  </si>
  <si>
    <t>Tela Mosquiteira ALUMÍNIO Malha 16 Fio 31 Largura 1,00m - Por Metro</t>
  </si>
  <si>
    <r>
      <t xml:space="preserve">QUADRO DE AULA,MEDINDO </t>
    </r>
    <r>
      <rPr>
        <b/>
        <sz val="16"/>
        <rFont val="Arial"/>
        <family val="2"/>
      </rPr>
      <t>3,00X1,20M</t>
    </r>
    <r>
      <rPr>
        <sz val="12"/>
        <rFont val="Arial"/>
        <family val="2"/>
      </rPr>
      <t>, EM ALUMINIO,COM MOLDURA EM ALUMINIO. FORNECIMENTO E COLOCACAO</t>
    </r>
  </si>
  <si>
    <r>
      <t xml:space="preserve">QUADRO DE AULA,MEDINDO </t>
    </r>
    <r>
      <rPr>
        <b/>
        <sz val="16"/>
        <rFont val="Arial"/>
        <family val="2"/>
      </rPr>
      <t>1,50X1,20M</t>
    </r>
    <r>
      <rPr>
        <sz val="12"/>
        <rFont val="Arial"/>
        <family val="2"/>
      </rPr>
      <t>, EM EM ALUMINIO,COM MOLDURA EM ALUMINIO..FORNECIMENTO E COLOCACAO</t>
    </r>
  </si>
  <si>
    <r>
      <t xml:space="preserve">QUADRO DE AULA,MEDINDO </t>
    </r>
    <r>
      <rPr>
        <b/>
        <sz val="16"/>
        <rFont val="Arial"/>
        <family val="2"/>
      </rPr>
      <t>1,20X0,90M</t>
    </r>
    <r>
      <rPr>
        <sz val="12"/>
        <rFont val="Arial"/>
        <family val="2"/>
      </rPr>
      <t>, EM ALUMINIO,COM MOLDURA EM ALUMINIO..FORNECIMENTO E COLOCACAO</t>
    </r>
  </si>
  <si>
    <r>
      <t>QUADRO DE AULA,MEDINDO</t>
    </r>
    <r>
      <rPr>
        <b/>
        <sz val="12"/>
        <rFont val="Arial"/>
        <family val="2"/>
      </rPr>
      <t xml:space="preserve"> 3,00X1,20M</t>
    </r>
    <r>
      <rPr>
        <sz val="12"/>
        <rFont val="Arial"/>
        <family val="2"/>
      </rPr>
      <t>, EM ALUMINIO,COM MOLDURA EM ALUMINIO. FORNECIMENTO E COLOCACAO</t>
    </r>
  </si>
  <si>
    <r>
      <t xml:space="preserve">QUADRO DE AULA,MEDINDO </t>
    </r>
    <r>
      <rPr>
        <b/>
        <sz val="12"/>
        <rFont val="Arial"/>
        <family val="2"/>
      </rPr>
      <t>1,50X1,20M</t>
    </r>
    <r>
      <rPr>
        <sz val="12"/>
        <rFont val="Arial"/>
        <family val="2"/>
      </rPr>
      <t>, EM EM ALUMINIO,COM MOLDURA EM ALUMINIO..FORNECIMENTO E COLOCACAO</t>
    </r>
  </si>
  <si>
    <r>
      <t xml:space="preserve">QUADRO DE AULA,MEDINDO </t>
    </r>
    <r>
      <rPr>
        <b/>
        <sz val="12"/>
        <rFont val="Arial"/>
        <family val="2"/>
      </rPr>
      <t>1,20X0,90M,</t>
    </r>
    <r>
      <rPr>
        <sz val="12"/>
        <rFont val="Arial"/>
        <family val="2"/>
      </rPr>
      <t xml:space="preserve"> EM ALUMINIO,COM MOLDURA EM ALUMINIO..FORNECIMENTO E COLOCACAO</t>
    </r>
  </si>
  <si>
    <r>
      <t>PROTECAO TIPO BATE-CADEIRA DE MADEIRA DE LEI,</t>
    </r>
    <r>
      <rPr>
        <b/>
        <sz val="12"/>
        <rFont val="Arial"/>
        <family val="2"/>
      </rPr>
      <t>7X2CM,</t>
    </r>
    <r>
      <rPr>
        <sz val="12"/>
        <rFont val="Arial"/>
        <family val="2"/>
      </rPr>
      <t>APARELHADA EM UMA FACE E NOS TOPOS,INCLUSIVEENVERNIZAMENTO DE MADEIRA EM SUPERFICIE INTERIOR,COM VERNIZPOLIURETANO FOSCO E TRANSPARENTE,INCLUSIVE LIXAMENTO,UMADEMAO DE VERNIZ IMUNIZANTE E IMPERMEABILIZANTE INCOLOR,ANILINA E DUAS DEMAOS DE ACABAMENTO.FORNECIMENTO ECOLOCACAO</t>
    </r>
  </si>
  <si>
    <t>PROTECAO TIPO BATE-CADEIRA DE MADEIRA DE LEI,15X2CM,APARELHADA EM UMA FACE E NOS TOPOS,INCLUSIVEENVERNIZAMENTO DE MADEIRA EM SUPERFICIE INTERIOR,COM VERNIZPOLIURETANO FOSCO E TRANSPARENTE,INCLUSIVE LIXAMENTO,UMADEMAO DE VERNIZ IMUNIZANTE E IMPERMEABILIZANTE INCOLOR,ANILINA E DUAS DEMAOS DE ACABAMENTO.FORNECIMENTO ECOLOCACAO</t>
  </si>
  <si>
    <r>
      <t>PROTECAO TIPO BATE-CADEIRA DE MADEIRA DE LEI,</t>
    </r>
    <r>
      <rPr>
        <b/>
        <sz val="16"/>
        <rFont val="Arial"/>
        <family val="2"/>
      </rPr>
      <t>7X2CM,</t>
    </r>
    <r>
      <rPr>
        <sz val="12"/>
        <rFont val="Arial"/>
        <family val="2"/>
      </rPr>
      <t>APARELHADA EM UMA FACE E NOS TOPOS,INCLUSIVEENVERNIZAMENTO DE MADEIRA EM SUPERFICIE INTERIOR,COM VERNIZPOLIURETANO FOSCO E TRANSPARENTE,INCLUSIVE LIXAMENTO,UMADEMAO DE VERNIZ IMUNIZANTE E IMPERMEABILIZANTE INCOLOR,ANILINA E DUAS DEMAOS DE ACABAMENTO.FORNECIMENTO ECOLOCACAO</t>
    </r>
  </si>
  <si>
    <r>
      <t xml:space="preserve">BANCA DE GRANITO CINZA ANDORINHA,COM 2CM DE ESPESSURA,COM ABERTURA PARA 1 CUBA (EXCLUSIVE ESTA), embutida na parede e apoios em TUBO GALVANIZADO Ø 3/4",SEM REVESTIMENTO, FORNECIMENTO E COLOCACAO - </t>
    </r>
    <r>
      <rPr>
        <b/>
        <sz val="12"/>
        <rFont val="Arial"/>
        <family val="2"/>
      </rPr>
      <t>sanitário de professores</t>
    </r>
  </si>
  <si>
    <t>TANQUE DE LOUCA BRANCA,C/COLUNA E MEDIDAS EM TORNO DE (56X48)CM,INCLUSIVE ACESSORIOS DE FIXACAO.FERRAGENS EM METAL CROMADO:VALVULA DE ESCOAMENTO 1605 E SIFAO 1680 DE 1.1/4" A 1.1/2".FORNECIMENTO exclusive torneira</t>
  </si>
  <si>
    <t>18.002.0030-6</t>
  </si>
  <si>
    <t>LAMPADA LED 15 W BIVOLT BRANCA, FORMATO TRADICIONAL (BASE E27)</t>
  </si>
  <si>
    <t>LUMINÁRIA ARANDELA TIPO TARTARUGA, COM GRADE, DE SOBREPOR, COM 1 LAMPADA LED 15 W BIVOLT BRANCA, FORMATO TRADICIONAL (BASE E27) - FORNECIMENTO E INSTALAÇÃO. AF_02/2020</t>
  </si>
  <si>
    <t>16.005.0070-5</t>
  </si>
  <si>
    <t>JANELA BASCULANTE DE ALUMINIO ANODIZADO FOSCO ou BRANCO,COM 1 ORDEM E BASCULA INFERIOR FIXA, EM PERFIS SERIE 28. FORNECIMENTO E COLOCACAO EM CONTRAMARCOS.</t>
  </si>
  <si>
    <t>JANELA BASCULANTE DE ALUMINIO ANODIZADO FOSCO ou BRANCO,COM 2 ORDENS SENDO A INFERIOR FIXA,EM PERFIS SERIE 28.FORNECIMENTO E COLOCACAO</t>
  </si>
  <si>
    <t>JANELA BASCULANTE DE ALUMINIO ANODIZADO FOSCO ou BRANCO,COM 3 ORDENS SENDO A INFERIOR FIXA,EM PERFIS SERIE 28.FORNECIMENTO E COLOCACAO</t>
  </si>
  <si>
    <r>
      <t xml:space="preserve">Porta de correr 4 folhas (2 Fixas e 2 Móveis) com básculas na parte superior,  em  Vidro   Temperado  Incolor  10mm  +  Kit  Branco ou anodizado fosco  + Fechadura, medindo: 3400 x 2500mm. </t>
    </r>
    <r>
      <rPr>
        <b/>
        <sz val="12"/>
        <rFont val="Arial"/>
        <family val="2"/>
      </rPr>
      <t>CONFORME PROJETO</t>
    </r>
  </si>
  <si>
    <r>
      <t xml:space="preserve">Janela de correr 2 folhas (2 Folhas Móveis) com básculas na parte superior em Vidro Temperado Incolor 8mm +Kit  Branco ou anodizado fosco  + Bate Fecha, medindo: 800 x 1300mm. </t>
    </r>
    <r>
      <rPr>
        <b/>
        <sz val="12"/>
        <rFont val="Arial"/>
        <family val="2"/>
      </rPr>
      <t>CONFORME PROJETO</t>
    </r>
  </si>
  <si>
    <r>
      <t xml:space="preserve">Janela de correr 2 folhas (2 Folhas Móveis) básculas na parte superior em Vidro Temperado Incolor 8mm + Kit  Branco ou anodizado fosco  + Bate Fecha, medindo: 1000 x 1300mm. </t>
    </r>
    <r>
      <rPr>
        <b/>
        <sz val="12"/>
        <rFont val="Arial"/>
        <family val="2"/>
      </rPr>
      <t>CONFORME PROJETO</t>
    </r>
  </si>
  <si>
    <r>
      <t xml:space="preserve">Janela de correr 2 folhas (2 Folhas Móveis) básculas na parte superior em Vidro Temperado Incolor 8mm +Kit  Branco ou anodizado fosco  + Bate Fecha, medindo: 1200 x 1300mm. </t>
    </r>
    <r>
      <rPr>
        <b/>
        <sz val="12"/>
        <rFont val="Arial"/>
        <family val="2"/>
      </rPr>
      <t>CONFORME PROJETO</t>
    </r>
  </si>
  <si>
    <r>
      <t xml:space="preserve">Janela de correr 2 folhas (2 Folhas Móveis) básculas na parte superior em Vidro Temperado Incolor 8mm + Kit  Branco ou anodizado fosco  + Bate Fecha, medindo: 1400 x 1300mm. </t>
    </r>
    <r>
      <rPr>
        <b/>
        <sz val="12"/>
        <rFont val="Arial"/>
        <family val="2"/>
      </rPr>
      <t>CONFORME PROJETO</t>
    </r>
  </si>
  <si>
    <r>
      <t xml:space="preserve">Janela de correr 2 folhas (2 Folhas Móveis) básculas na parte superior em Vidro Temperado Incolor 8mm +Kit  Branco ou anodizado fosco  + Bate Fecha, medindo: 1500 x 1300mm. </t>
    </r>
    <r>
      <rPr>
        <b/>
        <sz val="12"/>
        <rFont val="Arial"/>
        <family val="2"/>
      </rPr>
      <t>CONFORME PROJETO</t>
    </r>
  </si>
  <si>
    <r>
      <t xml:space="preserve">Janela de correr 2 folhas (2 Folhas Móveis) básculas na parte superior em Vidro Temperado Incolor 8mm + Kit  Branco ou anodizado fosco  + Bate Fecha, medindo: 1600 x 1300mm. </t>
    </r>
    <r>
      <rPr>
        <b/>
        <sz val="12"/>
        <rFont val="Arial"/>
        <family val="2"/>
      </rPr>
      <t>CONFORME PROJETO</t>
    </r>
  </si>
  <si>
    <r>
      <t xml:space="preserve">Janela  de  correr  4  folhas  (2  Fixas  e  2  Móveis)  com  básculas  na parte  superior,  em  Vidro  Temperado  Incolor  8mm  + Kit  Branco ou anodizado fosco   + Bate Fecha, medindo: 2000 x 1300mm. </t>
    </r>
    <r>
      <rPr>
        <b/>
        <sz val="12"/>
        <rFont val="Arial"/>
        <family val="2"/>
      </rPr>
      <t>CONFORME PROJETO</t>
    </r>
  </si>
  <si>
    <r>
      <t xml:space="preserve">Janela  de  correr  4  folhas  (2  Fixas  e  2  Móveis)  com  básculas  na parte  superior,  em  Vidro  Temperado  Incolor  8mm  +  Kit  Branco ou anodizado fosco   + Bate Fecha, medindo: 2500 x 1300mm. </t>
    </r>
    <r>
      <rPr>
        <b/>
        <sz val="12"/>
        <rFont val="Arial"/>
        <family val="2"/>
      </rPr>
      <t>CONFORME PROJETO</t>
    </r>
  </si>
  <si>
    <r>
      <t xml:space="preserve">Janela  de  correr  4  folhas  (2  Fixas  e  2  Móveis)  com  básculas  na parte  superior,  em  Vidro  Temperado  Incolor  8mm  + Kit  Branco ou anodizado fosco   + Bate Fecha, medindo: 2500 x 1400mm. </t>
    </r>
    <r>
      <rPr>
        <b/>
        <sz val="12"/>
        <rFont val="Arial"/>
        <family val="2"/>
      </rPr>
      <t>CONFORME PROJETO</t>
    </r>
  </si>
  <si>
    <r>
      <t xml:space="preserve">Janela  de  correr  4  folhas  (2  Fixas  e  2  Móveis)  com  básculas  na parte  superior,  em  Vidro  Temperado  Incolor  8mm  + Kit  Branco ou anodizado fosco   + Bate Fecha, medindo: 3000 x 1300mm. </t>
    </r>
    <r>
      <rPr>
        <b/>
        <sz val="12"/>
        <rFont val="Arial"/>
        <family val="2"/>
      </rPr>
      <t>CONFORME PROJETO</t>
    </r>
  </si>
  <si>
    <t>4.36</t>
  </si>
  <si>
    <t>14.003.0225-5 + 14.003.0148-5</t>
  </si>
  <si>
    <t>PORTA DE ALUMINIO ANODIZADO AO NATURAL FOSCO,PERFIL SERIE 25,EM VENEZIANA, DUAS FOLHAS, EXCLUSIVE FECHADURA. Com JANELA DE ALUMINIO ANODIZADO AO NATURAL,TIPO MAXIM-AR,COM 1PAINEL DESLIZANTE PROJETANTE,PROVIDA DE HASTE DE COMANDO,EMPERFIS SERIE 28 FORNECIMENTO E COLOCACAO EM CONTRAMARCO. (1,7x2,50) INCLUSIVE VIDRO 4MM</t>
  </si>
  <si>
    <t>PORTA DE ALUMINIO ANODIZADO AO NATURAL FOSCO,PERFIL SERIE 25,EM VENEZIANA,EXCLUSIVE FECHADURA. Com JANELA DE ALUMINIO ANODIZADO AO NATURAL,TIPO MAXIM-AR,COM 1PAINEL DESLIZANTE PROJETANTE,PROVIDA DE HASTE DE COMANDO,EMPERFIS SERIE 28 FORNECIMENTO E COLOCACAO EM CONTRAMARCO. (0,8x2,50) inclusive vidro 4mm</t>
  </si>
  <si>
    <t>PORTA DE ALUMINIO ANODIZADO AO NATURAL FOSCO,PERFIL SERIE 25,EM VENEZIANA,EXCLUSIVE FECHADURA. Com JANELA DE ALUMINIO ANODIZADO AO NATURAL,TIPO MAXIM-AR,COM 1PAINEL DESLIZANTE PROJETANTE,PROVIDA DE HASTE DE COMANDO,EMPERFIS SERIE 28 FORNECIMENTO E COLOCACAO EM CONTRAMARCO. (0,9x2,50) inclusive vidro 4mm</t>
  </si>
  <si>
    <t>PORTA DE ALUMINIO ANODIZADO AO NATURAL FOSCO,PERFIL SERIE 25,EM VENEZIANA,EXCLUSIVE FECHADURA. Com JANELA DE ALUMINIO ANODIZADO AO NATURAL,TIPO MAXIM-AR,COM 1PAINEL DESLIZANTE PROJETANTE,PROVIDA DE HASTE DE COMANDO,EMPERFIS SERIE 28 FORNECIMENTO E COLOCACAO EM CONTRAMARCO. (0,8x2,50)  inclusive vidro 4mm</t>
  </si>
  <si>
    <r>
      <t xml:space="preserve">GRADE DE FERRO COM CONTORNO E MARCOS EM BARRAS DE 1.1/2"X1/4",  TRAVESSAS HORIZONTAIS EM BARRAS DE 11/2" X1/4", BARRAS VERTICAIS REDONDAS DE 5/8"",ESPACADAS DE 12,5CM, INCLUSIVE MONTANTE LATERAL QUADRADO 8X8CM.FORNECIMENTO E COLOCACAO - </t>
    </r>
    <r>
      <rPr>
        <b/>
        <sz val="12"/>
        <rFont val="Arial"/>
        <family val="2"/>
      </rPr>
      <t>CONFORME PROJETO</t>
    </r>
  </si>
  <si>
    <r>
      <t xml:space="preserve">PORTA EM ALUMÍNIO DE ABRIR TIPO VENEZIANA COM GUARNIÇÃO, FIXAÇÃO COM PARAFUSOS - FORNECIMENTO E INSTALAÇÃO, INCLUSIVE FECHADURA LIVRE-OCUPADO. - </t>
    </r>
    <r>
      <rPr>
        <b/>
        <sz val="12"/>
        <rFont val="Arial"/>
        <family val="2"/>
      </rPr>
      <t>SANITÁRIOS E SERVIÇO - PORTAS DE 0,60X1,60M</t>
    </r>
  </si>
  <si>
    <r>
      <t xml:space="preserve">QUADRO DE PROTECAO DE VAO EM CANTONEIRA DE ALUMÍNIO COM ABAS IGUAIS DE 5/8"X1/8",TELA DE ACO,FIO 12,MALHA DE 2,5X2,5M E TELATIPO MOSQUITEIRO ALUMINIO Malha 16 Fio 31 .FORNECIMENTO E COLOCACAO </t>
    </r>
    <r>
      <rPr>
        <b/>
        <sz val="12"/>
        <rFont val="Arial"/>
        <family val="2"/>
      </rPr>
      <t xml:space="preserve"> (REMOVÍVEL CONF. PROJETO)</t>
    </r>
  </si>
  <si>
    <r>
      <t xml:space="preserve">QUADRO DE PROTECAO DE VAO EM CANTONEIRA DE ALUMÍNIO COM ABAS IGUAIS DE 5/8"X1/8",TELA DE ACO,FIO 12,MALHA DE 2,5X2,5M E TELATIPO MOSQUITEIRO ALUMINIO Malha 16 Fio 31 .FORNECIMENTO E COLOCACAO - </t>
    </r>
    <r>
      <rPr>
        <b/>
        <sz val="12"/>
        <rFont val="Arial"/>
        <family val="2"/>
      </rPr>
      <t>(PASSA PRATOS) TIPO GUILHOTINA CONFORME PROJETO.</t>
    </r>
  </si>
  <si>
    <t>MASTRO METALICO EM TUBO DE FERRO GALVANIZADO DE 3" COM ALTURA DE 5,50M,EQUIPADO COM ROLDANA COM FIXACAO EM PRISMA DE CONCRETO DE 30X30X50CM.FORNECIMENTO E COLOCACAO INCLULSIVE PINTURA INTERNA OU EXTERNA SOBRE FERRO,COM ESMALTE SINTETICOBRILHANTE OU ACETINADO APOS LIXAMENTO,LIMPEZA,DESENGORDURAMENTO,UMA DEMAO DE FUNDO ANTICORROSIVO NA COR LARANJA DE SECAGEM RAPIDA E DUAS DEMAOS DE ACABAMENTO</t>
  </si>
  <si>
    <t>MASTRO METALICO EM TUBO DE FERRO GALVANIZADO DE 3" COM ALTURA DE 6,00M,EQUIPADO COM ROLDANA COM FIXACAO EM PRISMA DE CONCRETO DE 30X30X50CM.FORNECIMENTO E COLOCACAO INCLUSIVE PINTURA INTERNA OU EXTERNA SOBRE FERRO,COM ESMALTE SINTETICOBRILHANTE OU ACETINADO APOS LIXAMENTO,LIMPEZA,DESENGORDURAMENTO,UMA DEMAO DE FUNDO ANTICORROSIVO NA COR LARANJA DE SECAGEM RAPIDA E DUAS DEMAOS DE ACABAMENTO</t>
  </si>
  <si>
    <t>14.010.0015-A 17.017.0320-A</t>
  </si>
  <si>
    <t>14.010.0010-A 17.017.0320-A</t>
  </si>
  <si>
    <t>PORTA DE FERRO PARA ABRIGO DE GÁS,COM UMA FOLHA,QUADRO E MARCO DE BARRAS E CANTONEIRAS,COM TELA DE ARAME GALVANIZADO Nº10, MALHA DE 2CM, INCLUSIVE FECHO PARA COLOCACAO DE CADEADO, EXCLUSIVEESTE.FORNECIMENTO E COLOCACAO  INCLULSIVE PINTURA INTERNA OU EXTERNA SOBRE FERRO,COM ESMALTE SINTETICOBRILHANTE OU ACETINADO APOS LIXAMENTO,LIMPEZA,DESENGORDURAMENTO,UMA DEMAO DE FUNDO ANTICORROSIVO NA COR LARANJA DE SECAGEM RAPIDA E DUAS DEMAOS DE ACABAMENTO</t>
  </si>
  <si>
    <t>Forncecimento e instalação de plataforma elevatória cabinada com acionamento hidráulico, tendo a cabine espaço adequado para um cadeirante e um acompanhante, para acessibilidade conforme projeto</t>
  </si>
  <si>
    <r>
      <t xml:space="preserve">BANCA DE GRANITO CINZA ANDORINHA,COM 2CM DE ESPESSURA,COM ABERTURA PARA 2 CUBAS (EXCLUSIVE ESTAS), fixada em duas alturas, SOBRE APOIOS EM ALVENARIA E TUBO GALVANIZADO Ø 3/4",SEM REVESTIMENTO, FORNECIMENTO E COLOCACAO -  </t>
    </r>
    <r>
      <rPr>
        <b/>
        <sz val="12"/>
        <rFont val="Arial"/>
        <family val="2"/>
      </rPr>
      <t>SANITÁRIO DOS ALUNOS</t>
    </r>
  </si>
  <si>
    <r>
      <t>COBERTURA EM TELHA TERMICA DE GALVALUME,TRAPEZOIDAL,DUPLA COM ESPESSURA DE 30MM,INCLUSIVE pintura nas duas faces, TODOS OS ACESSORIOS NECESSARIOS A SUA EXECUCAO.MEDIDA PELA AREA REAL DE COBERTURA.FORNECIMENTO E COLOCACAO - inclusive acabamentos  laterais .</t>
    </r>
    <r>
      <rPr>
        <b/>
        <sz val="12"/>
        <rFont val="Arial"/>
        <family val="2"/>
      </rPr>
      <t>COR CONFORME PROJETO</t>
    </r>
  </si>
  <si>
    <t>8.8</t>
  </si>
  <si>
    <t>16.007.0030-5</t>
  </si>
  <si>
    <t>16.007.0027-A</t>
  </si>
  <si>
    <t>CALHA EM CHAPA DE ACO GALVANIZADO N°26 COM 50CM DE DESENVOLVIMENTO.FORNECIMENTO E COLOCACAO</t>
  </si>
  <si>
    <t>DATA: 22/09/2022</t>
  </si>
  <si>
    <r>
      <t>Secretaria Municipal de Planejamento Urbano</t>
    </r>
    <r>
      <rPr>
        <sz val="18"/>
        <color indexed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</si>
</sst>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#,##0.0"/>
    <numFmt numFmtId="165" formatCode="_ * #,##0.00_ ;_ * \-#,##0.00_ ;_ * &quot;-&quot;??_ ;_ @_ "/>
    <numFmt numFmtId="166" formatCode="_([$€]* #,##0.00_);_([$€]* \(#,##0.00\);_([$€]* &quot;-&quot;??_);_(@_)"/>
    <numFmt numFmtId="167" formatCode="_(* #,##0.00_);_(* \(#,##0.00\);_(* \-??_);_(@_)"/>
    <numFmt numFmtId="168" formatCode="_(* #,##0.00_);_(* \(#,##0.00\);_(* &quot;-&quot;??_);_(@_)"/>
  </numFmts>
  <fonts count="3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  <scheme val="minor"/>
    </font>
    <font>
      <sz val="16"/>
      <name val="Arial"/>
      <family val="2"/>
    </font>
    <font>
      <sz val="18"/>
      <name val="Arial"/>
      <family val="2"/>
    </font>
    <font>
      <b/>
      <sz val="16"/>
      <name val="Arial"/>
      <family val="2"/>
    </font>
    <font>
      <b/>
      <sz val="18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trike/>
      <sz val="12"/>
      <name val="Arial"/>
      <family val="2"/>
    </font>
    <font>
      <sz val="11"/>
      <color indexed="8"/>
      <name val="Arial"/>
      <family val="2"/>
    </font>
    <font>
      <b/>
      <sz val="16"/>
      <color indexed="8"/>
      <name val="Arial"/>
      <family val="2"/>
    </font>
    <font>
      <sz val="10"/>
      <name val="Switzerland"/>
    </font>
    <font>
      <sz val="14"/>
      <name val="Arial"/>
      <family val="2"/>
    </font>
    <font>
      <sz val="16"/>
      <color indexed="8"/>
      <name val="Arial"/>
      <family val="2"/>
    </font>
    <font>
      <b/>
      <sz val="20"/>
      <name val="Arial"/>
      <family val="2"/>
    </font>
    <font>
      <b/>
      <sz val="12"/>
      <name val="Switzerland"/>
    </font>
    <font>
      <sz val="12"/>
      <color indexed="10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sz val="12"/>
      <name val="Arial MT"/>
    </font>
    <font>
      <sz val="12"/>
      <name val="Arial MT"/>
      <family val="2"/>
    </font>
    <font>
      <sz val="11"/>
      <color theme="1"/>
      <name val="Calibri"/>
      <family val="2"/>
      <scheme val="minor"/>
    </font>
    <font>
      <sz val="14"/>
      <color indexed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14"/>
      <color indexed="8"/>
      <name val="Arial"/>
      <family val="2"/>
    </font>
    <font>
      <b/>
      <sz val="14"/>
      <name val="Switzerland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16" fillId="0" borderId="0"/>
    <xf numFmtId="165" fontId="16" fillId="0" borderId="0" applyFont="0" applyFill="0" applyBorder="0" applyAlignment="0" applyProtection="0"/>
    <xf numFmtId="0" fontId="20" fillId="0" borderId="0"/>
    <xf numFmtId="166" fontId="16" fillId="0" borderId="0" applyFont="0" applyFill="0" applyBorder="0" applyAlignment="0" applyProtection="0"/>
    <xf numFmtId="0" fontId="16" fillId="0" borderId="0"/>
    <xf numFmtId="0" fontId="1" fillId="0" borderId="0"/>
    <xf numFmtId="0" fontId="32" fillId="0" borderId="0"/>
    <xf numFmtId="0" fontId="1" fillId="0" borderId="0"/>
    <xf numFmtId="167" fontId="1" fillId="0" borderId="0" applyFill="0" applyBorder="0" applyAlignment="0" applyProtection="0"/>
    <xf numFmtId="168" fontId="1" fillId="0" borderId="0" applyFont="0" applyFill="0" applyBorder="0" applyAlignment="0" applyProtection="0"/>
  </cellStyleXfs>
  <cellXfs count="424">
    <xf numFmtId="0" fontId="0" fillId="0" borderId="0" xfId="0"/>
    <xf numFmtId="49" fontId="2" fillId="2" borderId="1" xfId="1" applyNumberFormat="1" applyFont="1" applyFill="1" applyBorder="1" applyAlignment="1">
      <alignment horizontal="center"/>
    </xf>
    <xf numFmtId="49" fontId="2" fillId="2" borderId="2" xfId="2" applyNumberFormat="1" applyFont="1" applyFill="1" applyBorder="1" applyAlignment="1">
      <alignment horizontal="center"/>
    </xf>
    <xf numFmtId="4" fontId="2" fillId="2" borderId="1" xfId="1" applyNumberFormat="1" applyFont="1" applyFill="1" applyBorder="1" applyAlignment="1">
      <alignment horizontal="left"/>
    </xf>
    <xf numFmtId="4" fontId="2" fillId="2" borderId="2" xfId="1" applyNumberFormat="1" applyFont="1" applyFill="1" applyBorder="1" applyAlignment="1">
      <alignment horizontal="left"/>
    </xf>
    <xf numFmtId="49" fontId="2" fillId="2" borderId="4" xfId="1" applyNumberFormat="1" applyFont="1" applyFill="1" applyBorder="1" applyAlignment="1">
      <alignment horizontal="center"/>
    </xf>
    <xf numFmtId="49" fontId="2" fillId="2" borderId="0" xfId="2" applyNumberFormat="1" applyFont="1" applyFill="1" applyAlignment="1">
      <alignment horizontal="center"/>
    </xf>
    <xf numFmtId="4" fontId="2" fillId="2" borderId="4" xfId="2" applyNumberFormat="1" applyFont="1" applyFill="1" applyBorder="1" applyAlignment="1">
      <alignment horizontal="left"/>
    </xf>
    <xf numFmtId="4" fontId="2" fillId="2" borderId="0" xfId="2" applyNumberFormat="1" applyFont="1" applyFill="1" applyAlignment="1">
      <alignment horizontal="left"/>
    </xf>
    <xf numFmtId="49" fontId="2" fillId="2" borderId="6" xfId="1" applyNumberFormat="1" applyFont="1" applyFill="1" applyBorder="1" applyAlignment="1">
      <alignment horizontal="center"/>
    </xf>
    <xf numFmtId="49" fontId="2" fillId="2" borderId="7" xfId="1" applyNumberFormat="1" applyFont="1" applyFill="1" applyBorder="1" applyAlignment="1">
      <alignment horizontal="center"/>
    </xf>
    <xf numFmtId="4" fontId="11" fillId="2" borderId="7" xfId="1" applyNumberFormat="1" applyFont="1" applyFill="1" applyBorder="1" applyAlignment="1">
      <alignment vertical="center" readingOrder="1"/>
    </xf>
    <xf numFmtId="0" fontId="5" fillId="2" borderId="8" xfId="1" applyFont="1" applyFill="1" applyBorder="1"/>
    <xf numFmtId="0" fontId="14" fillId="3" borderId="9" xfId="3" applyFont="1" applyFill="1" applyBorder="1" applyAlignment="1">
      <alignment horizontal="center" vertical="center"/>
    </xf>
    <xf numFmtId="0" fontId="14" fillId="3" borderId="9" xfId="3" applyFont="1" applyFill="1" applyBorder="1" applyAlignment="1">
      <alignment horizontal="center" vertical="center" wrapText="1"/>
    </xf>
    <xf numFmtId="0" fontId="14" fillId="3" borderId="9" xfId="3" applyFont="1" applyFill="1" applyBorder="1" applyAlignment="1">
      <alignment horizontal="justify" vertical="top" wrapText="1"/>
    </xf>
    <xf numFmtId="4" fontId="14" fillId="3" borderId="9" xfId="3" applyNumberFormat="1" applyFont="1" applyFill="1" applyBorder="1" applyAlignment="1">
      <alignment horizontal="center" vertical="center"/>
    </xf>
    <xf numFmtId="4" fontId="14" fillId="3" borderId="9" xfId="3" applyNumberFormat="1" applyFont="1" applyFill="1" applyBorder="1"/>
    <xf numFmtId="4" fontId="14" fillId="3" borderId="9" xfId="3" applyNumberFormat="1" applyFont="1" applyFill="1" applyBorder="1" applyAlignment="1">
      <alignment horizontal="right"/>
    </xf>
    <xf numFmtId="165" fontId="14" fillId="3" borderId="9" xfId="4" applyFont="1" applyFill="1" applyBorder="1" applyAlignment="1">
      <alignment horizontal="center" vertical="center"/>
    </xf>
    <xf numFmtId="0" fontId="17" fillId="3" borderId="9" xfId="4" applyNumberFormat="1" applyFont="1" applyFill="1" applyBorder="1" applyAlignment="1">
      <alignment horizontal="justify" vertical="justify" wrapText="1"/>
    </xf>
    <xf numFmtId="4" fontId="17" fillId="3" borderId="9" xfId="4" applyNumberFormat="1" applyFont="1" applyFill="1" applyBorder="1" applyAlignment="1">
      <alignment horizontal="right"/>
    </xf>
    <xf numFmtId="4" fontId="17" fillId="3" borderId="9" xfId="3" applyNumberFormat="1" applyFont="1" applyFill="1" applyBorder="1" applyAlignment="1">
      <alignment horizontal="right"/>
    </xf>
    <xf numFmtId="0" fontId="14" fillId="3" borderId="9" xfId="4" applyNumberFormat="1" applyFont="1" applyFill="1" applyBorder="1" applyAlignment="1">
      <alignment horizontal="justify" vertical="justify" wrapText="1"/>
    </xf>
    <xf numFmtId="4" fontId="14" fillId="3" borderId="9" xfId="4" applyNumberFormat="1" applyFont="1" applyFill="1" applyBorder="1" applyAlignment="1">
      <alignment horizontal="right"/>
    </xf>
    <xf numFmtId="0" fontId="21" fillId="0" borderId="0" xfId="5" applyFont="1"/>
    <xf numFmtId="0" fontId="20" fillId="0" borderId="0" xfId="5"/>
    <xf numFmtId="4" fontId="9" fillId="0" borderId="6" xfId="1" applyNumberFormat="1" applyFont="1" applyBorder="1" applyAlignment="1">
      <alignment vertical="center" wrapText="1"/>
    </xf>
    <xf numFmtId="4" fontId="9" fillId="0" borderId="7" xfId="1" applyNumberFormat="1" applyFont="1" applyBorder="1" applyAlignment="1">
      <alignment vertical="center" wrapText="1"/>
    </xf>
    <xf numFmtId="0" fontId="23" fillId="0" borderId="0" xfId="1" applyFont="1" applyAlignment="1">
      <alignment vertical="center" wrapText="1"/>
    </xf>
    <xf numFmtId="0" fontId="14" fillId="0" borderId="0" xfId="0" applyFont="1"/>
    <xf numFmtId="4" fontId="14" fillId="0" borderId="0" xfId="0" applyNumberFormat="1" applyFont="1"/>
    <xf numFmtId="4" fontId="9" fillId="0" borderId="0" xfId="1" applyNumberFormat="1" applyFont="1" applyAlignment="1">
      <alignment horizontal="center" vertical="center" wrapText="1"/>
    </xf>
    <xf numFmtId="44" fontId="19" fillId="0" borderId="2" xfId="2" applyNumberFormat="1" applyFont="1" applyBorder="1" applyAlignment="1">
      <alignment horizontal="center" vertical="center" wrapText="1" readingOrder="1"/>
    </xf>
    <xf numFmtId="44" fontId="19" fillId="0" borderId="0" xfId="2" applyNumberFormat="1" applyFont="1" applyAlignment="1">
      <alignment horizontal="center" vertical="center" wrapText="1" readingOrder="1"/>
    </xf>
    <xf numFmtId="4" fontId="5" fillId="0" borderId="0" xfId="2" applyNumberFormat="1" applyFont="1" applyAlignment="1">
      <alignment horizontal="center" vertical="center" wrapText="1" readingOrder="1"/>
    </xf>
    <xf numFmtId="0" fontId="5" fillId="0" borderId="0" xfId="1" applyFont="1" applyAlignment="1">
      <alignment horizontal="center"/>
    </xf>
    <xf numFmtId="4" fontId="9" fillId="0" borderId="0" xfId="2" applyNumberFormat="1" applyFont="1" applyAlignment="1">
      <alignment horizontal="center" vertical="center" wrapText="1"/>
    </xf>
    <xf numFmtId="44" fontId="19" fillId="0" borderId="3" xfId="2" applyNumberFormat="1" applyFont="1" applyBorder="1" applyAlignment="1">
      <alignment vertical="center" wrapText="1" readingOrder="1"/>
    </xf>
    <xf numFmtId="44" fontId="19" fillId="0" borderId="5" xfId="2" applyNumberFormat="1" applyFont="1" applyBorder="1" applyAlignment="1">
      <alignment vertical="center" wrapText="1" readingOrder="1"/>
    </xf>
    <xf numFmtId="4" fontId="5" fillId="0" borderId="5" xfId="2" applyNumberFormat="1" applyFont="1" applyBorder="1" applyAlignment="1">
      <alignment vertical="center" wrapText="1" readingOrder="1"/>
    </xf>
    <xf numFmtId="0" fontId="5" fillId="0" borderId="5" xfId="1" applyFont="1" applyBorder="1"/>
    <xf numFmtId="4" fontId="9" fillId="0" borderId="5" xfId="2" applyNumberFormat="1" applyFont="1" applyBorder="1" applyAlignment="1">
      <alignment vertical="center" wrapText="1"/>
    </xf>
    <xf numFmtId="4" fontId="9" fillId="0" borderId="5" xfId="1" applyNumberFormat="1" applyFont="1" applyBorder="1" applyAlignment="1">
      <alignment vertical="center" wrapText="1"/>
    </xf>
    <xf numFmtId="4" fontId="9" fillId="0" borderId="8" xfId="1" applyNumberFormat="1" applyFont="1" applyBorder="1" applyAlignment="1">
      <alignment vertical="center" wrapText="1"/>
    </xf>
    <xf numFmtId="0" fontId="4" fillId="0" borderId="2" xfId="7" applyFont="1" applyBorder="1" applyAlignment="1">
      <alignment horizontal="center"/>
    </xf>
    <xf numFmtId="0" fontId="4" fillId="0" borderId="3" xfId="7" applyFont="1" applyBorder="1"/>
    <xf numFmtId="0" fontId="4" fillId="0" borderId="0" xfId="7" applyFont="1"/>
    <xf numFmtId="0" fontId="4" fillId="0" borderId="0" xfId="7" applyFont="1" applyAlignment="1">
      <alignment horizontal="center"/>
    </xf>
    <xf numFmtId="0" fontId="4" fillId="0" borderId="5" xfId="7" applyFont="1" applyBorder="1"/>
    <xf numFmtId="0" fontId="4" fillId="0" borderId="7" xfId="7" applyFont="1" applyBorder="1"/>
    <xf numFmtId="0" fontId="13" fillId="0" borderId="9" xfId="7" applyFont="1" applyBorder="1" applyAlignment="1">
      <alignment horizontal="center" vertical="center"/>
    </xf>
    <xf numFmtId="4" fontId="13" fillId="0" borderId="9" xfId="7" applyNumberFormat="1" applyFont="1" applyBorder="1" applyAlignment="1">
      <alignment horizontal="center" vertical="center"/>
    </xf>
    <xf numFmtId="0" fontId="12" fillId="0" borderId="10" xfId="7" applyFont="1" applyBorder="1" applyAlignment="1">
      <alignment horizontal="center" vertical="center"/>
    </xf>
    <xf numFmtId="49" fontId="14" fillId="0" borderId="10" xfId="7" applyNumberFormat="1" applyFont="1" applyBorder="1" applyAlignment="1">
      <alignment horizontal="center" vertical="center" wrapText="1"/>
    </xf>
    <xf numFmtId="0" fontId="15" fillId="0" borderId="0" xfId="7" applyFont="1"/>
    <xf numFmtId="4" fontId="14" fillId="3" borderId="9" xfId="7" applyNumberFormat="1" applyFont="1" applyFill="1" applyBorder="1" applyAlignment="1">
      <alignment horizontal="right"/>
    </xf>
    <xf numFmtId="0" fontId="15" fillId="4" borderId="0" xfId="7" applyFont="1" applyFill="1"/>
    <xf numFmtId="0" fontId="14" fillId="0" borderId="0" xfId="3" applyFont="1" applyAlignment="1">
      <alignment horizontal="center" vertical="center"/>
    </xf>
    <xf numFmtId="0" fontId="14" fillId="0" borderId="0" xfId="3" applyFont="1" applyAlignment="1">
      <alignment horizontal="center" vertical="center" wrapText="1"/>
    </xf>
    <xf numFmtId="0" fontId="14" fillId="0" borderId="0" xfId="3" applyFont="1" applyAlignment="1">
      <alignment horizontal="justify" vertical="top" wrapText="1"/>
    </xf>
    <xf numFmtId="4" fontId="14" fillId="0" borderId="0" xfId="3" applyNumberFormat="1" applyFont="1" applyAlignment="1">
      <alignment horizontal="center" vertical="center"/>
    </xf>
    <xf numFmtId="4" fontId="14" fillId="0" borderId="0" xfId="3" applyNumberFormat="1" applyFont="1"/>
    <xf numFmtId="4" fontId="14" fillId="0" borderId="0" xfId="3" applyNumberFormat="1" applyFont="1" applyAlignment="1">
      <alignment horizontal="right"/>
    </xf>
    <xf numFmtId="4" fontId="14" fillId="0" borderId="0" xfId="7" applyNumberFormat="1" applyFont="1" applyAlignment="1">
      <alignment horizontal="right"/>
    </xf>
    <xf numFmtId="0" fontId="15" fillId="0" borderId="0" xfId="3" applyFont="1" applyAlignment="1">
      <alignment horizontal="justify" vertical="top"/>
    </xf>
    <xf numFmtId="164" fontId="15" fillId="0" borderId="0" xfId="3" applyNumberFormat="1" applyFont="1"/>
    <xf numFmtId="4" fontId="15" fillId="0" borderId="0" xfId="3" applyNumberFormat="1" applyFont="1"/>
    <xf numFmtId="0" fontId="14" fillId="3" borderId="9" xfId="7" applyFont="1" applyFill="1" applyBorder="1" applyAlignment="1">
      <alignment horizontal="center" vertical="center"/>
    </xf>
    <xf numFmtId="0" fontId="15" fillId="4" borderId="0" xfId="3" applyFont="1" applyFill="1" applyAlignment="1">
      <alignment horizontal="justify" vertical="top"/>
    </xf>
    <xf numFmtId="164" fontId="15" fillId="4" borderId="0" xfId="3" applyNumberFormat="1" applyFont="1" applyFill="1"/>
    <xf numFmtId="4" fontId="15" fillId="4" borderId="0" xfId="3" applyNumberFormat="1" applyFont="1" applyFill="1"/>
    <xf numFmtId="0" fontId="14" fillId="3" borderId="9" xfId="7" applyFont="1" applyFill="1" applyBorder="1" applyAlignment="1">
      <alignment horizontal="center" vertical="center" wrapText="1"/>
    </xf>
    <xf numFmtId="0" fontId="14" fillId="3" borderId="9" xfId="7" applyFont="1" applyFill="1" applyBorder="1" applyAlignment="1">
      <alignment horizontal="justify" vertical="justify" wrapText="1"/>
    </xf>
    <xf numFmtId="0" fontId="14" fillId="0" borderId="0" xfId="7" applyFont="1" applyAlignment="1">
      <alignment horizontal="center" vertical="center"/>
    </xf>
    <xf numFmtId="0" fontId="14" fillId="0" borderId="0" xfId="7" applyFont="1" applyAlignment="1">
      <alignment horizontal="center" vertical="center" wrapText="1"/>
    </xf>
    <xf numFmtId="0" fontId="14" fillId="0" borderId="0" xfId="7" applyFont="1" applyAlignment="1">
      <alignment horizontal="justify" vertical="justify" wrapText="1"/>
    </xf>
    <xf numFmtId="165" fontId="14" fillId="0" borderId="0" xfId="4" applyFont="1" applyFill="1" applyBorder="1" applyAlignment="1">
      <alignment horizontal="center" vertical="center"/>
    </xf>
    <xf numFmtId="4" fontId="14" fillId="0" borderId="0" xfId="4" applyNumberFormat="1" applyFont="1" applyFill="1" applyBorder="1" applyAlignment="1">
      <alignment horizontal="right"/>
    </xf>
    <xf numFmtId="0" fontId="15" fillId="5" borderId="0" xfId="7" applyFont="1" applyFill="1"/>
    <xf numFmtId="49" fontId="14" fillId="0" borderId="0" xfId="7" applyNumberFormat="1" applyFont="1" applyAlignment="1">
      <alignment horizontal="center" vertical="center" wrapText="1"/>
    </xf>
    <xf numFmtId="0" fontId="14" fillId="0" borderId="0" xfId="4" applyNumberFormat="1" applyFont="1" applyFill="1" applyBorder="1" applyAlignment="1">
      <alignment horizontal="justify" vertical="justify" wrapText="1"/>
    </xf>
    <xf numFmtId="0" fontId="15" fillId="6" borderId="0" xfId="7" applyFont="1" applyFill="1"/>
    <xf numFmtId="0" fontId="17" fillId="3" borderId="9" xfId="7" applyFont="1" applyFill="1" applyBorder="1" applyAlignment="1">
      <alignment horizontal="center" vertical="center"/>
    </xf>
    <xf numFmtId="49" fontId="17" fillId="3" borderId="9" xfId="7" applyNumberFormat="1" applyFont="1" applyFill="1" applyBorder="1" applyAlignment="1">
      <alignment horizontal="center" vertical="center" wrapText="1"/>
    </xf>
    <xf numFmtId="4" fontId="17" fillId="3" borderId="9" xfId="7" applyNumberFormat="1" applyFont="1" applyFill="1" applyBorder="1" applyAlignment="1">
      <alignment horizontal="right"/>
    </xf>
    <xf numFmtId="0" fontId="17" fillId="0" borderId="0" xfId="7" applyFont="1" applyAlignment="1">
      <alignment horizontal="center" vertical="center"/>
    </xf>
    <xf numFmtId="0" fontId="17" fillId="0" borderId="0" xfId="7" applyFont="1" applyAlignment="1">
      <alignment horizontal="center" vertical="center" wrapText="1"/>
    </xf>
    <xf numFmtId="0" fontId="17" fillId="0" borderId="0" xfId="7" applyFont="1" applyAlignment="1">
      <alignment horizontal="justify" vertical="justify" wrapText="1"/>
    </xf>
    <xf numFmtId="165" fontId="17" fillId="0" borderId="0" xfId="4" applyFont="1" applyFill="1" applyBorder="1" applyAlignment="1">
      <alignment horizontal="center" vertical="center"/>
    </xf>
    <xf numFmtId="4" fontId="17" fillId="0" borderId="0" xfId="7" applyNumberFormat="1" applyFont="1" applyAlignment="1">
      <alignment horizontal="right"/>
    </xf>
    <xf numFmtId="4" fontId="17" fillId="0" borderId="0" xfId="4" applyNumberFormat="1" applyFont="1" applyFill="1" applyBorder="1" applyAlignment="1">
      <alignment horizontal="right"/>
    </xf>
    <xf numFmtId="0" fontId="14" fillId="2" borderId="0" xfId="7" applyFont="1" applyFill="1" applyAlignment="1">
      <alignment horizontal="center" vertical="center"/>
    </xf>
    <xf numFmtId="49" fontId="14" fillId="2" borderId="0" xfId="7" applyNumberFormat="1" applyFont="1" applyFill="1" applyAlignment="1">
      <alignment horizontal="center" vertical="center" wrapText="1"/>
    </xf>
    <xf numFmtId="0" fontId="14" fillId="2" borderId="0" xfId="4" applyNumberFormat="1" applyFont="1" applyFill="1" applyBorder="1" applyAlignment="1">
      <alignment horizontal="justify" vertical="justify" wrapText="1"/>
    </xf>
    <xf numFmtId="4" fontId="14" fillId="2" borderId="0" xfId="4" applyNumberFormat="1" applyFont="1" applyFill="1" applyBorder="1" applyAlignment="1">
      <alignment horizontal="right"/>
    </xf>
    <xf numFmtId="4" fontId="14" fillId="2" borderId="0" xfId="7" applyNumberFormat="1" applyFont="1" applyFill="1" applyAlignment="1">
      <alignment horizontal="right"/>
    </xf>
    <xf numFmtId="4" fontId="14" fillId="2" borderId="0" xfId="3" applyNumberFormat="1" applyFont="1" applyFill="1" applyAlignment="1">
      <alignment horizontal="right"/>
    </xf>
    <xf numFmtId="49" fontId="14" fillId="3" borderId="9" xfId="7" applyNumberFormat="1" applyFont="1" applyFill="1" applyBorder="1" applyAlignment="1">
      <alignment horizontal="center" vertical="center" wrapText="1"/>
    </xf>
    <xf numFmtId="4" fontId="12" fillId="2" borderId="0" xfId="3" applyNumberFormat="1" applyFont="1" applyFill="1" applyAlignment="1">
      <alignment horizontal="right"/>
    </xf>
    <xf numFmtId="0" fontId="25" fillId="0" borderId="0" xfId="7" applyFont="1" applyAlignment="1">
      <alignment vertical="center"/>
    </xf>
    <xf numFmtId="0" fontId="25" fillId="0" borderId="0" xfId="7" applyFont="1" applyAlignment="1">
      <alignment horizontal="center" vertical="center" wrapText="1"/>
    </xf>
    <xf numFmtId="0" fontId="25" fillId="0" borderId="0" xfId="7" applyFont="1"/>
    <xf numFmtId="0" fontId="25" fillId="0" borderId="0" xfId="7" applyFont="1" applyAlignment="1">
      <alignment horizontal="center" vertical="center"/>
    </xf>
    <xf numFmtId="4" fontId="25" fillId="0" borderId="0" xfId="7" applyNumberFormat="1" applyFont="1"/>
    <xf numFmtId="0" fontId="26" fillId="0" borderId="0" xfId="7" applyFont="1" applyAlignment="1">
      <alignment vertical="center"/>
    </xf>
    <xf numFmtId="0" fontId="26" fillId="0" borderId="0" xfId="7" applyFont="1" applyAlignment="1">
      <alignment horizontal="center" vertical="center" wrapText="1"/>
    </xf>
    <xf numFmtId="0" fontId="26" fillId="0" borderId="0" xfId="7" applyFont="1"/>
    <xf numFmtId="0" fontId="26" fillId="0" borderId="0" xfId="7" applyFont="1" applyAlignment="1">
      <alignment horizontal="center" vertical="center"/>
    </xf>
    <xf numFmtId="4" fontId="26" fillId="0" borderId="0" xfId="7" applyNumberFormat="1" applyFont="1"/>
    <xf numFmtId="0" fontId="15" fillId="0" borderId="0" xfId="7" applyFont="1" applyAlignment="1">
      <alignment vertical="center"/>
    </xf>
    <xf numFmtId="0" fontId="18" fillId="0" borderId="0" xfId="7" applyFont="1" applyAlignment="1">
      <alignment horizontal="center" vertical="center" wrapText="1"/>
    </xf>
    <xf numFmtId="0" fontId="18" fillId="0" borderId="0" xfId="7" applyFont="1"/>
    <xf numFmtId="0" fontId="18" fillId="0" borderId="0" xfId="7" applyFont="1" applyAlignment="1">
      <alignment horizontal="center" vertical="center"/>
    </xf>
    <xf numFmtId="4" fontId="18" fillId="0" borderId="0" xfId="7" applyNumberFormat="1" applyFont="1"/>
    <xf numFmtId="0" fontId="15" fillId="0" borderId="0" xfId="7" applyFont="1" applyFill="1"/>
    <xf numFmtId="0" fontId="14" fillId="0" borderId="9" xfId="3" applyFont="1" applyFill="1" applyBorder="1" applyAlignment="1">
      <alignment horizontal="center" vertical="center"/>
    </xf>
    <xf numFmtId="0" fontId="14" fillId="0" borderId="9" xfId="3" applyFont="1" applyFill="1" applyBorder="1" applyAlignment="1">
      <alignment horizontal="center" vertical="center" wrapText="1"/>
    </xf>
    <xf numFmtId="0" fontId="14" fillId="0" borderId="9" xfId="3" applyFont="1" applyFill="1" applyBorder="1" applyAlignment="1">
      <alignment horizontal="justify" vertical="top" wrapText="1"/>
    </xf>
    <xf numFmtId="4" fontId="14" fillId="0" borderId="9" xfId="3" applyNumberFormat="1" applyFont="1" applyFill="1" applyBorder="1" applyAlignment="1">
      <alignment horizontal="center" vertical="center"/>
    </xf>
    <xf numFmtId="4" fontId="14" fillId="0" borderId="9" xfId="3" applyNumberFormat="1" applyFont="1" applyFill="1" applyBorder="1"/>
    <xf numFmtId="4" fontId="14" fillId="0" borderId="9" xfId="3" applyNumberFormat="1" applyFont="1" applyFill="1" applyBorder="1" applyAlignment="1">
      <alignment horizontal="right"/>
    </xf>
    <xf numFmtId="4" fontId="14" fillId="0" borderId="9" xfId="7" applyNumberFormat="1" applyFont="1" applyFill="1" applyBorder="1" applyAlignment="1">
      <alignment horizontal="right"/>
    </xf>
    <xf numFmtId="0" fontId="14" fillId="0" borderId="9" xfId="7" applyFont="1" applyFill="1" applyBorder="1" applyAlignment="1">
      <alignment horizontal="center" vertical="center"/>
    </xf>
    <xf numFmtId="0" fontId="14" fillId="0" borderId="9" xfId="7" applyFont="1" applyFill="1" applyBorder="1" applyAlignment="1">
      <alignment horizontal="center" vertical="center" wrapText="1"/>
    </xf>
    <xf numFmtId="0" fontId="14" fillId="0" borderId="9" xfId="7" applyFont="1" applyFill="1" applyBorder="1" applyAlignment="1">
      <alignment horizontal="justify" vertical="justify" wrapText="1"/>
    </xf>
    <xf numFmtId="165" fontId="14" fillId="0" borderId="9" xfId="4" applyFont="1" applyFill="1" applyBorder="1" applyAlignment="1">
      <alignment horizontal="center" vertical="center"/>
    </xf>
    <xf numFmtId="0" fontId="14" fillId="0" borderId="9" xfId="4" applyNumberFormat="1" applyFont="1" applyFill="1" applyBorder="1" applyAlignment="1">
      <alignment horizontal="justify" vertical="justify" wrapText="1"/>
    </xf>
    <xf numFmtId="49" fontId="14" fillId="0" borderId="9" xfId="7" applyNumberFormat="1" applyFont="1" applyFill="1" applyBorder="1" applyAlignment="1">
      <alignment horizontal="center" vertical="center" wrapText="1"/>
    </xf>
    <xf numFmtId="4" fontId="14" fillId="0" borderId="9" xfId="4" applyNumberFormat="1" applyFont="1" applyFill="1" applyBorder="1" applyAlignment="1">
      <alignment horizontal="right"/>
    </xf>
    <xf numFmtId="4" fontId="12" fillId="0" borderId="9" xfId="3" applyNumberFormat="1" applyFont="1" applyFill="1" applyBorder="1" applyAlignment="1">
      <alignment horizontal="right"/>
    </xf>
    <xf numFmtId="4" fontId="12" fillId="0" borderId="9" xfId="7" applyNumberFormat="1" applyFont="1" applyFill="1" applyBorder="1" applyAlignment="1">
      <alignment horizontal="right"/>
    </xf>
    <xf numFmtId="0" fontId="27" fillId="0" borderId="0" xfId="7" applyFont="1" applyFill="1"/>
    <xf numFmtId="0" fontId="14" fillId="3" borderId="10" xfId="3" applyFont="1" applyFill="1" applyBorder="1" applyAlignment="1">
      <alignment horizontal="center" vertical="center"/>
    </xf>
    <xf numFmtId="0" fontId="14" fillId="3" borderId="10" xfId="3" applyFont="1" applyFill="1" applyBorder="1" applyAlignment="1">
      <alignment horizontal="center" vertical="center" wrapText="1"/>
    </xf>
    <xf numFmtId="0" fontId="14" fillId="3" borderId="10" xfId="3" applyFont="1" applyFill="1" applyBorder="1" applyAlignment="1">
      <alignment horizontal="justify" vertical="top" wrapText="1"/>
    </xf>
    <xf numFmtId="4" fontId="14" fillId="3" borderId="10" xfId="3" applyNumberFormat="1" applyFont="1" applyFill="1" applyBorder="1" applyAlignment="1">
      <alignment horizontal="center" vertical="center"/>
    </xf>
    <xf numFmtId="4" fontId="14" fillId="3" borderId="10" xfId="3" applyNumberFormat="1" applyFont="1" applyFill="1" applyBorder="1"/>
    <xf numFmtId="4" fontId="14" fillId="3" borderId="10" xfId="3" applyNumberFormat="1" applyFont="1" applyFill="1" applyBorder="1" applyAlignment="1">
      <alignment horizontal="right"/>
    </xf>
    <xf numFmtId="4" fontId="14" fillId="3" borderId="10" xfId="7" applyNumberFormat="1" applyFont="1" applyFill="1" applyBorder="1" applyAlignment="1">
      <alignment horizontal="right"/>
    </xf>
    <xf numFmtId="4" fontId="14" fillId="3" borderId="15" xfId="3" applyNumberFormat="1" applyFont="1" applyFill="1" applyBorder="1" applyAlignment="1">
      <alignment horizontal="right"/>
    </xf>
    <xf numFmtId="4" fontId="14" fillId="3" borderId="15" xfId="7" applyNumberFormat="1" applyFont="1" applyFill="1" applyBorder="1" applyAlignment="1">
      <alignment horizontal="right"/>
    </xf>
    <xf numFmtId="0" fontId="14" fillId="2" borderId="0" xfId="3" applyFont="1" applyFill="1" applyBorder="1" applyAlignment="1">
      <alignment horizontal="center" vertical="center" wrapText="1"/>
    </xf>
    <xf numFmtId="0" fontId="14" fillId="2" borderId="0" xfId="3" applyFont="1" applyFill="1" applyBorder="1" applyAlignment="1">
      <alignment horizontal="justify" vertical="top" wrapText="1"/>
    </xf>
    <xf numFmtId="4" fontId="14" fillId="2" borderId="0" xfId="3" applyNumberFormat="1" applyFont="1" applyFill="1" applyBorder="1" applyAlignment="1">
      <alignment horizontal="center" vertical="center"/>
    </xf>
    <xf numFmtId="4" fontId="14" fillId="2" borderId="0" xfId="3" applyNumberFormat="1" applyFont="1" applyFill="1" applyBorder="1"/>
    <xf numFmtId="4" fontId="14" fillId="2" borderId="0" xfId="3" applyNumberFormat="1" applyFont="1" applyFill="1" applyBorder="1" applyAlignment="1">
      <alignment horizontal="right"/>
    </xf>
    <xf numFmtId="0" fontId="15" fillId="0" borderId="0" xfId="7" applyFont="1" applyBorder="1"/>
    <xf numFmtId="0" fontId="14" fillId="2" borderId="1" xfId="3" applyFont="1" applyFill="1" applyBorder="1" applyAlignment="1">
      <alignment horizontal="center" vertical="center"/>
    </xf>
    <xf numFmtId="0" fontId="14" fillId="2" borderId="2" xfId="3" applyFont="1" applyFill="1" applyBorder="1" applyAlignment="1">
      <alignment horizontal="center" vertical="center" wrapText="1"/>
    </xf>
    <xf numFmtId="0" fontId="14" fillId="2" borderId="2" xfId="3" applyFont="1" applyFill="1" applyBorder="1" applyAlignment="1">
      <alignment horizontal="justify" vertical="top" wrapText="1"/>
    </xf>
    <xf numFmtId="4" fontId="14" fillId="2" borderId="2" xfId="3" applyNumberFormat="1" applyFont="1" applyFill="1" applyBorder="1" applyAlignment="1">
      <alignment horizontal="center" vertical="center"/>
    </xf>
    <xf numFmtId="4" fontId="14" fillId="2" borderId="2" xfId="3" applyNumberFormat="1" applyFont="1" applyFill="1" applyBorder="1"/>
    <xf numFmtId="4" fontId="14" fillId="2" borderId="2" xfId="3" applyNumberFormat="1" applyFont="1" applyFill="1" applyBorder="1" applyAlignment="1">
      <alignment horizontal="right"/>
    </xf>
    <xf numFmtId="4" fontId="14" fillId="2" borderId="3" xfId="7" applyNumberFormat="1" applyFont="1" applyFill="1" applyBorder="1" applyAlignment="1">
      <alignment horizontal="right"/>
    </xf>
    <xf numFmtId="0" fontId="14" fillId="2" borderId="4" xfId="3" applyFont="1" applyFill="1" applyBorder="1" applyAlignment="1">
      <alignment horizontal="center" vertical="center"/>
    </xf>
    <xf numFmtId="4" fontId="14" fillId="2" borderId="5" xfId="7" applyNumberFormat="1" applyFont="1" applyFill="1" applyBorder="1" applyAlignment="1">
      <alignment horizontal="right"/>
    </xf>
    <xf numFmtId="0" fontId="14" fillId="2" borderId="6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 wrapText="1"/>
    </xf>
    <xf numFmtId="0" fontId="14" fillId="2" borderId="7" xfId="3" applyFont="1" applyFill="1" applyBorder="1" applyAlignment="1">
      <alignment horizontal="justify" vertical="top" wrapText="1"/>
    </xf>
    <xf numFmtId="4" fontId="14" fillId="2" borderId="7" xfId="3" applyNumberFormat="1" applyFont="1" applyFill="1" applyBorder="1" applyAlignment="1">
      <alignment horizontal="center" vertical="center"/>
    </xf>
    <xf numFmtId="4" fontId="14" fillId="2" borderId="7" xfId="3" applyNumberFormat="1" applyFont="1" applyFill="1" applyBorder="1"/>
    <xf numFmtId="4" fontId="14" fillId="2" borderId="7" xfId="3" applyNumberFormat="1" applyFont="1" applyFill="1" applyBorder="1" applyAlignment="1">
      <alignment horizontal="right"/>
    </xf>
    <xf numFmtId="4" fontId="14" fillId="2" borderId="8" xfId="7" applyNumberFormat="1" applyFont="1" applyFill="1" applyBorder="1" applyAlignment="1">
      <alignment horizontal="right"/>
    </xf>
    <xf numFmtId="0" fontId="14" fillId="3" borderId="14" xfId="3" applyFont="1" applyFill="1" applyBorder="1" applyAlignment="1">
      <alignment horizontal="center" vertical="center"/>
    </xf>
    <xf numFmtId="0" fontId="14" fillId="3" borderId="14" xfId="3" applyFont="1" applyFill="1" applyBorder="1" applyAlignment="1">
      <alignment horizontal="center" vertical="center" wrapText="1"/>
    </xf>
    <xf numFmtId="0" fontId="14" fillId="3" borderId="14" xfId="3" applyFont="1" applyFill="1" applyBorder="1" applyAlignment="1">
      <alignment horizontal="justify" vertical="top" wrapText="1"/>
    </xf>
    <xf numFmtId="4" fontId="14" fillId="3" borderId="14" xfId="3" applyNumberFormat="1" applyFont="1" applyFill="1" applyBorder="1" applyAlignment="1">
      <alignment horizontal="center" vertical="center"/>
    </xf>
    <xf numFmtId="4" fontId="14" fillId="3" borderId="14" xfId="3" applyNumberFormat="1" applyFont="1" applyFill="1" applyBorder="1"/>
    <xf numFmtId="0" fontId="27" fillId="0" borderId="0" xfId="7" applyFont="1"/>
    <xf numFmtId="0" fontId="14" fillId="3" borderId="15" xfId="7" applyFont="1" applyFill="1" applyBorder="1" applyAlignment="1">
      <alignment horizontal="center" vertical="center"/>
    </xf>
    <xf numFmtId="0" fontId="14" fillId="3" borderId="14" xfId="7" applyFont="1" applyFill="1" applyBorder="1" applyAlignment="1">
      <alignment horizontal="center" vertical="center"/>
    </xf>
    <xf numFmtId="0" fontId="14" fillId="0" borderId="0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justify" vertical="top" wrapText="1"/>
    </xf>
    <xf numFmtId="4" fontId="14" fillId="0" borderId="0" xfId="3" applyNumberFormat="1" applyFont="1" applyBorder="1" applyAlignment="1">
      <alignment horizontal="center" vertical="center"/>
    </xf>
    <xf numFmtId="4" fontId="14" fillId="0" borderId="0" xfId="3" applyNumberFormat="1" applyFont="1" applyBorder="1"/>
    <xf numFmtId="4" fontId="14" fillId="0" borderId="0" xfId="3" applyNumberFormat="1" applyFont="1" applyBorder="1" applyAlignment="1">
      <alignment horizontal="right"/>
    </xf>
    <xf numFmtId="0" fontId="14" fillId="0" borderId="4" xfId="7" applyFont="1" applyBorder="1" applyAlignment="1">
      <alignment horizontal="center" vertical="center"/>
    </xf>
    <xf numFmtId="0" fontId="14" fillId="0" borderId="0" xfId="7" applyFont="1" applyBorder="1" applyAlignment="1">
      <alignment horizontal="center" vertical="center" wrapText="1"/>
    </xf>
    <xf numFmtId="0" fontId="14" fillId="0" borderId="0" xfId="7" applyFont="1" applyBorder="1" applyAlignment="1">
      <alignment vertical="center"/>
    </xf>
    <xf numFmtId="0" fontId="14" fillId="0" borderId="5" xfId="7" applyFont="1" applyBorder="1" applyAlignment="1">
      <alignment vertical="center"/>
    </xf>
    <xf numFmtId="0" fontId="14" fillId="0" borderId="1" xfId="7" applyFont="1" applyBorder="1" applyAlignment="1">
      <alignment horizontal="center" vertical="center"/>
    </xf>
    <xf numFmtId="0" fontId="14" fillId="0" borderId="2" xfId="7" applyFont="1" applyBorder="1" applyAlignment="1">
      <alignment horizontal="center" vertical="center" wrapText="1"/>
    </xf>
    <xf numFmtId="0" fontId="14" fillId="0" borderId="2" xfId="7" applyFont="1" applyBorder="1" applyAlignment="1">
      <alignment vertical="center"/>
    </xf>
    <xf numFmtId="0" fontId="14" fillId="0" borderId="3" xfId="7" applyFont="1" applyBorder="1" applyAlignment="1">
      <alignment vertical="center"/>
    </xf>
    <xf numFmtId="0" fontId="14" fillId="0" borderId="6" xfId="7" applyFont="1" applyBorder="1" applyAlignment="1">
      <alignment horizontal="center" vertical="center"/>
    </xf>
    <xf numFmtId="0" fontId="14" fillId="0" borderId="7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left"/>
    </xf>
    <xf numFmtId="0" fontId="14" fillId="0" borderId="7" xfId="7" applyFont="1" applyBorder="1" applyAlignment="1">
      <alignment vertical="center"/>
    </xf>
    <xf numFmtId="0" fontId="14" fillId="0" borderId="8" xfId="7" applyFont="1" applyBorder="1" applyAlignment="1">
      <alignment vertical="center"/>
    </xf>
    <xf numFmtId="0" fontId="14" fillId="3" borderId="14" xfId="3" applyFont="1" applyFill="1" applyBorder="1" applyAlignment="1">
      <alignment horizontal="justify" vertical="justify" wrapText="1"/>
    </xf>
    <xf numFmtId="0" fontId="14" fillId="2" borderId="0" xfId="3" applyFont="1" applyFill="1" applyBorder="1" applyAlignment="1">
      <alignment horizontal="justify" vertical="justify" wrapText="1"/>
    </xf>
    <xf numFmtId="0" fontId="14" fillId="2" borderId="2" xfId="3" applyFont="1" applyFill="1" applyBorder="1" applyAlignment="1">
      <alignment horizontal="justify" vertical="justify" wrapText="1"/>
    </xf>
    <xf numFmtId="0" fontId="14" fillId="0" borderId="6" xfId="3" applyFont="1" applyBorder="1" applyAlignment="1">
      <alignment horizontal="center" vertical="center"/>
    </xf>
    <xf numFmtId="0" fontId="14" fillId="0" borderId="7" xfId="3" applyFont="1" applyBorder="1" applyAlignment="1">
      <alignment horizontal="center" vertical="center" wrapText="1"/>
    </xf>
    <xf numFmtId="0" fontId="14" fillId="0" borderId="7" xfId="3" applyFont="1" applyBorder="1" applyAlignment="1">
      <alignment horizontal="justify" vertical="top" wrapText="1"/>
    </xf>
    <xf numFmtId="4" fontId="14" fillId="0" borderId="7" xfId="3" applyNumberFormat="1" applyFont="1" applyBorder="1" applyAlignment="1">
      <alignment horizontal="center" vertical="center"/>
    </xf>
    <xf numFmtId="4" fontId="14" fillId="0" borderId="7" xfId="3" applyNumberFormat="1" applyFont="1" applyBorder="1"/>
    <xf numFmtId="4" fontId="14" fillId="0" borderId="7" xfId="3" applyNumberFormat="1" applyFont="1" applyBorder="1" applyAlignment="1">
      <alignment horizontal="right"/>
    </xf>
    <xf numFmtId="0" fontId="15" fillId="0" borderId="8" xfId="7" applyFont="1" applyBorder="1"/>
    <xf numFmtId="0" fontId="14" fillId="0" borderId="1" xfId="3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 wrapText="1"/>
    </xf>
    <xf numFmtId="0" fontId="14" fillId="0" borderId="2" xfId="3" applyFont="1" applyBorder="1" applyAlignment="1">
      <alignment horizontal="justify" vertical="top" wrapText="1"/>
    </xf>
    <xf numFmtId="4" fontId="14" fillId="0" borderId="2" xfId="3" applyNumberFormat="1" applyFont="1" applyBorder="1" applyAlignment="1">
      <alignment horizontal="center" vertical="center"/>
    </xf>
    <xf numFmtId="4" fontId="14" fillId="0" borderId="2" xfId="3" applyNumberFormat="1" applyFont="1" applyBorder="1"/>
    <xf numFmtId="4" fontId="14" fillId="0" borderId="2" xfId="3" applyNumberFormat="1" applyFont="1" applyBorder="1" applyAlignment="1">
      <alignment horizontal="right"/>
    </xf>
    <xf numFmtId="0" fontId="15" fillId="0" borderId="3" xfId="7" applyFont="1" applyBorder="1"/>
    <xf numFmtId="0" fontId="14" fillId="0" borderId="4" xfId="3" applyFont="1" applyBorder="1" applyAlignment="1">
      <alignment horizontal="center" vertical="center"/>
    </xf>
    <xf numFmtId="0" fontId="15" fillId="0" borderId="5" xfId="7" applyFont="1" applyBorder="1"/>
    <xf numFmtId="4" fontId="14" fillId="0" borderId="3" xfId="7" applyNumberFormat="1" applyFont="1" applyBorder="1" applyAlignment="1">
      <alignment horizontal="right"/>
    </xf>
    <xf numFmtId="4" fontId="14" fillId="0" borderId="5" xfId="7" applyNumberFormat="1" applyFont="1" applyBorder="1" applyAlignment="1">
      <alignment horizontal="right"/>
    </xf>
    <xf numFmtId="4" fontId="14" fillId="0" borderId="8" xfId="7" applyNumberFormat="1" applyFont="1" applyBorder="1" applyAlignment="1">
      <alignment horizontal="right"/>
    </xf>
    <xf numFmtId="0" fontId="14" fillId="3" borderId="15" xfId="7" applyFont="1" applyFill="1" applyBorder="1" applyAlignment="1">
      <alignment horizontal="center" vertical="center" wrapText="1"/>
    </xf>
    <xf numFmtId="0" fontId="14" fillId="3" borderId="15" xfId="7" applyFont="1" applyFill="1" applyBorder="1" applyAlignment="1">
      <alignment horizontal="justify" vertical="justify" wrapText="1"/>
    </xf>
    <xf numFmtId="165" fontId="14" fillId="3" borderId="15" xfId="4" applyFont="1" applyFill="1" applyBorder="1" applyAlignment="1">
      <alignment horizontal="center" vertical="center"/>
    </xf>
    <xf numFmtId="0" fontId="14" fillId="0" borderId="0" xfId="7" applyFont="1" applyBorder="1" applyAlignment="1">
      <alignment horizontal="left" vertical="justify" wrapText="1"/>
    </xf>
    <xf numFmtId="0" fontId="14" fillId="0" borderId="0" xfId="7" applyFont="1" applyBorder="1" applyAlignment="1">
      <alignment vertical="center" wrapText="1"/>
    </xf>
    <xf numFmtId="0" fontId="14" fillId="0" borderId="2" xfId="7" applyFont="1" applyBorder="1" applyAlignment="1">
      <alignment horizontal="left" vertical="justify" wrapText="1"/>
    </xf>
    <xf numFmtId="0" fontId="14" fillId="0" borderId="2" xfId="7" applyFont="1" applyBorder="1" applyAlignment="1">
      <alignment vertical="center" wrapText="1"/>
    </xf>
    <xf numFmtId="0" fontId="14" fillId="0" borderId="3" xfId="7" applyFont="1" applyBorder="1" applyAlignment="1">
      <alignment vertical="center" wrapText="1"/>
    </xf>
    <xf numFmtId="0" fontId="14" fillId="0" borderId="5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left" vertical="justify" wrapText="1"/>
    </xf>
    <xf numFmtId="0" fontId="14" fillId="0" borderId="8" xfId="7" applyFont="1" applyBorder="1" applyAlignment="1">
      <alignment horizontal="center" vertical="center" wrapText="1"/>
    </xf>
    <xf numFmtId="3" fontId="14" fillId="3" borderId="9" xfId="7" applyNumberFormat="1" applyFont="1" applyFill="1" applyBorder="1" applyAlignment="1">
      <alignment horizontal="center" vertical="center"/>
    </xf>
    <xf numFmtId="0" fontId="17" fillId="3" borderId="15" xfId="7" applyFont="1" applyFill="1" applyBorder="1" applyAlignment="1">
      <alignment horizontal="center" vertical="center"/>
    </xf>
    <xf numFmtId="49" fontId="17" fillId="3" borderId="15" xfId="7" applyNumberFormat="1" applyFont="1" applyFill="1" applyBorder="1" applyAlignment="1">
      <alignment horizontal="center" vertical="center" wrapText="1"/>
    </xf>
    <xf numFmtId="0" fontId="17" fillId="3" borderId="15" xfId="4" applyNumberFormat="1" applyFont="1" applyFill="1" applyBorder="1" applyAlignment="1">
      <alignment horizontal="justify" vertical="justify" wrapText="1"/>
    </xf>
    <xf numFmtId="4" fontId="17" fillId="3" borderId="15" xfId="4" applyNumberFormat="1" applyFont="1" applyFill="1" applyBorder="1" applyAlignment="1">
      <alignment horizontal="right"/>
    </xf>
    <xf numFmtId="4" fontId="17" fillId="3" borderId="15" xfId="7" applyNumberFormat="1" applyFont="1" applyFill="1" applyBorder="1" applyAlignment="1">
      <alignment horizontal="right"/>
    </xf>
    <xf numFmtId="4" fontId="17" fillId="3" borderId="15" xfId="3" applyNumberFormat="1" applyFont="1" applyFill="1" applyBorder="1" applyAlignment="1">
      <alignment horizontal="right"/>
    </xf>
    <xf numFmtId="0" fontId="14" fillId="0" borderId="0" xfId="7" applyFont="1" applyBorder="1" applyAlignment="1">
      <alignment vertical="justify" wrapText="1"/>
    </xf>
    <xf numFmtId="0" fontId="14" fillId="0" borderId="1" xfId="7" applyFont="1" applyBorder="1" applyAlignment="1">
      <alignment vertical="center"/>
    </xf>
    <xf numFmtId="0" fontId="14" fillId="0" borderId="2" xfId="7" applyFont="1" applyBorder="1" applyAlignment="1">
      <alignment vertical="justify" wrapText="1"/>
    </xf>
    <xf numFmtId="0" fontId="14" fillId="0" borderId="3" xfId="7" applyFont="1" applyBorder="1" applyAlignment="1">
      <alignment vertical="justify" wrapText="1"/>
    </xf>
    <xf numFmtId="0" fontId="14" fillId="0" borderId="4" xfId="7" applyFont="1" applyBorder="1" applyAlignment="1">
      <alignment vertical="center"/>
    </xf>
    <xf numFmtId="0" fontId="14" fillId="0" borderId="5" xfId="7" applyFont="1" applyBorder="1" applyAlignment="1">
      <alignment vertical="justify" wrapText="1"/>
    </xf>
    <xf numFmtId="0" fontId="14" fillId="0" borderId="6" xfId="7" applyFont="1" applyBorder="1" applyAlignment="1">
      <alignment vertical="center"/>
    </xf>
    <xf numFmtId="0" fontId="14" fillId="0" borderId="7" xfId="7" applyFont="1" applyBorder="1" applyAlignment="1">
      <alignment vertical="justify" wrapText="1"/>
    </xf>
    <xf numFmtId="0" fontId="14" fillId="0" borderId="8" xfId="7" applyFont="1" applyBorder="1" applyAlignment="1">
      <alignment vertical="justify" wrapText="1"/>
    </xf>
    <xf numFmtId="4" fontId="14" fillId="3" borderId="9" xfId="3" applyNumberFormat="1" applyFont="1" applyFill="1" applyBorder="1" applyAlignment="1">
      <alignment vertical="center"/>
    </xf>
    <xf numFmtId="0" fontId="12" fillId="2" borderId="9" xfId="7" applyFont="1" applyFill="1" applyBorder="1" applyAlignment="1">
      <alignment horizontal="center" vertical="center"/>
    </xf>
    <xf numFmtId="49" fontId="12" fillId="2" borderId="9" xfId="7" applyNumberFormat="1" applyFont="1" applyFill="1" applyBorder="1" applyAlignment="1">
      <alignment horizontal="center" vertical="center" wrapText="1"/>
    </xf>
    <xf numFmtId="0" fontId="12" fillId="2" borderId="9" xfId="4" applyNumberFormat="1" applyFont="1" applyFill="1" applyBorder="1" applyAlignment="1">
      <alignment horizontal="justify" vertical="justify" wrapText="1"/>
    </xf>
    <xf numFmtId="4" fontId="12" fillId="2" borderId="9" xfId="4" applyNumberFormat="1" applyFont="1" applyFill="1" applyBorder="1" applyAlignment="1">
      <alignment horizontal="right"/>
    </xf>
    <xf numFmtId="4" fontId="12" fillId="2" borderId="9" xfId="7" applyNumberFormat="1" applyFont="1" applyFill="1" applyBorder="1" applyAlignment="1">
      <alignment horizontal="right"/>
    </xf>
    <xf numFmtId="0" fontId="14" fillId="0" borderId="5" xfId="7" applyFont="1" applyBorder="1" applyAlignment="1">
      <alignment vertical="center" wrapText="1"/>
    </xf>
    <xf numFmtId="0" fontId="14" fillId="0" borderId="7" xfId="7" applyFont="1" applyBorder="1" applyAlignment="1">
      <alignment vertical="center" wrapText="1"/>
    </xf>
    <xf numFmtId="0" fontId="14" fillId="0" borderId="8" xfId="7" applyFont="1" applyBorder="1" applyAlignment="1">
      <alignment vertical="center" wrapText="1"/>
    </xf>
    <xf numFmtId="49" fontId="14" fillId="3" borderId="15" xfId="7" applyNumberFormat="1" applyFont="1" applyFill="1" applyBorder="1" applyAlignment="1">
      <alignment horizontal="center" vertical="center" wrapText="1"/>
    </xf>
    <xf numFmtId="0" fontId="14" fillId="3" borderId="15" xfId="4" applyNumberFormat="1" applyFont="1" applyFill="1" applyBorder="1" applyAlignment="1">
      <alignment horizontal="justify" vertical="justify" wrapText="1"/>
    </xf>
    <xf numFmtId="4" fontId="14" fillId="3" borderId="15" xfId="4" applyNumberFormat="1" applyFont="1" applyFill="1" applyBorder="1" applyAlignment="1">
      <alignment horizontal="right"/>
    </xf>
    <xf numFmtId="0" fontId="12" fillId="2" borderId="0" xfId="7" applyFont="1" applyFill="1" applyAlignment="1">
      <alignment horizontal="center" vertical="center"/>
    </xf>
    <xf numFmtId="49" fontId="12" fillId="2" borderId="0" xfId="7" applyNumberFormat="1" applyFont="1" applyFill="1" applyAlignment="1">
      <alignment horizontal="center" vertical="center" wrapText="1"/>
    </xf>
    <xf numFmtId="0" fontId="12" fillId="2" borderId="0" xfId="4" applyNumberFormat="1" applyFont="1" applyFill="1" applyBorder="1" applyAlignment="1">
      <alignment horizontal="justify" vertical="justify" wrapText="1"/>
    </xf>
    <xf numFmtId="4" fontId="12" fillId="2" borderId="0" xfId="4" applyNumberFormat="1" applyFont="1" applyFill="1" applyBorder="1" applyAlignment="1">
      <alignment horizontal="right"/>
    </xf>
    <xf numFmtId="4" fontId="12" fillId="2" borderId="0" xfId="7" applyNumberFormat="1" applyFont="1" applyFill="1" applyAlignment="1">
      <alignment horizontal="right"/>
    </xf>
    <xf numFmtId="0" fontId="12" fillId="0" borderId="0" xfId="7" applyFont="1" applyAlignment="1">
      <alignment horizontal="center" vertical="center"/>
    </xf>
    <xf numFmtId="49" fontId="12" fillId="0" borderId="0" xfId="7" applyNumberFormat="1" applyFont="1" applyAlignment="1">
      <alignment horizontal="center" vertical="center" wrapText="1"/>
    </xf>
    <xf numFmtId="0" fontId="12" fillId="0" borderId="0" xfId="4" applyNumberFormat="1" applyFont="1" applyFill="1" applyBorder="1" applyAlignment="1">
      <alignment horizontal="justify" vertical="justify" wrapText="1"/>
    </xf>
    <xf numFmtId="4" fontId="12" fillId="0" borderId="0" xfId="4" applyNumberFormat="1" applyFont="1" applyFill="1" applyBorder="1" applyAlignment="1">
      <alignment horizontal="right"/>
    </xf>
    <xf numFmtId="4" fontId="12" fillId="0" borderId="0" xfId="7" applyNumberFormat="1" applyFont="1" applyAlignment="1">
      <alignment horizontal="right"/>
    </xf>
    <xf numFmtId="0" fontId="15" fillId="2" borderId="0" xfId="7" applyFont="1" applyFill="1"/>
    <xf numFmtId="0" fontId="14" fillId="3" borderId="10" xfId="7" applyFont="1" applyFill="1" applyBorder="1" applyAlignment="1">
      <alignment horizontal="center" vertical="center"/>
    </xf>
    <xf numFmtId="49" fontId="14" fillId="3" borderId="10" xfId="7" applyNumberFormat="1" applyFont="1" applyFill="1" applyBorder="1" applyAlignment="1">
      <alignment horizontal="center" vertical="center" wrapText="1"/>
    </xf>
    <xf numFmtId="0" fontId="14" fillId="3" borderId="10" xfId="4" applyNumberFormat="1" applyFont="1" applyFill="1" applyBorder="1" applyAlignment="1">
      <alignment horizontal="justify" vertical="justify" wrapText="1"/>
    </xf>
    <xf numFmtId="4" fontId="14" fillId="3" borderId="10" xfId="4" applyNumberFormat="1" applyFont="1" applyFill="1" applyBorder="1" applyAlignment="1">
      <alignment horizontal="right"/>
    </xf>
    <xf numFmtId="0" fontId="14" fillId="2" borderId="0" xfId="7" applyFont="1" applyFill="1" applyBorder="1" applyAlignment="1">
      <alignment horizontal="center" vertical="center"/>
    </xf>
    <xf numFmtId="49" fontId="14" fillId="2" borderId="0" xfId="7" applyNumberFormat="1" applyFont="1" applyFill="1" applyBorder="1" applyAlignment="1">
      <alignment horizontal="center" vertical="center" wrapText="1"/>
    </xf>
    <xf numFmtId="4" fontId="14" fillId="2" borderId="0" xfId="7" applyNumberFormat="1" applyFont="1" applyFill="1" applyBorder="1" applyAlignment="1">
      <alignment horizontal="right"/>
    </xf>
    <xf numFmtId="0" fontId="14" fillId="2" borderId="1" xfId="7" applyFont="1" applyFill="1" applyBorder="1" applyAlignment="1">
      <alignment horizontal="center" vertical="center"/>
    </xf>
    <xf numFmtId="49" fontId="14" fillId="2" borderId="2" xfId="7" applyNumberFormat="1" applyFont="1" applyFill="1" applyBorder="1" applyAlignment="1">
      <alignment horizontal="center" vertical="center" wrapText="1"/>
    </xf>
    <xf numFmtId="0" fontId="14" fillId="2" borderId="2" xfId="4" applyNumberFormat="1" applyFont="1" applyFill="1" applyBorder="1" applyAlignment="1">
      <alignment horizontal="justify" vertical="justify" wrapText="1"/>
    </xf>
    <xf numFmtId="0" fontId="14" fillId="2" borderId="2" xfId="7" applyFont="1" applyFill="1" applyBorder="1" applyAlignment="1">
      <alignment horizontal="center" vertical="center"/>
    </xf>
    <xf numFmtId="4" fontId="14" fillId="2" borderId="2" xfId="4" applyNumberFormat="1" applyFont="1" applyFill="1" applyBorder="1" applyAlignment="1">
      <alignment horizontal="right"/>
    </xf>
    <xf numFmtId="4" fontId="14" fillId="2" borderId="2" xfId="7" applyNumberFormat="1" applyFont="1" applyFill="1" applyBorder="1" applyAlignment="1">
      <alignment horizontal="right"/>
    </xf>
    <xf numFmtId="4" fontId="14" fillId="2" borderId="3" xfId="4" applyNumberFormat="1" applyFont="1" applyFill="1" applyBorder="1" applyAlignment="1">
      <alignment horizontal="right"/>
    </xf>
    <xf numFmtId="0" fontId="14" fillId="2" borderId="4" xfId="7" applyFont="1" applyFill="1" applyBorder="1" applyAlignment="1">
      <alignment horizontal="center" vertical="center"/>
    </xf>
    <xf numFmtId="4" fontId="14" fillId="2" borderId="5" xfId="4" applyNumberFormat="1" applyFont="1" applyFill="1" applyBorder="1" applyAlignment="1">
      <alignment horizontal="right"/>
    </xf>
    <xf numFmtId="0" fontId="14" fillId="2" borderId="6" xfId="7" applyFont="1" applyFill="1" applyBorder="1" applyAlignment="1">
      <alignment horizontal="center" vertical="center"/>
    </xf>
    <xf numFmtId="49" fontId="14" fillId="2" borderId="7" xfId="7" applyNumberFormat="1" applyFont="1" applyFill="1" applyBorder="1" applyAlignment="1">
      <alignment horizontal="center" vertical="center" wrapText="1"/>
    </xf>
    <xf numFmtId="0" fontId="14" fillId="2" borderId="7" xfId="4" applyNumberFormat="1" applyFont="1" applyFill="1" applyBorder="1" applyAlignment="1">
      <alignment horizontal="justify" vertical="justify" wrapText="1"/>
    </xf>
    <xf numFmtId="0" fontId="14" fillId="2" borderId="7" xfId="7" applyFont="1" applyFill="1" applyBorder="1" applyAlignment="1">
      <alignment horizontal="center" vertical="center"/>
    </xf>
    <xf numFmtId="4" fontId="14" fillId="2" borderId="7" xfId="4" applyNumberFormat="1" applyFont="1" applyFill="1" applyBorder="1" applyAlignment="1">
      <alignment horizontal="right"/>
    </xf>
    <xf numFmtId="4" fontId="14" fillId="2" borderId="7" xfId="7" applyNumberFormat="1" applyFont="1" applyFill="1" applyBorder="1" applyAlignment="1">
      <alignment horizontal="right"/>
    </xf>
    <xf numFmtId="4" fontId="14" fillId="2" borderId="8" xfId="4" applyNumberFormat="1" applyFont="1" applyFill="1" applyBorder="1" applyAlignment="1">
      <alignment horizontal="right"/>
    </xf>
    <xf numFmtId="4" fontId="14" fillId="3" borderId="1" xfId="3" applyNumberFormat="1" applyFont="1" applyFill="1" applyBorder="1" applyAlignment="1">
      <alignment vertical="center"/>
    </xf>
    <xf numFmtId="0" fontId="12" fillId="0" borderId="9" xfId="7" applyFont="1" applyBorder="1" applyAlignment="1">
      <alignment horizontal="center" vertical="center"/>
    </xf>
    <xf numFmtId="49" fontId="12" fillId="0" borderId="9" xfId="7" applyNumberFormat="1" applyFont="1" applyBorder="1" applyAlignment="1">
      <alignment horizontal="center" vertical="center" wrapText="1"/>
    </xf>
    <xf numFmtId="0" fontId="12" fillId="0" borderId="9" xfId="4" applyNumberFormat="1" applyFont="1" applyFill="1" applyBorder="1" applyAlignment="1">
      <alignment horizontal="justify" vertical="justify" wrapText="1"/>
    </xf>
    <xf numFmtId="4" fontId="12" fillId="0" borderId="9" xfId="4" applyNumberFormat="1" applyFont="1" applyFill="1" applyBorder="1" applyAlignment="1">
      <alignment horizontal="right"/>
    </xf>
    <xf numFmtId="4" fontId="12" fillId="0" borderId="9" xfId="7" applyNumberFormat="1" applyFont="1" applyBorder="1" applyAlignment="1">
      <alignment horizontal="right"/>
    </xf>
    <xf numFmtId="4" fontId="12" fillId="0" borderId="9" xfId="3" applyNumberFormat="1" applyFont="1" applyBorder="1" applyAlignment="1">
      <alignment horizontal="right"/>
    </xf>
    <xf numFmtId="0" fontId="14" fillId="3" borderId="10" xfId="7" applyFont="1" applyFill="1" applyBorder="1" applyAlignment="1">
      <alignment horizontal="justify" vertical="justify" wrapText="1"/>
    </xf>
    <xf numFmtId="165" fontId="14" fillId="3" borderId="10" xfId="4" applyFont="1" applyFill="1" applyBorder="1" applyAlignment="1">
      <alignment horizontal="center" vertical="center"/>
    </xf>
    <xf numFmtId="3" fontId="14" fillId="3" borderId="9" xfId="7" applyNumberFormat="1" applyFont="1" applyFill="1" applyBorder="1" applyAlignment="1">
      <alignment horizontal="center" vertical="center" wrapText="1"/>
    </xf>
    <xf numFmtId="0" fontId="27" fillId="2" borderId="0" xfId="7" applyFont="1" applyFill="1"/>
    <xf numFmtId="0" fontId="12" fillId="0" borderId="0" xfId="7" applyFont="1" applyFill="1" applyAlignment="1">
      <alignment horizontal="center" vertical="center"/>
    </xf>
    <xf numFmtId="49" fontId="12" fillId="0" borderId="0" xfId="7" applyNumberFormat="1" applyFont="1" applyFill="1" applyAlignment="1">
      <alignment horizontal="center" vertical="center" wrapText="1"/>
    </xf>
    <xf numFmtId="4" fontId="12" fillId="0" borderId="0" xfId="7" applyNumberFormat="1" applyFont="1" applyFill="1" applyAlignment="1">
      <alignment horizontal="right"/>
    </xf>
    <xf numFmtId="0" fontId="14" fillId="0" borderId="0" xfId="7" applyFont="1" applyFill="1" applyAlignment="1">
      <alignment horizontal="center" vertical="center"/>
    </xf>
    <xf numFmtId="49" fontId="14" fillId="0" borderId="0" xfId="7" applyNumberFormat="1" applyFont="1" applyFill="1" applyAlignment="1">
      <alignment horizontal="center" vertical="center" wrapText="1"/>
    </xf>
    <xf numFmtId="4" fontId="14" fillId="0" borderId="0" xfId="7" applyNumberFormat="1" applyFont="1" applyFill="1" applyAlignment="1">
      <alignment horizontal="right"/>
    </xf>
    <xf numFmtId="0" fontId="14" fillId="0" borderId="0" xfId="7" applyFont="1" applyFill="1" applyAlignment="1">
      <alignment horizontal="right" vertical="center"/>
    </xf>
    <xf numFmtId="4" fontId="9" fillId="0" borderId="0" xfId="2" applyNumberFormat="1" applyFont="1" applyAlignment="1">
      <alignment horizontal="center" vertical="center" wrapText="1"/>
    </xf>
    <xf numFmtId="44" fontId="19" fillId="0" borderId="2" xfId="2" applyNumberFormat="1" applyFont="1" applyBorder="1" applyAlignment="1">
      <alignment horizontal="center" vertical="center" wrapText="1" readingOrder="1"/>
    </xf>
    <xf numFmtId="44" fontId="19" fillId="0" borderId="0" xfId="2" applyNumberFormat="1" applyFont="1" applyAlignment="1">
      <alignment horizontal="center" vertical="center" wrapText="1" readingOrder="1"/>
    </xf>
    <xf numFmtId="4" fontId="5" fillId="0" borderId="0" xfId="2" applyNumberFormat="1" applyFont="1" applyAlignment="1">
      <alignment horizontal="center" vertical="center" wrapText="1" readingOrder="1"/>
    </xf>
    <xf numFmtId="0" fontId="5" fillId="0" borderId="0" xfId="1" applyFont="1" applyAlignment="1">
      <alignment horizontal="center"/>
    </xf>
    <xf numFmtId="4" fontId="9" fillId="0" borderId="0" xfId="1" applyNumberFormat="1" applyFont="1" applyAlignment="1">
      <alignment horizontal="center" vertical="center" wrapText="1"/>
    </xf>
    <xf numFmtId="0" fontId="30" fillId="0" borderId="16" xfId="0" applyFont="1" applyBorder="1" applyAlignment="1">
      <alignment horizontal="left" vertical="top" wrapText="1"/>
    </xf>
    <xf numFmtId="0" fontId="14" fillId="3" borderId="10" xfId="3" applyFont="1" applyFill="1" applyBorder="1" applyAlignment="1">
      <alignment horizontal="justify" vertical="justify" wrapText="1"/>
    </xf>
    <xf numFmtId="0" fontId="12" fillId="2" borderId="0" xfId="7" applyFont="1" applyFill="1"/>
    <xf numFmtId="0" fontId="12" fillId="2" borderId="10" xfId="7" applyFont="1" applyFill="1" applyBorder="1" applyAlignment="1">
      <alignment horizontal="center" vertical="center"/>
    </xf>
    <xf numFmtId="49" fontId="14" fillId="2" borderId="10" xfId="7" applyNumberFormat="1" applyFont="1" applyFill="1" applyBorder="1" applyAlignment="1">
      <alignment horizontal="center" vertical="center" wrapText="1"/>
    </xf>
    <xf numFmtId="3" fontId="14" fillId="0" borderId="9" xfId="7" applyNumberFormat="1" applyFont="1" applyFill="1" applyBorder="1" applyAlignment="1">
      <alignment horizontal="center" vertical="center"/>
    </xf>
    <xf numFmtId="3" fontId="14" fillId="0" borderId="9" xfId="7" applyNumberFormat="1" applyFont="1" applyFill="1" applyBorder="1" applyAlignment="1">
      <alignment horizontal="center" vertical="center" wrapText="1"/>
    </xf>
    <xf numFmtId="49" fontId="12" fillId="0" borderId="9" xfId="7" applyNumberFormat="1" applyFont="1" applyFill="1" applyBorder="1" applyAlignment="1">
      <alignment horizontal="center" vertical="center" wrapText="1"/>
    </xf>
    <xf numFmtId="4" fontId="14" fillId="0" borderId="9" xfId="3" applyNumberFormat="1" applyFont="1" applyFill="1" applyBorder="1" applyAlignment="1">
      <alignment vertical="center"/>
    </xf>
    <xf numFmtId="0" fontId="14" fillId="0" borderId="9" xfId="3" applyFont="1" applyFill="1" applyBorder="1" applyAlignment="1">
      <alignment horizontal="justify" vertical="justify" wrapText="1"/>
    </xf>
    <xf numFmtId="0" fontId="28" fillId="2" borderId="9" xfId="7" applyFont="1" applyFill="1" applyBorder="1" applyAlignment="1">
      <alignment horizontal="center" vertical="center"/>
    </xf>
    <xf numFmtId="49" fontId="28" fillId="2" borderId="9" xfId="7" applyNumberFormat="1" applyFont="1" applyFill="1" applyBorder="1" applyAlignment="1">
      <alignment horizontal="center" vertical="center" wrapText="1"/>
    </xf>
    <xf numFmtId="0" fontId="28" fillId="2" borderId="9" xfId="4" applyNumberFormat="1" applyFont="1" applyFill="1" applyBorder="1" applyAlignment="1">
      <alignment horizontal="justify" vertical="justify" wrapText="1"/>
    </xf>
    <xf numFmtId="4" fontId="28" fillId="2" borderId="9" xfId="4" applyNumberFormat="1" applyFont="1" applyFill="1" applyBorder="1" applyAlignment="1">
      <alignment horizontal="right"/>
    </xf>
    <xf numFmtId="4" fontId="28" fillId="2" borderId="9" xfId="7" applyNumberFormat="1" applyFont="1" applyFill="1" applyBorder="1" applyAlignment="1">
      <alignment horizontal="right"/>
    </xf>
    <xf numFmtId="0" fontId="28" fillId="0" borderId="0" xfId="7" applyFont="1"/>
    <xf numFmtId="4" fontId="12" fillId="0" borderId="9" xfId="3" applyNumberFormat="1" applyFont="1" applyFill="1" applyBorder="1" applyAlignment="1"/>
    <xf numFmtId="0" fontId="14" fillId="3" borderId="9" xfId="3" applyFont="1" applyFill="1" applyBorder="1" applyAlignment="1">
      <alignment horizontal="justify" vertical="justify" wrapText="1"/>
    </xf>
    <xf numFmtId="4" fontId="13" fillId="0" borderId="9" xfId="7" applyNumberFormat="1" applyFont="1" applyBorder="1" applyAlignment="1">
      <alignment horizontal="center" vertical="center"/>
    </xf>
    <xf numFmtId="0" fontId="12" fillId="0" borderId="9" xfId="7" applyFont="1" applyFill="1" applyBorder="1" applyAlignment="1">
      <alignment horizontal="center" vertical="center"/>
    </xf>
    <xf numFmtId="0" fontId="28" fillId="0" borderId="9" xfId="7" applyFont="1" applyFill="1" applyBorder="1" applyAlignment="1">
      <alignment horizontal="center" vertical="center"/>
    </xf>
    <xf numFmtId="49" fontId="28" fillId="0" borderId="9" xfId="7" applyNumberFormat="1" applyFont="1" applyFill="1" applyBorder="1" applyAlignment="1">
      <alignment horizontal="center" vertical="center" wrapText="1"/>
    </xf>
    <xf numFmtId="0" fontId="28" fillId="0" borderId="9" xfId="4" applyNumberFormat="1" applyFont="1" applyFill="1" applyBorder="1" applyAlignment="1">
      <alignment horizontal="justify" vertical="justify" wrapText="1"/>
    </xf>
    <xf numFmtId="4" fontId="28" fillId="0" borderId="9" xfId="4" applyNumberFormat="1" applyFont="1" applyFill="1" applyBorder="1" applyAlignment="1">
      <alignment horizontal="right"/>
    </xf>
    <xf numFmtId="4" fontId="28" fillId="0" borderId="9" xfId="7" applyNumberFormat="1" applyFont="1" applyFill="1" applyBorder="1" applyAlignment="1">
      <alignment horizontal="right"/>
    </xf>
    <xf numFmtId="0" fontId="12" fillId="0" borderId="10" xfId="7" applyFont="1" applyBorder="1" applyAlignment="1">
      <alignment horizontal="left" vertical="top" wrapText="1"/>
    </xf>
    <xf numFmtId="4" fontId="12" fillId="2" borderId="11" xfId="3" applyNumberFormat="1" applyFont="1" applyFill="1" applyBorder="1" applyAlignment="1">
      <alignment horizontal="center"/>
    </xf>
    <xf numFmtId="4" fontId="12" fillId="2" borderId="13" xfId="3" applyNumberFormat="1" applyFont="1" applyFill="1" applyBorder="1" applyAlignment="1">
      <alignment horizontal="center"/>
    </xf>
    <xf numFmtId="0" fontId="5" fillId="2" borderId="6" xfId="1" applyFont="1" applyFill="1" applyBorder="1" applyAlignment="1">
      <alignment horizontal="left"/>
    </xf>
    <xf numFmtId="0" fontId="5" fillId="2" borderId="7" xfId="1" applyFont="1" applyFill="1" applyBorder="1" applyAlignment="1">
      <alignment horizontal="left"/>
    </xf>
    <xf numFmtId="0" fontId="5" fillId="2" borderId="8" xfId="1" applyFont="1" applyFill="1" applyBorder="1" applyAlignment="1">
      <alignment horizontal="left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0" fontId="12" fillId="0" borderId="9" xfId="7" applyFont="1" applyBorder="1" applyAlignment="1">
      <alignment horizontal="center" vertical="center"/>
    </xf>
    <xf numFmtId="0" fontId="12" fillId="0" borderId="9" xfId="7" applyFont="1" applyBorder="1" applyAlignment="1">
      <alignment horizontal="center" vertical="justify" wrapText="1"/>
    </xf>
    <xf numFmtId="0" fontId="12" fillId="0" borderId="9" xfId="7" applyFont="1" applyBorder="1" applyAlignment="1">
      <alignment horizontal="center" vertical="center" wrapText="1" readingOrder="1"/>
    </xf>
    <xf numFmtId="4" fontId="12" fillId="0" borderId="9" xfId="7" applyNumberFormat="1" applyFont="1" applyBorder="1" applyAlignment="1">
      <alignment horizontal="center" vertical="center"/>
    </xf>
    <xf numFmtId="4" fontId="13" fillId="0" borderId="9" xfId="7" applyNumberFormat="1" applyFont="1" applyBorder="1" applyAlignment="1">
      <alignment horizontal="center" vertical="center"/>
    </xf>
    <xf numFmtId="4" fontId="6" fillId="2" borderId="0" xfId="2" applyNumberFormat="1" applyFont="1" applyFill="1" applyAlignment="1">
      <alignment horizontal="left" vertical="center" wrapText="1" readingOrder="1"/>
    </xf>
    <xf numFmtId="4" fontId="6" fillId="2" borderId="5" xfId="2" applyNumberFormat="1" applyFont="1" applyFill="1" applyBorder="1" applyAlignment="1">
      <alignment horizontal="left" vertical="center" wrapText="1" readingOrder="1"/>
    </xf>
    <xf numFmtId="0" fontId="5" fillId="2" borderId="4" xfId="7" applyFont="1" applyFill="1" applyBorder="1" applyAlignment="1">
      <alignment horizontal="left" vertical="center" wrapText="1"/>
    </xf>
    <xf numFmtId="0" fontId="5" fillId="2" borderId="0" xfId="7" applyFont="1" applyFill="1" applyAlignment="1">
      <alignment horizontal="left" vertical="center" wrapText="1"/>
    </xf>
    <xf numFmtId="0" fontId="5" fillId="2" borderId="5" xfId="7" applyFont="1" applyFill="1" applyBorder="1" applyAlignment="1">
      <alignment horizontal="left" vertical="center" wrapText="1"/>
    </xf>
    <xf numFmtId="4" fontId="8" fillId="2" borderId="0" xfId="2" applyNumberFormat="1" applyFont="1" applyFill="1" applyAlignment="1">
      <alignment horizontal="left" vertical="center" readingOrder="1"/>
    </xf>
    <xf numFmtId="4" fontId="8" fillId="2" borderId="5" xfId="2" applyNumberFormat="1" applyFont="1" applyFill="1" applyBorder="1" applyAlignment="1">
      <alignment horizontal="left" vertical="center" readingOrder="1"/>
    </xf>
    <xf numFmtId="4" fontId="9" fillId="2" borderId="4" xfId="2" applyNumberFormat="1" applyFont="1" applyFill="1" applyBorder="1" applyAlignment="1">
      <alignment horizontal="left" vertical="center"/>
    </xf>
    <xf numFmtId="4" fontId="9" fillId="2" borderId="0" xfId="2" applyNumberFormat="1" applyFont="1" applyFill="1" applyAlignment="1">
      <alignment horizontal="left" vertical="center"/>
    </xf>
    <xf numFmtId="4" fontId="9" fillId="2" borderId="5" xfId="2" applyNumberFormat="1" applyFont="1" applyFill="1" applyBorder="1" applyAlignment="1">
      <alignment horizontal="left" vertical="center"/>
    </xf>
    <xf numFmtId="4" fontId="10" fillId="2" borderId="0" xfId="1" applyNumberFormat="1" applyFont="1" applyFill="1" applyAlignment="1">
      <alignment horizontal="left" vertical="center" readingOrder="1"/>
    </xf>
    <xf numFmtId="4" fontId="10" fillId="2" borderId="5" xfId="1" applyNumberFormat="1" applyFont="1" applyFill="1" applyBorder="1" applyAlignment="1">
      <alignment horizontal="left" vertical="center" readingOrder="1"/>
    </xf>
    <xf numFmtId="4" fontId="3" fillId="2" borderId="2" xfId="2" applyNumberFormat="1" applyFont="1" applyFill="1" applyBorder="1" applyAlignment="1">
      <alignment horizontal="left" vertical="center" readingOrder="1"/>
    </xf>
    <xf numFmtId="4" fontId="3" fillId="2" borderId="3" xfId="2" applyNumberFormat="1" applyFont="1" applyFill="1" applyBorder="1" applyAlignment="1">
      <alignment horizontal="left" vertical="center" readingOrder="1"/>
    </xf>
    <xf numFmtId="4" fontId="3" fillId="2" borderId="0" xfId="2" applyNumberFormat="1" applyFont="1" applyFill="1" applyAlignment="1">
      <alignment horizontal="left" vertical="center" readingOrder="1"/>
    </xf>
    <xf numFmtId="4" fontId="3" fillId="2" borderId="5" xfId="2" applyNumberFormat="1" applyFont="1" applyFill="1" applyBorder="1" applyAlignment="1">
      <alignment horizontal="left" vertical="center" readingOrder="1"/>
    </xf>
    <xf numFmtId="4" fontId="5" fillId="2" borderId="4" xfId="1" applyNumberFormat="1" applyFont="1" applyFill="1" applyBorder="1" applyAlignment="1">
      <alignment horizontal="left" vertical="center"/>
    </xf>
    <xf numFmtId="4" fontId="5" fillId="2" borderId="0" xfId="1" applyNumberFormat="1" applyFont="1" applyFill="1" applyAlignment="1">
      <alignment horizontal="left" vertical="center"/>
    </xf>
    <xf numFmtId="4" fontId="5" fillId="2" borderId="5" xfId="1" applyNumberFormat="1" applyFont="1" applyFill="1" applyBorder="1" applyAlignment="1">
      <alignment horizontal="left" vertical="center"/>
    </xf>
    <xf numFmtId="0" fontId="7" fillId="2" borderId="4" xfId="7" applyFont="1" applyFill="1" applyBorder="1" applyAlignment="1">
      <alignment horizontal="left" vertical="center" wrapText="1" readingOrder="1"/>
    </xf>
    <xf numFmtId="0" fontId="7" fillId="2" borderId="0" xfId="7" applyFont="1" applyFill="1" applyAlignment="1">
      <alignment horizontal="left" vertical="center" wrapText="1" readingOrder="1"/>
    </xf>
    <xf numFmtId="0" fontId="7" fillId="2" borderId="5" xfId="7" applyFont="1" applyFill="1" applyBorder="1" applyAlignment="1">
      <alignment horizontal="left" vertical="center" wrapText="1" readingOrder="1"/>
    </xf>
    <xf numFmtId="0" fontId="12" fillId="2" borderId="10" xfId="7" applyFont="1" applyFill="1" applyBorder="1" applyAlignment="1">
      <alignment horizontal="left" vertical="top" wrapText="1"/>
    </xf>
    <xf numFmtId="4" fontId="28" fillId="2" borderId="11" xfId="3" applyNumberFormat="1" applyFont="1" applyFill="1" applyBorder="1" applyAlignment="1">
      <alignment horizontal="center"/>
    </xf>
    <xf numFmtId="4" fontId="28" fillId="2" borderId="13" xfId="3" applyNumberFormat="1" applyFont="1" applyFill="1" applyBorder="1" applyAlignment="1">
      <alignment horizontal="center"/>
    </xf>
    <xf numFmtId="0" fontId="12" fillId="0" borderId="9" xfId="7" applyFont="1" applyFill="1" applyBorder="1" applyAlignment="1">
      <alignment horizontal="left" vertical="top" wrapText="1"/>
    </xf>
    <xf numFmtId="0" fontId="24" fillId="0" borderId="9" xfId="5" applyFont="1" applyBorder="1" applyAlignment="1">
      <alignment horizontal="left" vertical="top"/>
    </xf>
    <xf numFmtId="0" fontId="23" fillId="0" borderId="9" xfId="1" applyFont="1" applyBorder="1" applyAlignment="1">
      <alignment horizontal="center" vertical="center" wrapText="1"/>
    </xf>
    <xf numFmtId="44" fontId="19" fillId="0" borderId="1" xfId="2" applyNumberFormat="1" applyFont="1" applyBorder="1" applyAlignment="1">
      <alignment horizontal="center" vertical="center" wrapText="1" readingOrder="1"/>
    </xf>
    <xf numFmtId="44" fontId="19" fillId="0" borderId="2" xfId="2" applyNumberFormat="1" applyFont="1" applyBorder="1" applyAlignment="1">
      <alignment horizontal="center" vertical="center" wrapText="1" readingOrder="1"/>
    </xf>
    <xf numFmtId="0" fontId="28" fillId="7" borderId="14" xfId="0" applyFont="1" applyFill="1" applyBorder="1" applyAlignment="1">
      <alignment horizontal="center" vertical="center"/>
    </xf>
    <xf numFmtId="0" fontId="28" fillId="7" borderId="15" xfId="0" applyFont="1" applyFill="1" applyBorder="1" applyAlignment="1">
      <alignment horizontal="center" vertical="center"/>
    </xf>
    <xf numFmtId="0" fontId="28" fillId="7" borderId="12" xfId="0" applyFont="1" applyFill="1" applyBorder="1" applyAlignment="1">
      <alignment horizontal="right" vertical="center"/>
    </xf>
    <xf numFmtId="0" fontId="7" fillId="7" borderId="6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7" borderId="14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7" borderId="15" xfId="0" applyFont="1" applyFill="1" applyBorder="1" applyAlignment="1">
      <alignment horizontal="center" vertical="center"/>
    </xf>
    <xf numFmtId="4" fontId="22" fillId="0" borderId="9" xfId="6" applyNumberFormat="1" applyFont="1" applyFill="1" applyBorder="1" applyAlignment="1">
      <alignment horizontal="right"/>
    </xf>
    <xf numFmtId="10" fontId="5" fillId="0" borderId="9" xfId="0" applyNumberFormat="1" applyFont="1" applyBorder="1" applyAlignment="1">
      <alignment horizontal="right"/>
    </xf>
    <xf numFmtId="4" fontId="5" fillId="0" borderId="9" xfId="0" applyNumberFormat="1" applyFont="1" applyBorder="1" applyAlignment="1">
      <alignment horizontal="right" wrapText="1"/>
    </xf>
    <xf numFmtId="4" fontId="5" fillId="3" borderId="9" xfId="0" applyNumberFormat="1" applyFont="1" applyFill="1" applyBorder="1" applyAlignment="1">
      <alignment horizontal="right" wrapText="1"/>
    </xf>
    <xf numFmtId="10" fontId="5" fillId="3" borderId="9" xfId="0" applyNumberFormat="1" applyFont="1" applyFill="1" applyBorder="1" applyAlignment="1">
      <alignment horizontal="right"/>
    </xf>
    <xf numFmtId="4" fontId="7" fillId="0" borderId="9" xfId="6" applyNumberFormat="1" applyFont="1" applyFill="1" applyBorder="1" applyAlignment="1">
      <alignment horizontal="right"/>
    </xf>
    <xf numFmtId="4" fontId="22" fillId="3" borderId="9" xfId="6" applyNumberFormat="1" applyFont="1" applyFill="1" applyBorder="1" applyAlignment="1">
      <alignment horizontal="right"/>
    </xf>
    <xf numFmtId="4" fontId="5" fillId="2" borderId="9" xfId="0" applyNumberFormat="1" applyFont="1" applyFill="1" applyBorder="1" applyAlignment="1">
      <alignment horizontal="right" wrapText="1"/>
    </xf>
    <xf numFmtId="10" fontId="5" fillId="2" borderId="9" xfId="0" applyNumberFormat="1" applyFont="1" applyFill="1" applyBorder="1" applyAlignment="1">
      <alignment horizontal="right"/>
    </xf>
    <xf numFmtId="0" fontId="7" fillId="7" borderId="12" xfId="0" applyFont="1" applyFill="1" applyBorder="1" applyAlignment="1">
      <alignment horizontal="right" vertical="center"/>
    </xf>
    <xf numFmtId="4" fontId="7" fillId="7" borderId="6" xfId="0" applyNumberFormat="1" applyFont="1" applyFill="1" applyBorder="1" applyAlignment="1">
      <alignment horizontal="center" vertical="center"/>
    </xf>
    <xf numFmtId="4" fontId="7" fillId="7" borderId="8" xfId="0" applyNumberFormat="1" applyFont="1" applyFill="1" applyBorder="1" applyAlignment="1">
      <alignment horizontal="center" vertical="center"/>
    </xf>
    <xf numFmtId="4" fontId="7" fillId="8" borderId="10" xfId="6" applyNumberFormat="1" applyFont="1" applyFill="1" applyBorder="1" applyAlignment="1">
      <alignment horizontal="center"/>
    </xf>
    <xf numFmtId="4" fontId="7" fillId="0" borderId="11" xfId="0" applyNumberFormat="1" applyFont="1" applyBorder="1" applyAlignment="1">
      <alignment horizontal="center"/>
    </xf>
    <xf numFmtId="4" fontId="7" fillId="0" borderId="13" xfId="0" applyNumberFormat="1" applyFont="1" applyBorder="1" applyAlignment="1">
      <alignment horizontal="center"/>
    </xf>
    <xf numFmtId="4" fontId="7" fillId="8" borderId="14" xfId="6" applyNumberFormat="1" applyFont="1" applyFill="1" applyBorder="1" applyAlignment="1">
      <alignment horizontal="center"/>
    </xf>
    <xf numFmtId="10" fontId="7" fillId="0" borderId="11" xfId="0" applyNumberFormat="1" applyFont="1" applyBorder="1" applyAlignment="1">
      <alignment horizontal="center"/>
    </xf>
    <xf numFmtId="10" fontId="7" fillId="0" borderId="13" xfId="0" applyNumberFormat="1" applyFont="1" applyBorder="1" applyAlignment="1">
      <alignment horizontal="center"/>
    </xf>
    <xf numFmtId="4" fontId="7" fillId="8" borderId="15" xfId="6" applyNumberFormat="1" applyFont="1" applyFill="1" applyBorder="1" applyAlignment="1">
      <alignment horizontal="center"/>
    </xf>
    <xf numFmtId="44" fontId="34" fillId="0" borderId="4" xfId="2" applyNumberFormat="1" applyFont="1" applyBorder="1" applyAlignment="1">
      <alignment horizontal="center" vertical="center" wrapText="1" readingOrder="1"/>
    </xf>
    <xf numFmtId="44" fontId="34" fillId="0" borderId="0" xfId="2" applyNumberFormat="1" applyFont="1" applyAlignment="1">
      <alignment horizontal="center" vertical="center" wrapText="1" readingOrder="1"/>
    </xf>
    <xf numFmtId="4" fontId="6" fillId="0" borderId="4" xfId="2" applyNumberFormat="1" applyFont="1" applyBorder="1" applyAlignment="1">
      <alignment horizontal="center" vertical="center" wrapText="1" readingOrder="1"/>
    </xf>
    <xf numFmtId="4" fontId="6" fillId="0" borderId="0" xfId="2" applyNumberFormat="1" applyFont="1" applyAlignment="1">
      <alignment horizontal="center" vertical="center" wrapText="1" readingOrder="1"/>
    </xf>
    <xf numFmtId="0" fontId="6" fillId="0" borderId="4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10" fillId="0" borderId="4" xfId="2" applyNumberFormat="1" applyFont="1" applyBorder="1" applyAlignment="1">
      <alignment horizontal="center" vertical="center" wrapText="1"/>
    </xf>
    <xf numFmtId="4" fontId="10" fillId="0" borderId="0" xfId="2" applyNumberFormat="1" applyFont="1" applyAlignment="1">
      <alignment horizontal="center" vertical="center" wrapText="1"/>
    </xf>
    <xf numFmtId="4" fontId="10" fillId="0" borderId="4" xfId="1" applyNumberFormat="1" applyFont="1" applyBorder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0" fontId="36" fillId="0" borderId="9" xfId="0" applyFont="1" applyBorder="1" applyAlignment="1">
      <alignment horizontal="center" vertical="center"/>
    </xf>
    <xf numFmtId="4" fontId="33" fillId="0" borderId="9" xfId="0" applyNumberFormat="1" applyFont="1" applyBorder="1" applyAlignment="1">
      <alignment horizontal="left" vertical="center" wrapText="1"/>
    </xf>
    <xf numFmtId="0" fontId="28" fillId="0" borderId="9" xfId="0" applyFont="1" applyBorder="1" applyAlignment="1">
      <alignment horizontal="center"/>
    </xf>
    <xf numFmtId="0" fontId="21" fillId="0" borderId="9" xfId="0" applyFont="1" applyBorder="1" applyAlignment="1">
      <alignment horizontal="left"/>
    </xf>
    <xf numFmtId="0" fontId="28" fillId="7" borderId="11" xfId="0" applyFont="1" applyFill="1" applyBorder="1" applyAlignment="1">
      <alignment horizontal="right" vertical="center"/>
    </xf>
    <xf numFmtId="1" fontId="37" fillId="0" borderId="15" xfId="5" applyNumberFormat="1" applyFont="1" applyBorder="1" applyAlignment="1">
      <alignment horizontal="left" vertical="top"/>
    </xf>
    <xf numFmtId="1" fontId="37" fillId="0" borderId="9" xfId="5" applyNumberFormat="1" applyFont="1" applyBorder="1" applyAlignment="1">
      <alignment horizontal="left" vertical="top"/>
    </xf>
    <xf numFmtId="0" fontId="37" fillId="0" borderId="9" xfId="5" applyFont="1" applyBorder="1" applyAlignment="1">
      <alignment horizontal="left" vertical="top"/>
    </xf>
  </cellXfs>
  <cellStyles count="13">
    <cellStyle name="Euro" xfId="6" xr:uid="{00000000-0005-0000-0000-000000000000}"/>
    <cellStyle name="Normal" xfId="0" builtinId="0"/>
    <cellStyle name="Normal 11 2" xfId="10" xr:uid="{DDBFC0D4-5615-42B2-B6D4-5B679AD4AA41}"/>
    <cellStyle name="Normal 12" xfId="9" xr:uid="{73DF026F-8EF4-439E-9A69-580581864BC0}"/>
    <cellStyle name="Normal 2" xfId="7" xr:uid="{00000000-0005-0000-0000-000002000000}"/>
    <cellStyle name="Normal 2 2" xfId="8" xr:uid="{BADD4948-7D04-4B0D-8AFE-F7D9825DD56D}"/>
    <cellStyle name="Normal 2 3" xfId="2" xr:uid="{00000000-0005-0000-0000-000003000000}"/>
    <cellStyle name="Normal_CRONOGRAMA" xfId="5" xr:uid="{00000000-0005-0000-0000-000004000000}"/>
    <cellStyle name="Normal_P_Getulio Vargas 2" xfId="1" xr:uid="{00000000-0005-0000-0000-000005000000}"/>
    <cellStyle name="Normal_RUAS 3,4,7 e 8 R-1" xfId="3" xr:uid="{00000000-0005-0000-0000-000006000000}"/>
    <cellStyle name="Separador de milhares_Orçamento nº013-PRODEC V.Primavera" xfId="4" xr:uid="{00000000-0005-0000-0000-000007000000}"/>
    <cellStyle name="Vírgula 2 2 2" xfId="12" xr:uid="{9A940F80-E2ED-460F-ABC9-EB93DEB24AD7}"/>
    <cellStyle name="Vírgula 4" xfId="11" xr:uid="{D52FDFD1-2B86-4AC2-998C-F33BD5036B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228600</xdr:rowOff>
    </xdr:from>
    <xdr:to>
      <xdr:col>1</xdr:col>
      <xdr:colOff>1209675</xdr:colOff>
      <xdr:row>6</xdr:row>
      <xdr:rowOff>190500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50495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228600</xdr:rowOff>
    </xdr:from>
    <xdr:to>
      <xdr:col>1</xdr:col>
      <xdr:colOff>1209675</xdr:colOff>
      <xdr:row>6</xdr:row>
      <xdr:rowOff>190500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50495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31751</xdr:colOff>
      <xdr:row>0</xdr:row>
      <xdr:rowOff>177800</xdr:rowOff>
    </xdr:from>
    <xdr:to>
      <xdr:col>20</xdr:col>
      <xdr:colOff>1095376</xdr:colOff>
      <xdr:row>7</xdr:row>
      <xdr:rowOff>177800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95751" y="177800"/>
          <a:ext cx="5461000" cy="555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02"/>
  <sheetViews>
    <sheetView view="pageBreakPreview" zoomScale="70" zoomScaleNormal="75" zoomScaleSheetLayoutView="70" workbookViewId="0">
      <selection activeCell="F5" sqref="F5:I5"/>
    </sheetView>
  </sheetViews>
  <sheetFormatPr defaultRowHeight="14.25"/>
  <cols>
    <col min="1" max="1" width="6.85546875" style="110" customWidth="1"/>
    <col min="2" max="2" width="26.28515625" style="111" customWidth="1"/>
    <col min="3" max="3" width="94.7109375" style="112" customWidth="1"/>
    <col min="4" max="4" width="10.5703125" style="113" customWidth="1"/>
    <col min="5" max="5" width="24" style="112" customWidth="1"/>
    <col min="6" max="6" width="24.5703125" style="112" bestFit="1" customWidth="1"/>
    <col min="7" max="7" width="17.7109375" style="112" bestFit="1" customWidth="1"/>
    <col min="8" max="8" width="17.42578125" style="112" bestFit="1" customWidth="1"/>
    <col min="9" max="9" width="17.5703125" style="114" bestFit="1" customWidth="1"/>
    <col min="10" max="10" width="45.7109375" style="55" customWidth="1"/>
    <col min="11" max="253" width="9.140625" style="55"/>
    <col min="254" max="254" width="6.85546875" style="55" customWidth="1"/>
    <col min="255" max="255" width="26.28515625" style="55" customWidth="1"/>
    <col min="256" max="256" width="94.7109375" style="55" customWidth="1"/>
    <col min="257" max="257" width="10.5703125" style="55" customWidth="1"/>
    <col min="258" max="258" width="24" style="55" customWidth="1"/>
    <col min="259" max="259" width="24.5703125" style="55" bestFit="1" customWidth="1"/>
    <col min="260" max="260" width="17.7109375" style="55" bestFit="1" customWidth="1"/>
    <col min="261" max="261" width="17.42578125" style="55" bestFit="1" customWidth="1"/>
    <col min="262" max="262" width="17.5703125" style="55" bestFit="1" customWidth="1"/>
    <col min="263" max="263" width="9.28515625" style="55" bestFit="1" customWidth="1"/>
    <col min="264" max="264" width="10.28515625" style="55" bestFit="1" customWidth="1"/>
    <col min="265" max="265" width="45.7109375" style="55" customWidth="1"/>
    <col min="266" max="509" width="9.140625" style="55"/>
    <col min="510" max="510" width="6.85546875" style="55" customWidth="1"/>
    <col min="511" max="511" width="26.28515625" style="55" customWidth="1"/>
    <col min="512" max="512" width="94.7109375" style="55" customWidth="1"/>
    <col min="513" max="513" width="10.5703125" style="55" customWidth="1"/>
    <col min="514" max="514" width="24" style="55" customWidth="1"/>
    <col min="515" max="515" width="24.5703125" style="55" bestFit="1" customWidth="1"/>
    <col min="516" max="516" width="17.7109375" style="55" bestFit="1" customWidth="1"/>
    <col min="517" max="517" width="17.42578125" style="55" bestFit="1" customWidth="1"/>
    <col min="518" max="518" width="17.5703125" style="55" bestFit="1" customWidth="1"/>
    <col min="519" max="519" width="9.28515625" style="55" bestFit="1" customWidth="1"/>
    <col min="520" max="520" width="10.28515625" style="55" bestFit="1" customWidth="1"/>
    <col min="521" max="521" width="45.7109375" style="55" customWidth="1"/>
    <col min="522" max="765" width="9.140625" style="55"/>
    <col min="766" max="766" width="6.85546875" style="55" customWidth="1"/>
    <col min="767" max="767" width="26.28515625" style="55" customWidth="1"/>
    <col min="768" max="768" width="94.7109375" style="55" customWidth="1"/>
    <col min="769" max="769" width="10.5703125" style="55" customWidth="1"/>
    <col min="770" max="770" width="24" style="55" customWidth="1"/>
    <col min="771" max="771" width="24.5703125" style="55" bestFit="1" customWidth="1"/>
    <col min="772" max="772" width="17.7109375" style="55" bestFit="1" customWidth="1"/>
    <col min="773" max="773" width="17.42578125" style="55" bestFit="1" customWidth="1"/>
    <col min="774" max="774" width="17.5703125" style="55" bestFit="1" customWidth="1"/>
    <col min="775" max="775" width="9.28515625" style="55" bestFit="1" customWidth="1"/>
    <col min="776" max="776" width="10.28515625" style="55" bestFit="1" customWidth="1"/>
    <col min="777" max="777" width="45.7109375" style="55" customWidth="1"/>
    <col min="778" max="1021" width="9.140625" style="55"/>
    <col min="1022" max="1022" width="6.85546875" style="55" customWidth="1"/>
    <col min="1023" max="1023" width="26.28515625" style="55" customWidth="1"/>
    <col min="1024" max="1024" width="94.7109375" style="55" customWidth="1"/>
    <col min="1025" max="1025" width="10.5703125" style="55" customWidth="1"/>
    <col min="1026" max="1026" width="24" style="55" customWidth="1"/>
    <col min="1027" max="1027" width="24.5703125" style="55" bestFit="1" customWidth="1"/>
    <col min="1028" max="1028" width="17.7109375" style="55" bestFit="1" customWidth="1"/>
    <col min="1029" max="1029" width="17.42578125" style="55" bestFit="1" customWidth="1"/>
    <col min="1030" max="1030" width="17.5703125" style="55" bestFit="1" customWidth="1"/>
    <col min="1031" max="1031" width="9.28515625" style="55" bestFit="1" customWidth="1"/>
    <col min="1032" max="1032" width="10.28515625" style="55" bestFit="1" customWidth="1"/>
    <col min="1033" max="1033" width="45.7109375" style="55" customWidth="1"/>
    <col min="1034" max="1277" width="9.140625" style="55"/>
    <col min="1278" max="1278" width="6.85546875" style="55" customWidth="1"/>
    <col min="1279" max="1279" width="26.28515625" style="55" customWidth="1"/>
    <col min="1280" max="1280" width="94.7109375" style="55" customWidth="1"/>
    <col min="1281" max="1281" width="10.5703125" style="55" customWidth="1"/>
    <col min="1282" max="1282" width="24" style="55" customWidth="1"/>
    <col min="1283" max="1283" width="24.5703125" style="55" bestFit="1" customWidth="1"/>
    <col min="1284" max="1284" width="17.7109375" style="55" bestFit="1" customWidth="1"/>
    <col min="1285" max="1285" width="17.42578125" style="55" bestFit="1" customWidth="1"/>
    <col min="1286" max="1286" width="17.5703125" style="55" bestFit="1" customWidth="1"/>
    <col min="1287" max="1287" width="9.28515625" style="55" bestFit="1" customWidth="1"/>
    <col min="1288" max="1288" width="10.28515625" style="55" bestFit="1" customWidth="1"/>
    <col min="1289" max="1289" width="45.7109375" style="55" customWidth="1"/>
    <col min="1290" max="1533" width="9.140625" style="55"/>
    <col min="1534" max="1534" width="6.85546875" style="55" customWidth="1"/>
    <col min="1535" max="1535" width="26.28515625" style="55" customWidth="1"/>
    <col min="1536" max="1536" width="94.7109375" style="55" customWidth="1"/>
    <col min="1537" max="1537" width="10.5703125" style="55" customWidth="1"/>
    <col min="1538" max="1538" width="24" style="55" customWidth="1"/>
    <col min="1539" max="1539" width="24.5703125" style="55" bestFit="1" customWidth="1"/>
    <col min="1540" max="1540" width="17.7109375" style="55" bestFit="1" customWidth="1"/>
    <col min="1541" max="1541" width="17.42578125" style="55" bestFit="1" customWidth="1"/>
    <col min="1542" max="1542" width="17.5703125" style="55" bestFit="1" customWidth="1"/>
    <col min="1543" max="1543" width="9.28515625" style="55" bestFit="1" customWidth="1"/>
    <col min="1544" max="1544" width="10.28515625" style="55" bestFit="1" customWidth="1"/>
    <col min="1545" max="1545" width="45.7109375" style="55" customWidth="1"/>
    <col min="1546" max="1789" width="9.140625" style="55"/>
    <col min="1790" max="1790" width="6.85546875" style="55" customWidth="1"/>
    <col min="1791" max="1791" width="26.28515625" style="55" customWidth="1"/>
    <col min="1792" max="1792" width="94.7109375" style="55" customWidth="1"/>
    <col min="1793" max="1793" width="10.5703125" style="55" customWidth="1"/>
    <col min="1794" max="1794" width="24" style="55" customWidth="1"/>
    <col min="1795" max="1795" width="24.5703125" style="55" bestFit="1" customWidth="1"/>
    <col min="1796" max="1796" width="17.7109375" style="55" bestFit="1" customWidth="1"/>
    <col min="1797" max="1797" width="17.42578125" style="55" bestFit="1" customWidth="1"/>
    <col min="1798" max="1798" width="17.5703125" style="55" bestFit="1" customWidth="1"/>
    <col min="1799" max="1799" width="9.28515625" style="55" bestFit="1" customWidth="1"/>
    <col min="1800" max="1800" width="10.28515625" style="55" bestFit="1" customWidth="1"/>
    <col min="1801" max="1801" width="45.7109375" style="55" customWidth="1"/>
    <col min="1802" max="2045" width="9.140625" style="55"/>
    <col min="2046" max="2046" width="6.85546875" style="55" customWidth="1"/>
    <col min="2047" max="2047" width="26.28515625" style="55" customWidth="1"/>
    <col min="2048" max="2048" width="94.7109375" style="55" customWidth="1"/>
    <col min="2049" max="2049" width="10.5703125" style="55" customWidth="1"/>
    <col min="2050" max="2050" width="24" style="55" customWidth="1"/>
    <col min="2051" max="2051" width="24.5703125" style="55" bestFit="1" customWidth="1"/>
    <col min="2052" max="2052" width="17.7109375" style="55" bestFit="1" customWidth="1"/>
    <col min="2053" max="2053" width="17.42578125" style="55" bestFit="1" customWidth="1"/>
    <col min="2054" max="2054" width="17.5703125" style="55" bestFit="1" customWidth="1"/>
    <col min="2055" max="2055" width="9.28515625" style="55" bestFit="1" customWidth="1"/>
    <col min="2056" max="2056" width="10.28515625" style="55" bestFit="1" customWidth="1"/>
    <col min="2057" max="2057" width="45.7109375" style="55" customWidth="1"/>
    <col min="2058" max="2301" width="9.140625" style="55"/>
    <col min="2302" max="2302" width="6.85546875" style="55" customWidth="1"/>
    <col min="2303" max="2303" width="26.28515625" style="55" customWidth="1"/>
    <col min="2304" max="2304" width="94.7109375" style="55" customWidth="1"/>
    <col min="2305" max="2305" width="10.5703125" style="55" customWidth="1"/>
    <col min="2306" max="2306" width="24" style="55" customWidth="1"/>
    <col min="2307" max="2307" width="24.5703125" style="55" bestFit="1" customWidth="1"/>
    <col min="2308" max="2308" width="17.7109375" style="55" bestFit="1" customWidth="1"/>
    <col min="2309" max="2309" width="17.42578125" style="55" bestFit="1" customWidth="1"/>
    <col min="2310" max="2310" width="17.5703125" style="55" bestFit="1" customWidth="1"/>
    <col min="2311" max="2311" width="9.28515625" style="55" bestFit="1" customWidth="1"/>
    <col min="2312" max="2312" width="10.28515625" style="55" bestFit="1" customWidth="1"/>
    <col min="2313" max="2313" width="45.7109375" style="55" customWidth="1"/>
    <col min="2314" max="2557" width="9.140625" style="55"/>
    <col min="2558" max="2558" width="6.85546875" style="55" customWidth="1"/>
    <col min="2559" max="2559" width="26.28515625" style="55" customWidth="1"/>
    <col min="2560" max="2560" width="94.7109375" style="55" customWidth="1"/>
    <col min="2561" max="2561" width="10.5703125" style="55" customWidth="1"/>
    <col min="2562" max="2562" width="24" style="55" customWidth="1"/>
    <col min="2563" max="2563" width="24.5703125" style="55" bestFit="1" customWidth="1"/>
    <col min="2564" max="2564" width="17.7109375" style="55" bestFit="1" customWidth="1"/>
    <col min="2565" max="2565" width="17.42578125" style="55" bestFit="1" customWidth="1"/>
    <col min="2566" max="2566" width="17.5703125" style="55" bestFit="1" customWidth="1"/>
    <col min="2567" max="2567" width="9.28515625" style="55" bestFit="1" customWidth="1"/>
    <col min="2568" max="2568" width="10.28515625" style="55" bestFit="1" customWidth="1"/>
    <col min="2569" max="2569" width="45.7109375" style="55" customWidth="1"/>
    <col min="2570" max="2813" width="9.140625" style="55"/>
    <col min="2814" max="2814" width="6.85546875" style="55" customWidth="1"/>
    <col min="2815" max="2815" width="26.28515625" style="55" customWidth="1"/>
    <col min="2816" max="2816" width="94.7109375" style="55" customWidth="1"/>
    <col min="2817" max="2817" width="10.5703125" style="55" customWidth="1"/>
    <col min="2818" max="2818" width="24" style="55" customWidth="1"/>
    <col min="2819" max="2819" width="24.5703125" style="55" bestFit="1" customWidth="1"/>
    <col min="2820" max="2820" width="17.7109375" style="55" bestFit="1" customWidth="1"/>
    <col min="2821" max="2821" width="17.42578125" style="55" bestFit="1" customWidth="1"/>
    <col min="2822" max="2822" width="17.5703125" style="55" bestFit="1" customWidth="1"/>
    <col min="2823" max="2823" width="9.28515625" style="55" bestFit="1" customWidth="1"/>
    <col min="2824" max="2824" width="10.28515625" style="55" bestFit="1" customWidth="1"/>
    <col min="2825" max="2825" width="45.7109375" style="55" customWidth="1"/>
    <col min="2826" max="3069" width="9.140625" style="55"/>
    <col min="3070" max="3070" width="6.85546875" style="55" customWidth="1"/>
    <col min="3071" max="3071" width="26.28515625" style="55" customWidth="1"/>
    <col min="3072" max="3072" width="94.7109375" style="55" customWidth="1"/>
    <col min="3073" max="3073" width="10.5703125" style="55" customWidth="1"/>
    <col min="3074" max="3074" width="24" style="55" customWidth="1"/>
    <col min="3075" max="3075" width="24.5703125" style="55" bestFit="1" customWidth="1"/>
    <col min="3076" max="3076" width="17.7109375" style="55" bestFit="1" customWidth="1"/>
    <col min="3077" max="3077" width="17.42578125" style="55" bestFit="1" customWidth="1"/>
    <col min="3078" max="3078" width="17.5703125" style="55" bestFit="1" customWidth="1"/>
    <col min="3079" max="3079" width="9.28515625" style="55" bestFit="1" customWidth="1"/>
    <col min="3080" max="3080" width="10.28515625" style="55" bestFit="1" customWidth="1"/>
    <col min="3081" max="3081" width="45.7109375" style="55" customWidth="1"/>
    <col min="3082" max="3325" width="9.140625" style="55"/>
    <col min="3326" max="3326" width="6.85546875" style="55" customWidth="1"/>
    <col min="3327" max="3327" width="26.28515625" style="55" customWidth="1"/>
    <col min="3328" max="3328" width="94.7109375" style="55" customWidth="1"/>
    <col min="3329" max="3329" width="10.5703125" style="55" customWidth="1"/>
    <col min="3330" max="3330" width="24" style="55" customWidth="1"/>
    <col min="3331" max="3331" width="24.5703125" style="55" bestFit="1" customWidth="1"/>
    <col min="3332" max="3332" width="17.7109375" style="55" bestFit="1" customWidth="1"/>
    <col min="3333" max="3333" width="17.42578125" style="55" bestFit="1" customWidth="1"/>
    <col min="3334" max="3334" width="17.5703125" style="55" bestFit="1" customWidth="1"/>
    <col min="3335" max="3335" width="9.28515625" style="55" bestFit="1" customWidth="1"/>
    <col min="3336" max="3336" width="10.28515625" style="55" bestFit="1" customWidth="1"/>
    <col min="3337" max="3337" width="45.7109375" style="55" customWidth="1"/>
    <col min="3338" max="3581" width="9.140625" style="55"/>
    <col min="3582" max="3582" width="6.85546875" style="55" customWidth="1"/>
    <col min="3583" max="3583" width="26.28515625" style="55" customWidth="1"/>
    <col min="3584" max="3584" width="94.7109375" style="55" customWidth="1"/>
    <col min="3585" max="3585" width="10.5703125" style="55" customWidth="1"/>
    <col min="3586" max="3586" width="24" style="55" customWidth="1"/>
    <col min="3587" max="3587" width="24.5703125" style="55" bestFit="1" customWidth="1"/>
    <col min="3588" max="3588" width="17.7109375" style="55" bestFit="1" customWidth="1"/>
    <col min="3589" max="3589" width="17.42578125" style="55" bestFit="1" customWidth="1"/>
    <col min="3590" max="3590" width="17.5703125" style="55" bestFit="1" customWidth="1"/>
    <col min="3591" max="3591" width="9.28515625" style="55" bestFit="1" customWidth="1"/>
    <col min="3592" max="3592" width="10.28515625" style="55" bestFit="1" customWidth="1"/>
    <col min="3593" max="3593" width="45.7109375" style="55" customWidth="1"/>
    <col min="3594" max="3837" width="9.140625" style="55"/>
    <col min="3838" max="3838" width="6.85546875" style="55" customWidth="1"/>
    <col min="3839" max="3839" width="26.28515625" style="55" customWidth="1"/>
    <col min="3840" max="3840" width="94.7109375" style="55" customWidth="1"/>
    <col min="3841" max="3841" width="10.5703125" style="55" customWidth="1"/>
    <col min="3842" max="3842" width="24" style="55" customWidth="1"/>
    <col min="3843" max="3843" width="24.5703125" style="55" bestFit="1" customWidth="1"/>
    <col min="3844" max="3844" width="17.7109375" style="55" bestFit="1" customWidth="1"/>
    <col min="3845" max="3845" width="17.42578125" style="55" bestFit="1" customWidth="1"/>
    <col min="3846" max="3846" width="17.5703125" style="55" bestFit="1" customWidth="1"/>
    <col min="3847" max="3847" width="9.28515625" style="55" bestFit="1" customWidth="1"/>
    <col min="3848" max="3848" width="10.28515625" style="55" bestFit="1" customWidth="1"/>
    <col min="3849" max="3849" width="45.7109375" style="55" customWidth="1"/>
    <col min="3850" max="4093" width="9.140625" style="55"/>
    <col min="4094" max="4094" width="6.85546875" style="55" customWidth="1"/>
    <col min="4095" max="4095" width="26.28515625" style="55" customWidth="1"/>
    <col min="4096" max="4096" width="94.7109375" style="55" customWidth="1"/>
    <col min="4097" max="4097" width="10.5703125" style="55" customWidth="1"/>
    <col min="4098" max="4098" width="24" style="55" customWidth="1"/>
    <col min="4099" max="4099" width="24.5703125" style="55" bestFit="1" customWidth="1"/>
    <col min="4100" max="4100" width="17.7109375" style="55" bestFit="1" customWidth="1"/>
    <col min="4101" max="4101" width="17.42578125" style="55" bestFit="1" customWidth="1"/>
    <col min="4102" max="4102" width="17.5703125" style="55" bestFit="1" customWidth="1"/>
    <col min="4103" max="4103" width="9.28515625" style="55" bestFit="1" customWidth="1"/>
    <col min="4104" max="4104" width="10.28515625" style="55" bestFit="1" customWidth="1"/>
    <col min="4105" max="4105" width="45.7109375" style="55" customWidth="1"/>
    <col min="4106" max="4349" width="9.140625" style="55"/>
    <col min="4350" max="4350" width="6.85546875" style="55" customWidth="1"/>
    <col min="4351" max="4351" width="26.28515625" style="55" customWidth="1"/>
    <col min="4352" max="4352" width="94.7109375" style="55" customWidth="1"/>
    <col min="4353" max="4353" width="10.5703125" style="55" customWidth="1"/>
    <col min="4354" max="4354" width="24" style="55" customWidth="1"/>
    <col min="4355" max="4355" width="24.5703125" style="55" bestFit="1" customWidth="1"/>
    <col min="4356" max="4356" width="17.7109375" style="55" bestFit="1" customWidth="1"/>
    <col min="4357" max="4357" width="17.42578125" style="55" bestFit="1" customWidth="1"/>
    <col min="4358" max="4358" width="17.5703125" style="55" bestFit="1" customWidth="1"/>
    <col min="4359" max="4359" width="9.28515625" style="55" bestFit="1" customWidth="1"/>
    <col min="4360" max="4360" width="10.28515625" style="55" bestFit="1" customWidth="1"/>
    <col min="4361" max="4361" width="45.7109375" style="55" customWidth="1"/>
    <col min="4362" max="4605" width="9.140625" style="55"/>
    <col min="4606" max="4606" width="6.85546875" style="55" customWidth="1"/>
    <col min="4607" max="4607" width="26.28515625" style="55" customWidth="1"/>
    <col min="4608" max="4608" width="94.7109375" style="55" customWidth="1"/>
    <col min="4609" max="4609" width="10.5703125" style="55" customWidth="1"/>
    <col min="4610" max="4610" width="24" style="55" customWidth="1"/>
    <col min="4611" max="4611" width="24.5703125" style="55" bestFit="1" customWidth="1"/>
    <col min="4612" max="4612" width="17.7109375" style="55" bestFit="1" customWidth="1"/>
    <col min="4613" max="4613" width="17.42578125" style="55" bestFit="1" customWidth="1"/>
    <col min="4614" max="4614" width="17.5703125" style="55" bestFit="1" customWidth="1"/>
    <col min="4615" max="4615" width="9.28515625" style="55" bestFit="1" customWidth="1"/>
    <col min="4616" max="4616" width="10.28515625" style="55" bestFit="1" customWidth="1"/>
    <col min="4617" max="4617" width="45.7109375" style="55" customWidth="1"/>
    <col min="4618" max="4861" width="9.140625" style="55"/>
    <col min="4862" max="4862" width="6.85546875" style="55" customWidth="1"/>
    <col min="4863" max="4863" width="26.28515625" style="55" customWidth="1"/>
    <col min="4864" max="4864" width="94.7109375" style="55" customWidth="1"/>
    <col min="4865" max="4865" width="10.5703125" style="55" customWidth="1"/>
    <col min="4866" max="4866" width="24" style="55" customWidth="1"/>
    <col min="4867" max="4867" width="24.5703125" style="55" bestFit="1" customWidth="1"/>
    <col min="4868" max="4868" width="17.7109375" style="55" bestFit="1" customWidth="1"/>
    <col min="4869" max="4869" width="17.42578125" style="55" bestFit="1" customWidth="1"/>
    <col min="4870" max="4870" width="17.5703125" style="55" bestFit="1" customWidth="1"/>
    <col min="4871" max="4871" width="9.28515625" style="55" bestFit="1" customWidth="1"/>
    <col min="4872" max="4872" width="10.28515625" style="55" bestFit="1" customWidth="1"/>
    <col min="4873" max="4873" width="45.7109375" style="55" customWidth="1"/>
    <col min="4874" max="5117" width="9.140625" style="55"/>
    <col min="5118" max="5118" width="6.85546875" style="55" customWidth="1"/>
    <col min="5119" max="5119" width="26.28515625" style="55" customWidth="1"/>
    <col min="5120" max="5120" width="94.7109375" style="55" customWidth="1"/>
    <col min="5121" max="5121" width="10.5703125" style="55" customWidth="1"/>
    <col min="5122" max="5122" width="24" style="55" customWidth="1"/>
    <col min="5123" max="5123" width="24.5703125" style="55" bestFit="1" customWidth="1"/>
    <col min="5124" max="5124" width="17.7109375" style="55" bestFit="1" customWidth="1"/>
    <col min="5125" max="5125" width="17.42578125" style="55" bestFit="1" customWidth="1"/>
    <col min="5126" max="5126" width="17.5703125" style="55" bestFit="1" customWidth="1"/>
    <col min="5127" max="5127" width="9.28515625" style="55" bestFit="1" customWidth="1"/>
    <col min="5128" max="5128" width="10.28515625" style="55" bestFit="1" customWidth="1"/>
    <col min="5129" max="5129" width="45.7109375" style="55" customWidth="1"/>
    <col min="5130" max="5373" width="9.140625" style="55"/>
    <col min="5374" max="5374" width="6.85546875" style="55" customWidth="1"/>
    <col min="5375" max="5375" width="26.28515625" style="55" customWidth="1"/>
    <col min="5376" max="5376" width="94.7109375" style="55" customWidth="1"/>
    <col min="5377" max="5377" width="10.5703125" style="55" customWidth="1"/>
    <col min="5378" max="5378" width="24" style="55" customWidth="1"/>
    <col min="5379" max="5379" width="24.5703125" style="55" bestFit="1" customWidth="1"/>
    <col min="5380" max="5380" width="17.7109375" style="55" bestFit="1" customWidth="1"/>
    <col min="5381" max="5381" width="17.42578125" style="55" bestFit="1" customWidth="1"/>
    <col min="5382" max="5382" width="17.5703125" style="55" bestFit="1" customWidth="1"/>
    <col min="5383" max="5383" width="9.28515625" style="55" bestFit="1" customWidth="1"/>
    <col min="5384" max="5384" width="10.28515625" style="55" bestFit="1" customWidth="1"/>
    <col min="5385" max="5385" width="45.7109375" style="55" customWidth="1"/>
    <col min="5386" max="5629" width="9.140625" style="55"/>
    <col min="5630" max="5630" width="6.85546875" style="55" customWidth="1"/>
    <col min="5631" max="5631" width="26.28515625" style="55" customWidth="1"/>
    <col min="5632" max="5632" width="94.7109375" style="55" customWidth="1"/>
    <col min="5633" max="5633" width="10.5703125" style="55" customWidth="1"/>
    <col min="5634" max="5634" width="24" style="55" customWidth="1"/>
    <col min="5635" max="5635" width="24.5703125" style="55" bestFit="1" customWidth="1"/>
    <col min="5636" max="5636" width="17.7109375" style="55" bestFit="1" customWidth="1"/>
    <col min="5637" max="5637" width="17.42578125" style="55" bestFit="1" customWidth="1"/>
    <col min="5638" max="5638" width="17.5703125" style="55" bestFit="1" customWidth="1"/>
    <col min="5639" max="5639" width="9.28515625" style="55" bestFit="1" customWidth="1"/>
    <col min="5640" max="5640" width="10.28515625" style="55" bestFit="1" customWidth="1"/>
    <col min="5641" max="5641" width="45.7109375" style="55" customWidth="1"/>
    <col min="5642" max="5885" width="9.140625" style="55"/>
    <col min="5886" max="5886" width="6.85546875" style="55" customWidth="1"/>
    <col min="5887" max="5887" width="26.28515625" style="55" customWidth="1"/>
    <col min="5888" max="5888" width="94.7109375" style="55" customWidth="1"/>
    <col min="5889" max="5889" width="10.5703125" style="55" customWidth="1"/>
    <col min="5890" max="5890" width="24" style="55" customWidth="1"/>
    <col min="5891" max="5891" width="24.5703125" style="55" bestFit="1" customWidth="1"/>
    <col min="5892" max="5892" width="17.7109375" style="55" bestFit="1" customWidth="1"/>
    <col min="5893" max="5893" width="17.42578125" style="55" bestFit="1" customWidth="1"/>
    <col min="5894" max="5894" width="17.5703125" style="55" bestFit="1" customWidth="1"/>
    <col min="5895" max="5895" width="9.28515625" style="55" bestFit="1" customWidth="1"/>
    <col min="5896" max="5896" width="10.28515625" style="55" bestFit="1" customWidth="1"/>
    <col min="5897" max="5897" width="45.7109375" style="55" customWidth="1"/>
    <col min="5898" max="6141" width="9.140625" style="55"/>
    <col min="6142" max="6142" width="6.85546875" style="55" customWidth="1"/>
    <col min="6143" max="6143" width="26.28515625" style="55" customWidth="1"/>
    <col min="6144" max="6144" width="94.7109375" style="55" customWidth="1"/>
    <col min="6145" max="6145" width="10.5703125" style="55" customWidth="1"/>
    <col min="6146" max="6146" width="24" style="55" customWidth="1"/>
    <col min="6147" max="6147" width="24.5703125" style="55" bestFit="1" customWidth="1"/>
    <col min="6148" max="6148" width="17.7109375" style="55" bestFit="1" customWidth="1"/>
    <col min="6149" max="6149" width="17.42578125" style="55" bestFit="1" customWidth="1"/>
    <col min="6150" max="6150" width="17.5703125" style="55" bestFit="1" customWidth="1"/>
    <col min="6151" max="6151" width="9.28515625" style="55" bestFit="1" customWidth="1"/>
    <col min="6152" max="6152" width="10.28515625" style="55" bestFit="1" customWidth="1"/>
    <col min="6153" max="6153" width="45.7109375" style="55" customWidth="1"/>
    <col min="6154" max="6397" width="9.140625" style="55"/>
    <col min="6398" max="6398" width="6.85546875" style="55" customWidth="1"/>
    <col min="6399" max="6399" width="26.28515625" style="55" customWidth="1"/>
    <col min="6400" max="6400" width="94.7109375" style="55" customWidth="1"/>
    <col min="6401" max="6401" width="10.5703125" style="55" customWidth="1"/>
    <col min="6402" max="6402" width="24" style="55" customWidth="1"/>
    <col min="6403" max="6403" width="24.5703125" style="55" bestFit="1" customWidth="1"/>
    <col min="6404" max="6404" width="17.7109375" style="55" bestFit="1" customWidth="1"/>
    <col min="6405" max="6405" width="17.42578125" style="55" bestFit="1" customWidth="1"/>
    <col min="6406" max="6406" width="17.5703125" style="55" bestFit="1" customWidth="1"/>
    <col min="6407" max="6407" width="9.28515625" style="55" bestFit="1" customWidth="1"/>
    <col min="6408" max="6408" width="10.28515625" style="55" bestFit="1" customWidth="1"/>
    <col min="6409" max="6409" width="45.7109375" style="55" customWidth="1"/>
    <col min="6410" max="6653" width="9.140625" style="55"/>
    <col min="6654" max="6654" width="6.85546875" style="55" customWidth="1"/>
    <col min="6655" max="6655" width="26.28515625" style="55" customWidth="1"/>
    <col min="6656" max="6656" width="94.7109375" style="55" customWidth="1"/>
    <col min="6657" max="6657" width="10.5703125" style="55" customWidth="1"/>
    <col min="6658" max="6658" width="24" style="55" customWidth="1"/>
    <col min="6659" max="6659" width="24.5703125" style="55" bestFit="1" customWidth="1"/>
    <col min="6660" max="6660" width="17.7109375" style="55" bestFit="1" customWidth="1"/>
    <col min="6661" max="6661" width="17.42578125" style="55" bestFit="1" customWidth="1"/>
    <col min="6662" max="6662" width="17.5703125" style="55" bestFit="1" customWidth="1"/>
    <col min="6663" max="6663" width="9.28515625" style="55" bestFit="1" customWidth="1"/>
    <col min="6664" max="6664" width="10.28515625" style="55" bestFit="1" customWidth="1"/>
    <col min="6665" max="6665" width="45.7109375" style="55" customWidth="1"/>
    <col min="6666" max="6909" width="9.140625" style="55"/>
    <col min="6910" max="6910" width="6.85546875" style="55" customWidth="1"/>
    <col min="6911" max="6911" width="26.28515625" style="55" customWidth="1"/>
    <col min="6912" max="6912" width="94.7109375" style="55" customWidth="1"/>
    <col min="6913" max="6913" width="10.5703125" style="55" customWidth="1"/>
    <col min="6914" max="6914" width="24" style="55" customWidth="1"/>
    <col min="6915" max="6915" width="24.5703125" style="55" bestFit="1" customWidth="1"/>
    <col min="6916" max="6916" width="17.7109375" style="55" bestFit="1" customWidth="1"/>
    <col min="6917" max="6917" width="17.42578125" style="55" bestFit="1" customWidth="1"/>
    <col min="6918" max="6918" width="17.5703125" style="55" bestFit="1" customWidth="1"/>
    <col min="6919" max="6919" width="9.28515625" style="55" bestFit="1" customWidth="1"/>
    <col min="6920" max="6920" width="10.28515625" style="55" bestFit="1" customWidth="1"/>
    <col min="6921" max="6921" width="45.7109375" style="55" customWidth="1"/>
    <col min="6922" max="7165" width="9.140625" style="55"/>
    <col min="7166" max="7166" width="6.85546875" style="55" customWidth="1"/>
    <col min="7167" max="7167" width="26.28515625" style="55" customWidth="1"/>
    <col min="7168" max="7168" width="94.7109375" style="55" customWidth="1"/>
    <col min="7169" max="7169" width="10.5703125" style="55" customWidth="1"/>
    <col min="7170" max="7170" width="24" style="55" customWidth="1"/>
    <col min="7171" max="7171" width="24.5703125" style="55" bestFit="1" customWidth="1"/>
    <col min="7172" max="7172" width="17.7109375" style="55" bestFit="1" customWidth="1"/>
    <col min="7173" max="7173" width="17.42578125" style="55" bestFit="1" customWidth="1"/>
    <col min="7174" max="7174" width="17.5703125" style="55" bestFit="1" customWidth="1"/>
    <col min="7175" max="7175" width="9.28515625" style="55" bestFit="1" customWidth="1"/>
    <col min="7176" max="7176" width="10.28515625" style="55" bestFit="1" customWidth="1"/>
    <col min="7177" max="7177" width="45.7109375" style="55" customWidth="1"/>
    <col min="7178" max="7421" width="9.140625" style="55"/>
    <col min="7422" max="7422" width="6.85546875" style="55" customWidth="1"/>
    <col min="7423" max="7423" width="26.28515625" style="55" customWidth="1"/>
    <col min="7424" max="7424" width="94.7109375" style="55" customWidth="1"/>
    <col min="7425" max="7425" width="10.5703125" style="55" customWidth="1"/>
    <col min="7426" max="7426" width="24" style="55" customWidth="1"/>
    <col min="7427" max="7427" width="24.5703125" style="55" bestFit="1" customWidth="1"/>
    <col min="7428" max="7428" width="17.7109375" style="55" bestFit="1" customWidth="1"/>
    <col min="7429" max="7429" width="17.42578125" style="55" bestFit="1" customWidth="1"/>
    <col min="7430" max="7430" width="17.5703125" style="55" bestFit="1" customWidth="1"/>
    <col min="7431" max="7431" width="9.28515625" style="55" bestFit="1" customWidth="1"/>
    <col min="7432" max="7432" width="10.28515625" style="55" bestFit="1" customWidth="1"/>
    <col min="7433" max="7433" width="45.7109375" style="55" customWidth="1"/>
    <col min="7434" max="7677" width="9.140625" style="55"/>
    <col min="7678" max="7678" width="6.85546875" style="55" customWidth="1"/>
    <col min="7679" max="7679" width="26.28515625" style="55" customWidth="1"/>
    <col min="7680" max="7680" width="94.7109375" style="55" customWidth="1"/>
    <col min="7681" max="7681" width="10.5703125" style="55" customWidth="1"/>
    <col min="7682" max="7682" width="24" style="55" customWidth="1"/>
    <col min="7683" max="7683" width="24.5703125" style="55" bestFit="1" customWidth="1"/>
    <col min="7684" max="7684" width="17.7109375" style="55" bestFit="1" customWidth="1"/>
    <col min="7685" max="7685" width="17.42578125" style="55" bestFit="1" customWidth="1"/>
    <col min="7686" max="7686" width="17.5703125" style="55" bestFit="1" customWidth="1"/>
    <col min="7687" max="7687" width="9.28515625" style="55" bestFit="1" customWidth="1"/>
    <col min="7688" max="7688" width="10.28515625" style="55" bestFit="1" customWidth="1"/>
    <col min="7689" max="7689" width="45.7109375" style="55" customWidth="1"/>
    <col min="7690" max="7933" width="9.140625" style="55"/>
    <col min="7934" max="7934" width="6.85546875" style="55" customWidth="1"/>
    <col min="7935" max="7935" width="26.28515625" style="55" customWidth="1"/>
    <col min="7936" max="7936" width="94.7109375" style="55" customWidth="1"/>
    <col min="7937" max="7937" width="10.5703125" style="55" customWidth="1"/>
    <col min="7938" max="7938" width="24" style="55" customWidth="1"/>
    <col min="7939" max="7939" width="24.5703125" style="55" bestFit="1" customWidth="1"/>
    <col min="7940" max="7940" width="17.7109375" style="55" bestFit="1" customWidth="1"/>
    <col min="7941" max="7941" width="17.42578125" style="55" bestFit="1" customWidth="1"/>
    <col min="7942" max="7942" width="17.5703125" style="55" bestFit="1" customWidth="1"/>
    <col min="7943" max="7943" width="9.28515625" style="55" bestFit="1" customWidth="1"/>
    <col min="7944" max="7944" width="10.28515625" style="55" bestFit="1" customWidth="1"/>
    <col min="7945" max="7945" width="45.7109375" style="55" customWidth="1"/>
    <col min="7946" max="8189" width="9.140625" style="55"/>
    <col min="8190" max="8190" width="6.85546875" style="55" customWidth="1"/>
    <col min="8191" max="8191" width="26.28515625" style="55" customWidth="1"/>
    <col min="8192" max="8192" width="94.7109375" style="55" customWidth="1"/>
    <col min="8193" max="8193" width="10.5703125" style="55" customWidth="1"/>
    <col min="8194" max="8194" width="24" style="55" customWidth="1"/>
    <col min="8195" max="8195" width="24.5703125" style="55" bestFit="1" customWidth="1"/>
    <col min="8196" max="8196" width="17.7109375" style="55" bestFit="1" customWidth="1"/>
    <col min="8197" max="8197" width="17.42578125" style="55" bestFit="1" customWidth="1"/>
    <col min="8198" max="8198" width="17.5703125" style="55" bestFit="1" customWidth="1"/>
    <col min="8199" max="8199" width="9.28515625" style="55" bestFit="1" customWidth="1"/>
    <col min="8200" max="8200" width="10.28515625" style="55" bestFit="1" customWidth="1"/>
    <col min="8201" max="8201" width="45.7109375" style="55" customWidth="1"/>
    <col min="8202" max="8445" width="9.140625" style="55"/>
    <col min="8446" max="8446" width="6.85546875" style="55" customWidth="1"/>
    <col min="8447" max="8447" width="26.28515625" style="55" customWidth="1"/>
    <col min="8448" max="8448" width="94.7109375" style="55" customWidth="1"/>
    <col min="8449" max="8449" width="10.5703125" style="55" customWidth="1"/>
    <col min="8450" max="8450" width="24" style="55" customWidth="1"/>
    <col min="8451" max="8451" width="24.5703125" style="55" bestFit="1" customWidth="1"/>
    <col min="8452" max="8452" width="17.7109375" style="55" bestFit="1" customWidth="1"/>
    <col min="8453" max="8453" width="17.42578125" style="55" bestFit="1" customWidth="1"/>
    <col min="8454" max="8454" width="17.5703125" style="55" bestFit="1" customWidth="1"/>
    <col min="8455" max="8455" width="9.28515625" style="55" bestFit="1" customWidth="1"/>
    <col min="8456" max="8456" width="10.28515625" style="55" bestFit="1" customWidth="1"/>
    <col min="8457" max="8457" width="45.7109375" style="55" customWidth="1"/>
    <col min="8458" max="8701" width="9.140625" style="55"/>
    <col min="8702" max="8702" width="6.85546875" style="55" customWidth="1"/>
    <col min="8703" max="8703" width="26.28515625" style="55" customWidth="1"/>
    <col min="8704" max="8704" width="94.7109375" style="55" customWidth="1"/>
    <col min="8705" max="8705" width="10.5703125" style="55" customWidth="1"/>
    <col min="8706" max="8706" width="24" style="55" customWidth="1"/>
    <col min="8707" max="8707" width="24.5703125" style="55" bestFit="1" customWidth="1"/>
    <col min="8708" max="8708" width="17.7109375" style="55" bestFit="1" customWidth="1"/>
    <col min="8709" max="8709" width="17.42578125" style="55" bestFit="1" customWidth="1"/>
    <col min="8710" max="8710" width="17.5703125" style="55" bestFit="1" customWidth="1"/>
    <col min="8711" max="8711" width="9.28515625" style="55" bestFit="1" customWidth="1"/>
    <col min="8712" max="8712" width="10.28515625" style="55" bestFit="1" customWidth="1"/>
    <col min="8713" max="8713" width="45.7109375" style="55" customWidth="1"/>
    <col min="8714" max="8957" width="9.140625" style="55"/>
    <col min="8958" max="8958" width="6.85546875" style="55" customWidth="1"/>
    <col min="8959" max="8959" width="26.28515625" style="55" customWidth="1"/>
    <col min="8960" max="8960" width="94.7109375" style="55" customWidth="1"/>
    <col min="8961" max="8961" width="10.5703125" style="55" customWidth="1"/>
    <col min="8962" max="8962" width="24" style="55" customWidth="1"/>
    <col min="8963" max="8963" width="24.5703125" style="55" bestFit="1" customWidth="1"/>
    <col min="8964" max="8964" width="17.7109375" style="55" bestFit="1" customWidth="1"/>
    <col min="8965" max="8965" width="17.42578125" style="55" bestFit="1" customWidth="1"/>
    <col min="8966" max="8966" width="17.5703125" style="55" bestFit="1" customWidth="1"/>
    <col min="8967" max="8967" width="9.28515625" style="55" bestFit="1" customWidth="1"/>
    <col min="8968" max="8968" width="10.28515625" style="55" bestFit="1" customWidth="1"/>
    <col min="8969" max="8969" width="45.7109375" style="55" customWidth="1"/>
    <col min="8970" max="9213" width="9.140625" style="55"/>
    <col min="9214" max="9214" width="6.85546875" style="55" customWidth="1"/>
    <col min="9215" max="9215" width="26.28515625" style="55" customWidth="1"/>
    <col min="9216" max="9216" width="94.7109375" style="55" customWidth="1"/>
    <col min="9217" max="9217" width="10.5703125" style="55" customWidth="1"/>
    <col min="9218" max="9218" width="24" style="55" customWidth="1"/>
    <col min="9219" max="9219" width="24.5703125" style="55" bestFit="1" customWidth="1"/>
    <col min="9220" max="9220" width="17.7109375" style="55" bestFit="1" customWidth="1"/>
    <col min="9221" max="9221" width="17.42578125" style="55" bestFit="1" customWidth="1"/>
    <col min="9222" max="9222" width="17.5703125" style="55" bestFit="1" customWidth="1"/>
    <col min="9223" max="9223" width="9.28515625" style="55" bestFit="1" customWidth="1"/>
    <col min="9224" max="9224" width="10.28515625" style="55" bestFit="1" customWidth="1"/>
    <col min="9225" max="9225" width="45.7109375" style="55" customWidth="1"/>
    <col min="9226" max="9469" width="9.140625" style="55"/>
    <col min="9470" max="9470" width="6.85546875" style="55" customWidth="1"/>
    <col min="9471" max="9471" width="26.28515625" style="55" customWidth="1"/>
    <col min="9472" max="9472" width="94.7109375" style="55" customWidth="1"/>
    <col min="9473" max="9473" width="10.5703125" style="55" customWidth="1"/>
    <col min="9474" max="9474" width="24" style="55" customWidth="1"/>
    <col min="9475" max="9475" width="24.5703125" style="55" bestFit="1" customWidth="1"/>
    <col min="9476" max="9476" width="17.7109375" style="55" bestFit="1" customWidth="1"/>
    <col min="9477" max="9477" width="17.42578125" style="55" bestFit="1" customWidth="1"/>
    <col min="9478" max="9478" width="17.5703125" style="55" bestFit="1" customWidth="1"/>
    <col min="9479" max="9479" width="9.28515625" style="55" bestFit="1" customWidth="1"/>
    <col min="9480" max="9480" width="10.28515625" style="55" bestFit="1" customWidth="1"/>
    <col min="9481" max="9481" width="45.7109375" style="55" customWidth="1"/>
    <col min="9482" max="9725" width="9.140625" style="55"/>
    <col min="9726" max="9726" width="6.85546875" style="55" customWidth="1"/>
    <col min="9727" max="9727" width="26.28515625" style="55" customWidth="1"/>
    <col min="9728" max="9728" width="94.7109375" style="55" customWidth="1"/>
    <col min="9729" max="9729" width="10.5703125" style="55" customWidth="1"/>
    <col min="9730" max="9730" width="24" style="55" customWidth="1"/>
    <col min="9731" max="9731" width="24.5703125" style="55" bestFit="1" customWidth="1"/>
    <col min="9732" max="9732" width="17.7109375" style="55" bestFit="1" customWidth="1"/>
    <col min="9733" max="9733" width="17.42578125" style="55" bestFit="1" customWidth="1"/>
    <col min="9734" max="9734" width="17.5703125" style="55" bestFit="1" customWidth="1"/>
    <col min="9735" max="9735" width="9.28515625" style="55" bestFit="1" customWidth="1"/>
    <col min="9736" max="9736" width="10.28515625" style="55" bestFit="1" customWidth="1"/>
    <col min="9737" max="9737" width="45.7109375" style="55" customWidth="1"/>
    <col min="9738" max="9981" width="9.140625" style="55"/>
    <col min="9982" max="9982" width="6.85546875" style="55" customWidth="1"/>
    <col min="9983" max="9983" width="26.28515625" style="55" customWidth="1"/>
    <col min="9984" max="9984" width="94.7109375" style="55" customWidth="1"/>
    <col min="9985" max="9985" width="10.5703125" style="55" customWidth="1"/>
    <col min="9986" max="9986" width="24" style="55" customWidth="1"/>
    <col min="9987" max="9987" width="24.5703125" style="55" bestFit="1" customWidth="1"/>
    <col min="9988" max="9988" width="17.7109375" style="55" bestFit="1" customWidth="1"/>
    <col min="9989" max="9989" width="17.42578125" style="55" bestFit="1" customWidth="1"/>
    <col min="9990" max="9990" width="17.5703125" style="55" bestFit="1" customWidth="1"/>
    <col min="9991" max="9991" width="9.28515625" style="55" bestFit="1" customWidth="1"/>
    <col min="9992" max="9992" width="10.28515625" style="55" bestFit="1" customWidth="1"/>
    <col min="9993" max="9993" width="45.7109375" style="55" customWidth="1"/>
    <col min="9994" max="10237" width="9.140625" style="55"/>
    <col min="10238" max="10238" width="6.85546875" style="55" customWidth="1"/>
    <col min="10239" max="10239" width="26.28515625" style="55" customWidth="1"/>
    <col min="10240" max="10240" width="94.7109375" style="55" customWidth="1"/>
    <col min="10241" max="10241" width="10.5703125" style="55" customWidth="1"/>
    <col min="10242" max="10242" width="24" style="55" customWidth="1"/>
    <col min="10243" max="10243" width="24.5703125" style="55" bestFit="1" customWidth="1"/>
    <col min="10244" max="10244" width="17.7109375" style="55" bestFit="1" customWidth="1"/>
    <col min="10245" max="10245" width="17.42578125" style="55" bestFit="1" customWidth="1"/>
    <col min="10246" max="10246" width="17.5703125" style="55" bestFit="1" customWidth="1"/>
    <col min="10247" max="10247" width="9.28515625" style="55" bestFit="1" customWidth="1"/>
    <col min="10248" max="10248" width="10.28515625" style="55" bestFit="1" customWidth="1"/>
    <col min="10249" max="10249" width="45.7109375" style="55" customWidth="1"/>
    <col min="10250" max="10493" width="9.140625" style="55"/>
    <col min="10494" max="10494" width="6.85546875" style="55" customWidth="1"/>
    <col min="10495" max="10495" width="26.28515625" style="55" customWidth="1"/>
    <col min="10496" max="10496" width="94.7109375" style="55" customWidth="1"/>
    <col min="10497" max="10497" width="10.5703125" style="55" customWidth="1"/>
    <col min="10498" max="10498" width="24" style="55" customWidth="1"/>
    <col min="10499" max="10499" width="24.5703125" style="55" bestFit="1" customWidth="1"/>
    <col min="10500" max="10500" width="17.7109375" style="55" bestFit="1" customWidth="1"/>
    <col min="10501" max="10501" width="17.42578125" style="55" bestFit="1" customWidth="1"/>
    <col min="10502" max="10502" width="17.5703125" style="55" bestFit="1" customWidth="1"/>
    <col min="10503" max="10503" width="9.28515625" style="55" bestFit="1" customWidth="1"/>
    <col min="10504" max="10504" width="10.28515625" style="55" bestFit="1" customWidth="1"/>
    <col min="10505" max="10505" width="45.7109375" style="55" customWidth="1"/>
    <col min="10506" max="10749" width="9.140625" style="55"/>
    <col min="10750" max="10750" width="6.85546875" style="55" customWidth="1"/>
    <col min="10751" max="10751" width="26.28515625" style="55" customWidth="1"/>
    <col min="10752" max="10752" width="94.7109375" style="55" customWidth="1"/>
    <col min="10753" max="10753" width="10.5703125" style="55" customWidth="1"/>
    <col min="10754" max="10754" width="24" style="55" customWidth="1"/>
    <col min="10755" max="10755" width="24.5703125" style="55" bestFit="1" customWidth="1"/>
    <col min="10756" max="10756" width="17.7109375" style="55" bestFit="1" customWidth="1"/>
    <col min="10757" max="10757" width="17.42578125" style="55" bestFit="1" customWidth="1"/>
    <col min="10758" max="10758" width="17.5703125" style="55" bestFit="1" customWidth="1"/>
    <col min="10759" max="10759" width="9.28515625" style="55" bestFit="1" customWidth="1"/>
    <col min="10760" max="10760" width="10.28515625" style="55" bestFit="1" customWidth="1"/>
    <col min="10761" max="10761" width="45.7109375" style="55" customWidth="1"/>
    <col min="10762" max="11005" width="9.140625" style="55"/>
    <col min="11006" max="11006" width="6.85546875" style="55" customWidth="1"/>
    <col min="11007" max="11007" width="26.28515625" style="55" customWidth="1"/>
    <col min="11008" max="11008" width="94.7109375" style="55" customWidth="1"/>
    <col min="11009" max="11009" width="10.5703125" style="55" customWidth="1"/>
    <col min="11010" max="11010" width="24" style="55" customWidth="1"/>
    <col min="11011" max="11011" width="24.5703125" style="55" bestFit="1" customWidth="1"/>
    <col min="11012" max="11012" width="17.7109375" style="55" bestFit="1" customWidth="1"/>
    <col min="11013" max="11013" width="17.42578125" style="55" bestFit="1" customWidth="1"/>
    <col min="11014" max="11014" width="17.5703125" style="55" bestFit="1" customWidth="1"/>
    <col min="11015" max="11015" width="9.28515625" style="55" bestFit="1" customWidth="1"/>
    <col min="11016" max="11016" width="10.28515625" style="55" bestFit="1" customWidth="1"/>
    <col min="11017" max="11017" width="45.7109375" style="55" customWidth="1"/>
    <col min="11018" max="11261" width="9.140625" style="55"/>
    <col min="11262" max="11262" width="6.85546875" style="55" customWidth="1"/>
    <col min="11263" max="11263" width="26.28515625" style="55" customWidth="1"/>
    <col min="11264" max="11264" width="94.7109375" style="55" customWidth="1"/>
    <col min="11265" max="11265" width="10.5703125" style="55" customWidth="1"/>
    <col min="11266" max="11266" width="24" style="55" customWidth="1"/>
    <col min="11267" max="11267" width="24.5703125" style="55" bestFit="1" customWidth="1"/>
    <col min="11268" max="11268" width="17.7109375" style="55" bestFit="1" customWidth="1"/>
    <col min="11269" max="11269" width="17.42578125" style="55" bestFit="1" customWidth="1"/>
    <col min="11270" max="11270" width="17.5703125" style="55" bestFit="1" customWidth="1"/>
    <col min="11271" max="11271" width="9.28515625" style="55" bestFit="1" customWidth="1"/>
    <col min="11272" max="11272" width="10.28515625" style="55" bestFit="1" customWidth="1"/>
    <col min="11273" max="11273" width="45.7109375" style="55" customWidth="1"/>
    <col min="11274" max="11517" width="9.140625" style="55"/>
    <col min="11518" max="11518" width="6.85546875" style="55" customWidth="1"/>
    <col min="11519" max="11519" width="26.28515625" style="55" customWidth="1"/>
    <col min="11520" max="11520" width="94.7109375" style="55" customWidth="1"/>
    <col min="11521" max="11521" width="10.5703125" style="55" customWidth="1"/>
    <col min="11522" max="11522" width="24" style="55" customWidth="1"/>
    <col min="11523" max="11523" width="24.5703125" style="55" bestFit="1" customWidth="1"/>
    <col min="11524" max="11524" width="17.7109375" style="55" bestFit="1" customWidth="1"/>
    <col min="11525" max="11525" width="17.42578125" style="55" bestFit="1" customWidth="1"/>
    <col min="11526" max="11526" width="17.5703125" style="55" bestFit="1" customWidth="1"/>
    <col min="11527" max="11527" width="9.28515625" style="55" bestFit="1" customWidth="1"/>
    <col min="11528" max="11528" width="10.28515625" style="55" bestFit="1" customWidth="1"/>
    <col min="11529" max="11529" width="45.7109375" style="55" customWidth="1"/>
    <col min="11530" max="11773" width="9.140625" style="55"/>
    <col min="11774" max="11774" width="6.85546875" style="55" customWidth="1"/>
    <col min="11775" max="11775" width="26.28515625" style="55" customWidth="1"/>
    <col min="11776" max="11776" width="94.7109375" style="55" customWidth="1"/>
    <col min="11777" max="11777" width="10.5703125" style="55" customWidth="1"/>
    <col min="11778" max="11778" width="24" style="55" customWidth="1"/>
    <col min="11779" max="11779" width="24.5703125" style="55" bestFit="1" customWidth="1"/>
    <col min="11780" max="11780" width="17.7109375" style="55" bestFit="1" customWidth="1"/>
    <col min="11781" max="11781" width="17.42578125" style="55" bestFit="1" customWidth="1"/>
    <col min="11782" max="11782" width="17.5703125" style="55" bestFit="1" customWidth="1"/>
    <col min="11783" max="11783" width="9.28515625" style="55" bestFit="1" customWidth="1"/>
    <col min="11784" max="11784" width="10.28515625" style="55" bestFit="1" customWidth="1"/>
    <col min="11785" max="11785" width="45.7109375" style="55" customWidth="1"/>
    <col min="11786" max="12029" width="9.140625" style="55"/>
    <col min="12030" max="12030" width="6.85546875" style="55" customWidth="1"/>
    <col min="12031" max="12031" width="26.28515625" style="55" customWidth="1"/>
    <col min="12032" max="12032" width="94.7109375" style="55" customWidth="1"/>
    <col min="12033" max="12033" width="10.5703125" style="55" customWidth="1"/>
    <col min="12034" max="12034" width="24" style="55" customWidth="1"/>
    <col min="12035" max="12035" width="24.5703125" style="55" bestFit="1" customWidth="1"/>
    <col min="12036" max="12036" width="17.7109375" style="55" bestFit="1" customWidth="1"/>
    <col min="12037" max="12037" width="17.42578125" style="55" bestFit="1" customWidth="1"/>
    <col min="12038" max="12038" width="17.5703125" style="55" bestFit="1" customWidth="1"/>
    <col min="12039" max="12039" width="9.28515625" style="55" bestFit="1" customWidth="1"/>
    <col min="12040" max="12040" width="10.28515625" style="55" bestFit="1" customWidth="1"/>
    <col min="12041" max="12041" width="45.7109375" style="55" customWidth="1"/>
    <col min="12042" max="12285" width="9.140625" style="55"/>
    <col min="12286" max="12286" width="6.85546875" style="55" customWidth="1"/>
    <col min="12287" max="12287" width="26.28515625" style="55" customWidth="1"/>
    <col min="12288" max="12288" width="94.7109375" style="55" customWidth="1"/>
    <col min="12289" max="12289" width="10.5703125" style="55" customWidth="1"/>
    <col min="12290" max="12290" width="24" style="55" customWidth="1"/>
    <col min="12291" max="12291" width="24.5703125" style="55" bestFit="1" customWidth="1"/>
    <col min="12292" max="12292" width="17.7109375" style="55" bestFit="1" customWidth="1"/>
    <col min="12293" max="12293" width="17.42578125" style="55" bestFit="1" customWidth="1"/>
    <col min="12294" max="12294" width="17.5703125" style="55" bestFit="1" customWidth="1"/>
    <col min="12295" max="12295" width="9.28515625" style="55" bestFit="1" customWidth="1"/>
    <col min="12296" max="12296" width="10.28515625" style="55" bestFit="1" customWidth="1"/>
    <col min="12297" max="12297" width="45.7109375" style="55" customWidth="1"/>
    <col min="12298" max="12541" width="9.140625" style="55"/>
    <col min="12542" max="12542" width="6.85546875" style="55" customWidth="1"/>
    <col min="12543" max="12543" width="26.28515625" style="55" customWidth="1"/>
    <col min="12544" max="12544" width="94.7109375" style="55" customWidth="1"/>
    <col min="12545" max="12545" width="10.5703125" style="55" customWidth="1"/>
    <col min="12546" max="12546" width="24" style="55" customWidth="1"/>
    <col min="12547" max="12547" width="24.5703125" style="55" bestFit="1" customWidth="1"/>
    <col min="12548" max="12548" width="17.7109375" style="55" bestFit="1" customWidth="1"/>
    <col min="12549" max="12549" width="17.42578125" style="55" bestFit="1" customWidth="1"/>
    <col min="12550" max="12550" width="17.5703125" style="55" bestFit="1" customWidth="1"/>
    <col min="12551" max="12551" width="9.28515625" style="55" bestFit="1" customWidth="1"/>
    <col min="12552" max="12552" width="10.28515625" style="55" bestFit="1" customWidth="1"/>
    <col min="12553" max="12553" width="45.7109375" style="55" customWidth="1"/>
    <col min="12554" max="12797" width="9.140625" style="55"/>
    <col min="12798" max="12798" width="6.85546875" style="55" customWidth="1"/>
    <col min="12799" max="12799" width="26.28515625" style="55" customWidth="1"/>
    <col min="12800" max="12800" width="94.7109375" style="55" customWidth="1"/>
    <col min="12801" max="12801" width="10.5703125" style="55" customWidth="1"/>
    <col min="12802" max="12802" width="24" style="55" customWidth="1"/>
    <col min="12803" max="12803" width="24.5703125" style="55" bestFit="1" customWidth="1"/>
    <col min="12804" max="12804" width="17.7109375" style="55" bestFit="1" customWidth="1"/>
    <col min="12805" max="12805" width="17.42578125" style="55" bestFit="1" customWidth="1"/>
    <col min="12806" max="12806" width="17.5703125" style="55" bestFit="1" customWidth="1"/>
    <col min="12807" max="12807" width="9.28515625" style="55" bestFit="1" customWidth="1"/>
    <col min="12808" max="12808" width="10.28515625" style="55" bestFit="1" customWidth="1"/>
    <col min="12809" max="12809" width="45.7109375" style="55" customWidth="1"/>
    <col min="12810" max="13053" width="9.140625" style="55"/>
    <col min="13054" max="13054" width="6.85546875" style="55" customWidth="1"/>
    <col min="13055" max="13055" width="26.28515625" style="55" customWidth="1"/>
    <col min="13056" max="13056" width="94.7109375" style="55" customWidth="1"/>
    <col min="13057" max="13057" width="10.5703125" style="55" customWidth="1"/>
    <col min="13058" max="13058" width="24" style="55" customWidth="1"/>
    <col min="13059" max="13059" width="24.5703125" style="55" bestFit="1" customWidth="1"/>
    <col min="13060" max="13060" width="17.7109375" style="55" bestFit="1" customWidth="1"/>
    <col min="13061" max="13061" width="17.42578125" style="55" bestFit="1" customWidth="1"/>
    <col min="13062" max="13062" width="17.5703125" style="55" bestFit="1" customWidth="1"/>
    <col min="13063" max="13063" width="9.28515625" style="55" bestFit="1" customWidth="1"/>
    <col min="13064" max="13064" width="10.28515625" style="55" bestFit="1" customWidth="1"/>
    <col min="13065" max="13065" width="45.7109375" style="55" customWidth="1"/>
    <col min="13066" max="13309" width="9.140625" style="55"/>
    <col min="13310" max="13310" width="6.85546875" style="55" customWidth="1"/>
    <col min="13311" max="13311" width="26.28515625" style="55" customWidth="1"/>
    <col min="13312" max="13312" width="94.7109375" style="55" customWidth="1"/>
    <col min="13313" max="13313" width="10.5703125" style="55" customWidth="1"/>
    <col min="13314" max="13314" width="24" style="55" customWidth="1"/>
    <col min="13315" max="13315" width="24.5703125" style="55" bestFit="1" customWidth="1"/>
    <col min="13316" max="13316" width="17.7109375" style="55" bestFit="1" customWidth="1"/>
    <col min="13317" max="13317" width="17.42578125" style="55" bestFit="1" customWidth="1"/>
    <col min="13318" max="13318" width="17.5703125" style="55" bestFit="1" customWidth="1"/>
    <col min="13319" max="13319" width="9.28515625" style="55" bestFit="1" customWidth="1"/>
    <col min="13320" max="13320" width="10.28515625" style="55" bestFit="1" customWidth="1"/>
    <col min="13321" max="13321" width="45.7109375" style="55" customWidth="1"/>
    <col min="13322" max="13565" width="9.140625" style="55"/>
    <col min="13566" max="13566" width="6.85546875" style="55" customWidth="1"/>
    <col min="13567" max="13567" width="26.28515625" style="55" customWidth="1"/>
    <col min="13568" max="13568" width="94.7109375" style="55" customWidth="1"/>
    <col min="13569" max="13569" width="10.5703125" style="55" customWidth="1"/>
    <col min="13570" max="13570" width="24" style="55" customWidth="1"/>
    <col min="13571" max="13571" width="24.5703125" style="55" bestFit="1" customWidth="1"/>
    <col min="13572" max="13572" width="17.7109375" style="55" bestFit="1" customWidth="1"/>
    <col min="13573" max="13573" width="17.42578125" style="55" bestFit="1" customWidth="1"/>
    <col min="13574" max="13574" width="17.5703125" style="55" bestFit="1" customWidth="1"/>
    <col min="13575" max="13575" width="9.28515625" style="55" bestFit="1" customWidth="1"/>
    <col min="13576" max="13576" width="10.28515625" style="55" bestFit="1" customWidth="1"/>
    <col min="13577" max="13577" width="45.7109375" style="55" customWidth="1"/>
    <col min="13578" max="13821" width="9.140625" style="55"/>
    <col min="13822" max="13822" width="6.85546875" style="55" customWidth="1"/>
    <col min="13823" max="13823" width="26.28515625" style="55" customWidth="1"/>
    <col min="13824" max="13824" width="94.7109375" style="55" customWidth="1"/>
    <col min="13825" max="13825" width="10.5703125" style="55" customWidth="1"/>
    <col min="13826" max="13826" width="24" style="55" customWidth="1"/>
    <col min="13827" max="13827" width="24.5703125" style="55" bestFit="1" customWidth="1"/>
    <col min="13828" max="13828" width="17.7109375" style="55" bestFit="1" customWidth="1"/>
    <col min="13829" max="13829" width="17.42578125" style="55" bestFit="1" customWidth="1"/>
    <col min="13830" max="13830" width="17.5703125" style="55" bestFit="1" customWidth="1"/>
    <col min="13831" max="13831" width="9.28515625" style="55" bestFit="1" customWidth="1"/>
    <col min="13832" max="13832" width="10.28515625" style="55" bestFit="1" customWidth="1"/>
    <col min="13833" max="13833" width="45.7109375" style="55" customWidth="1"/>
    <col min="13834" max="14077" width="9.140625" style="55"/>
    <col min="14078" max="14078" width="6.85546875" style="55" customWidth="1"/>
    <col min="14079" max="14079" width="26.28515625" style="55" customWidth="1"/>
    <col min="14080" max="14080" width="94.7109375" style="55" customWidth="1"/>
    <col min="14081" max="14081" width="10.5703125" style="55" customWidth="1"/>
    <col min="14082" max="14082" width="24" style="55" customWidth="1"/>
    <col min="14083" max="14083" width="24.5703125" style="55" bestFit="1" customWidth="1"/>
    <col min="14084" max="14084" width="17.7109375" style="55" bestFit="1" customWidth="1"/>
    <col min="14085" max="14085" width="17.42578125" style="55" bestFit="1" customWidth="1"/>
    <col min="14086" max="14086" width="17.5703125" style="55" bestFit="1" customWidth="1"/>
    <col min="14087" max="14087" width="9.28515625" style="55" bestFit="1" customWidth="1"/>
    <col min="14088" max="14088" width="10.28515625" style="55" bestFit="1" customWidth="1"/>
    <col min="14089" max="14089" width="45.7109375" style="55" customWidth="1"/>
    <col min="14090" max="14333" width="9.140625" style="55"/>
    <col min="14334" max="14334" width="6.85546875" style="55" customWidth="1"/>
    <col min="14335" max="14335" width="26.28515625" style="55" customWidth="1"/>
    <col min="14336" max="14336" width="94.7109375" style="55" customWidth="1"/>
    <col min="14337" max="14337" width="10.5703125" style="55" customWidth="1"/>
    <col min="14338" max="14338" width="24" style="55" customWidth="1"/>
    <col min="14339" max="14339" width="24.5703125" style="55" bestFit="1" customWidth="1"/>
    <col min="14340" max="14340" width="17.7109375" style="55" bestFit="1" customWidth="1"/>
    <col min="14341" max="14341" width="17.42578125" style="55" bestFit="1" customWidth="1"/>
    <col min="14342" max="14342" width="17.5703125" style="55" bestFit="1" customWidth="1"/>
    <col min="14343" max="14343" width="9.28515625" style="55" bestFit="1" customWidth="1"/>
    <col min="14344" max="14344" width="10.28515625" style="55" bestFit="1" customWidth="1"/>
    <col min="14345" max="14345" width="45.7109375" style="55" customWidth="1"/>
    <col min="14346" max="14589" width="9.140625" style="55"/>
    <col min="14590" max="14590" width="6.85546875" style="55" customWidth="1"/>
    <col min="14591" max="14591" width="26.28515625" style="55" customWidth="1"/>
    <col min="14592" max="14592" width="94.7109375" style="55" customWidth="1"/>
    <col min="14593" max="14593" width="10.5703125" style="55" customWidth="1"/>
    <col min="14594" max="14594" width="24" style="55" customWidth="1"/>
    <col min="14595" max="14595" width="24.5703125" style="55" bestFit="1" customWidth="1"/>
    <col min="14596" max="14596" width="17.7109375" style="55" bestFit="1" customWidth="1"/>
    <col min="14597" max="14597" width="17.42578125" style="55" bestFit="1" customWidth="1"/>
    <col min="14598" max="14598" width="17.5703125" style="55" bestFit="1" customWidth="1"/>
    <col min="14599" max="14599" width="9.28515625" style="55" bestFit="1" customWidth="1"/>
    <col min="14600" max="14600" width="10.28515625" style="55" bestFit="1" customWidth="1"/>
    <col min="14601" max="14601" width="45.7109375" style="55" customWidth="1"/>
    <col min="14602" max="14845" width="9.140625" style="55"/>
    <col min="14846" max="14846" width="6.85546875" style="55" customWidth="1"/>
    <col min="14847" max="14847" width="26.28515625" style="55" customWidth="1"/>
    <col min="14848" max="14848" width="94.7109375" style="55" customWidth="1"/>
    <col min="14849" max="14849" width="10.5703125" style="55" customWidth="1"/>
    <col min="14850" max="14850" width="24" style="55" customWidth="1"/>
    <col min="14851" max="14851" width="24.5703125" style="55" bestFit="1" customWidth="1"/>
    <col min="14852" max="14852" width="17.7109375" style="55" bestFit="1" customWidth="1"/>
    <col min="14853" max="14853" width="17.42578125" style="55" bestFit="1" customWidth="1"/>
    <col min="14854" max="14854" width="17.5703125" style="55" bestFit="1" customWidth="1"/>
    <col min="14855" max="14855" width="9.28515625" style="55" bestFit="1" customWidth="1"/>
    <col min="14856" max="14856" width="10.28515625" style="55" bestFit="1" customWidth="1"/>
    <col min="14857" max="14857" width="45.7109375" style="55" customWidth="1"/>
    <col min="14858" max="15101" width="9.140625" style="55"/>
    <col min="15102" max="15102" width="6.85546875" style="55" customWidth="1"/>
    <col min="15103" max="15103" width="26.28515625" style="55" customWidth="1"/>
    <col min="15104" max="15104" width="94.7109375" style="55" customWidth="1"/>
    <col min="15105" max="15105" width="10.5703125" style="55" customWidth="1"/>
    <col min="15106" max="15106" width="24" style="55" customWidth="1"/>
    <col min="15107" max="15107" width="24.5703125" style="55" bestFit="1" customWidth="1"/>
    <col min="15108" max="15108" width="17.7109375" style="55" bestFit="1" customWidth="1"/>
    <col min="15109" max="15109" width="17.42578125" style="55" bestFit="1" customWidth="1"/>
    <col min="15110" max="15110" width="17.5703125" style="55" bestFit="1" customWidth="1"/>
    <col min="15111" max="15111" width="9.28515625" style="55" bestFit="1" customWidth="1"/>
    <col min="15112" max="15112" width="10.28515625" style="55" bestFit="1" customWidth="1"/>
    <col min="15113" max="15113" width="45.7109375" style="55" customWidth="1"/>
    <col min="15114" max="15357" width="9.140625" style="55"/>
    <col min="15358" max="15358" width="6.85546875" style="55" customWidth="1"/>
    <col min="15359" max="15359" width="26.28515625" style="55" customWidth="1"/>
    <col min="15360" max="15360" width="94.7109375" style="55" customWidth="1"/>
    <col min="15361" max="15361" width="10.5703125" style="55" customWidth="1"/>
    <col min="15362" max="15362" width="24" style="55" customWidth="1"/>
    <col min="15363" max="15363" width="24.5703125" style="55" bestFit="1" customWidth="1"/>
    <col min="15364" max="15364" width="17.7109375" style="55" bestFit="1" customWidth="1"/>
    <col min="15365" max="15365" width="17.42578125" style="55" bestFit="1" customWidth="1"/>
    <col min="15366" max="15366" width="17.5703125" style="55" bestFit="1" customWidth="1"/>
    <col min="15367" max="15367" width="9.28515625" style="55" bestFit="1" customWidth="1"/>
    <col min="15368" max="15368" width="10.28515625" style="55" bestFit="1" customWidth="1"/>
    <col min="15369" max="15369" width="45.7109375" style="55" customWidth="1"/>
    <col min="15370" max="15613" width="9.140625" style="55"/>
    <col min="15614" max="15614" width="6.85546875" style="55" customWidth="1"/>
    <col min="15615" max="15615" width="26.28515625" style="55" customWidth="1"/>
    <col min="15616" max="15616" width="94.7109375" style="55" customWidth="1"/>
    <col min="15617" max="15617" width="10.5703125" style="55" customWidth="1"/>
    <col min="15618" max="15618" width="24" style="55" customWidth="1"/>
    <col min="15619" max="15619" width="24.5703125" style="55" bestFit="1" customWidth="1"/>
    <col min="15620" max="15620" width="17.7109375" style="55" bestFit="1" customWidth="1"/>
    <col min="15621" max="15621" width="17.42578125" style="55" bestFit="1" customWidth="1"/>
    <col min="15622" max="15622" width="17.5703125" style="55" bestFit="1" customWidth="1"/>
    <col min="15623" max="15623" width="9.28515625" style="55" bestFit="1" customWidth="1"/>
    <col min="15624" max="15624" width="10.28515625" style="55" bestFit="1" customWidth="1"/>
    <col min="15625" max="15625" width="45.7109375" style="55" customWidth="1"/>
    <col min="15626" max="15869" width="9.140625" style="55"/>
    <col min="15870" max="15870" width="6.85546875" style="55" customWidth="1"/>
    <col min="15871" max="15871" width="26.28515625" style="55" customWidth="1"/>
    <col min="15872" max="15872" width="94.7109375" style="55" customWidth="1"/>
    <col min="15873" max="15873" width="10.5703125" style="55" customWidth="1"/>
    <col min="15874" max="15874" width="24" style="55" customWidth="1"/>
    <col min="15875" max="15875" width="24.5703125" style="55" bestFit="1" customWidth="1"/>
    <col min="15876" max="15876" width="17.7109375" style="55" bestFit="1" customWidth="1"/>
    <col min="15877" max="15877" width="17.42578125" style="55" bestFit="1" customWidth="1"/>
    <col min="15878" max="15878" width="17.5703125" style="55" bestFit="1" customWidth="1"/>
    <col min="15879" max="15879" width="9.28515625" style="55" bestFit="1" customWidth="1"/>
    <col min="15880" max="15880" width="10.28515625" style="55" bestFit="1" customWidth="1"/>
    <col min="15881" max="15881" width="45.7109375" style="55" customWidth="1"/>
    <col min="15882" max="16125" width="9.140625" style="55"/>
    <col min="16126" max="16126" width="6.85546875" style="55" customWidth="1"/>
    <col min="16127" max="16127" width="26.28515625" style="55" customWidth="1"/>
    <col min="16128" max="16128" width="94.7109375" style="55" customWidth="1"/>
    <col min="16129" max="16129" width="10.5703125" style="55" customWidth="1"/>
    <col min="16130" max="16130" width="24" style="55" customWidth="1"/>
    <col min="16131" max="16131" width="24.5703125" style="55" bestFit="1" customWidth="1"/>
    <col min="16132" max="16132" width="17.7109375" style="55" bestFit="1" customWidth="1"/>
    <col min="16133" max="16133" width="17.42578125" style="55" bestFit="1" customWidth="1"/>
    <col min="16134" max="16134" width="17.5703125" style="55" bestFit="1" customWidth="1"/>
    <col min="16135" max="16135" width="9.28515625" style="55" bestFit="1" customWidth="1"/>
    <col min="16136" max="16136" width="10.28515625" style="55" bestFit="1" customWidth="1"/>
    <col min="16137" max="16137" width="45.7109375" style="55" customWidth="1"/>
    <col min="16138" max="16384" width="9.140625" style="55"/>
  </cols>
  <sheetData>
    <row r="1" spans="1:9" s="47" customFormat="1" ht="26.25">
      <c r="A1" s="1"/>
      <c r="B1" s="2"/>
      <c r="C1" s="359" t="s">
        <v>0</v>
      </c>
      <c r="D1" s="359"/>
      <c r="E1" s="360"/>
      <c r="F1" s="3"/>
      <c r="G1" s="4"/>
      <c r="H1" s="45"/>
      <c r="I1" s="46"/>
    </row>
    <row r="2" spans="1:9" s="47" customFormat="1" ht="26.25">
      <c r="A2" s="5"/>
      <c r="B2" s="6"/>
      <c r="C2" s="361" t="s">
        <v>1</v>
      </c>
      <c r="D2" s="361"/>
      <c r="E2" s="362"/>
      <c r="F2" s="7"/>
      <c r="G2" s="8"/>
      <c r="H2" s="48"/>
      <c r="I2" s="49"/>
    </row>
    <row r="3" spans="1:9" s="47" customFormat="1" ht="26.25">
      <c r="A3" s="5"/>
      <c r="B3" s="6"/>
      <c r="C3" s="361" t="s">
        <v>2</v>
      </c>
      <c r="D3" s="361"/>
      <c r="E3" s="362"/>
      <c r="F3" s="363"/>
      <c r="G3" s="364"/>
      <c r="H3" s="364"/>
      <c r="I3" s="365"/>
    </row>
    <row r="4" spans="1:9" s="47" customFormat="1" ht="39.75" customHeight="1">
      <c r="A4" s="5"/>
      <c r="B4" s="6"/>
      <c r="C4" s="347" t="s">
        <v>62</v>
      </c>
      <c r="D4" s="347"/>
      <c r="E4" s="348"/>
      <c r="F4" s="366" t="s">
        <v>2101</v>
      </c>
      <c r="G4" s="367"/>
      <c r="H4" s="367"/>
      <c r="I4" s="368"/>
    </row>
    <row r="5" spans="1:9" s="47" customFormat="1" ht="23.25" customHeight="1">
      <c r="A5" s="5"/>
      <c r="B5" s="6"/>
      <c r="C5" s="347" t="s">
        <v>54</v>
      </c>
      <c r="D5" s="347"/>
      <c r="E5" s="348"/>
      <c r="F5" s="349" t="s">
        <v>60</v>
      </c>
      <c r="G5" s="350"/>
      <c r="H5" s="350"/>
      <c r="I5" s="351"/>
    </row>
    <row r="6" spans="1:9" s="47" customFormat="1" ht="23.25">
      <c r="A6" s="5"/>
      <c r="B6" s="6"/>
      <c r="C6" s="352" t="s">
        <v>1627</v>
      </c>
      <c r="D6" s="352"/>
      <c r="E6" s="353"/>
      <c r="F6" s="354" t="s">
        <v>61</v>
      </c>
      <c r="G6" s="355"/>
      <c r="H6" s="355"/>
      <c r="I6" s="356"/>
    </row>
    <row r="7" spans="1:9" s="47" customFormat="1" ht="23.25">
      <c r="A7" s="5"/>
      <c r="B7" s="6"/>
      <c r="C7" s="357"/>
      <c r="D7" s="357"/>
      <c r="E7" s="358"/>
      <c r="F7" s="354" t="s">
        <v>41</v>
      </c>
      <c r="G7" s="355"/>
      <c r="H7" s="355"/>
      <c r="I7" s="356"/>
    </row>
    <row r="8" spans="1:9" s="47" customFormat="1" ht="20.25">
      <c r="A8" s="9"/>
      <c r="B8" s="10"/>
      <c r="C8" s="11"/>
      <c r="D8" s="50"/>
      <c r="E8" s="12"/>
      <c r="F8" s="337" t="s">
        <v>3</v>
      </c>
      <c r="G8" s="338"/>
      <c r="H8" s="338"/>
      <c r="I8" s="339"/>
    </row>
    <row r="9" spans="1:9" s="47" customFormat="1" ht="18" customHeight="1">
      <c r="A9" s="340" t="s">
        <v>1858</v>
      </c>
      <c r="B9" s="341"/>
      <c r="C9" s="341"/>
      <c r="D9" s="341"/>
      <c r="E9" s="341"/>
      <c r="F9" s="341"/>
      <c r="G9" s="341"/>
      <c r="H9" s="341"/>
      <c r="I9" s="341"/>
    </row>
    <row r="10" spans="1:9" s="47" customFormat="1" ht="18.75">
      <c r="A10" s="342" t="s">
        <v>4</v>
      </c>
      <c r="B10" s="343" t="s">
        <v>5</v>
      </c>
      <c r="C10" s="344" t="s">
        <v>6</v>
      </c>
      <c r="D10" s="342" t="s">
        <v>7</v>
      </c>
      <c r="E10" s="345" t="s">
        <v>8</v>
      </c>
      <c r="F10" s="346" t="s">
        <v>9</v>
      </c>
      <c r="G10" s="346"/>
      <c r="H10" s="346"/>
      <c r="I10" s="346"/>
    </row>
    <row r="11" spans="1:9" s="47" customFormat="1" ht="18.75">
      <c r="A11" s="342"/>
      <c r="B11" s="343"/>
      <c r="C11" s="344"/>
      <c r="D11" s="342"/>
      <c r="E11" s="345"/>
      <c r="F11" s="51" t="s">
        <v>10</v>
      </c>
      <c r="G11" s="51" t="s">
        <v>11</v>
      </c>
      <c r="H11" s="51" t="s">
        <v>12</v>
      </c>
      <c r="I11" s="52" t="s">
        <v>13</v>
      </c>
    </row>
    <row r="12" spans="1:9" ht="14.25" customHeight="1">
      <c r="A12" s="53" t="s">
        <v>14</v>
      </c>
      <c r="B12" s="54"/>
      <c r="C12" s="334" t="s">
        <v>15</v>
      </c>
      <c r="D12" s="334"/>
      <c r="E12" s="334"/>
      <c r="F12" s="334"/>
      <c r="G12" s="334"/>
      <c r="H12" s="334"/>
      <c r="I12" s="334"/>
    </row>
    <row r="13" spans="1:9" s="57" customFormat="1" ht="45">
      <c r="A13" s="13" t="s">
        <v>16</v>
      </c>
      <c r="B13" s="14" t="s">
        <v>1603</v>
      </c>
      <c r="C13" s="15" t="s">
        <v>1604</v>
      </c>
      <c r="D13" s="16" t="s">
        <v>17</v>
      </c>
      <c r="E13" s="17">
        <v>12</v>
      </c>
      <c r="F13" s="18">
        <f>TRUNC(F14,2)</f>
        <v>124.01</v>
      </c>
      <c r="G13" s="18">
        <f>TRUNC(F13*1.2882,2)</f>
        <v>159.74</v>
      </c>
      <c r="H13" s="18">
        <f>TRUNC(F13*E13,2)</f>
        <v>1488.12</v>
      </c>
      <c r="I13" s="56">
        <f>TRUNC(E13*G13,2)</f>
        <v>1916.88</v>
      </c>
    </row>
    <row r="14" spans="1:9" ht="45">
      <c r="A14" s="58"/>
      <c r="B14" s="59" t="s">
        <v>1603</v>
      </c>
      <c r="C14" s="60" t="s">
        <v>1604</v>
      </c>
      <c r="D14" s="61" t="s">
        <v>17</v>
      </c>
      <c r="E14" s="62">
        <v>1</v>
      </c>
      <c r="F14" s="63">
        <f>G17</f>
        <v>124.01</v>
      </c>
      <c r="G14" s="63">
        <f>TRUNC(E14*F14,2)</f>
        <v>124.01</v>
      </c>
      <c r="H14" s="63"/>
      <c r="I14" s="55"/>
    </row>
    <row r="15" spans="1:9" ht="30">
      <c r="A15" s="58"/>
      <c r="B15" s="59" t="s">
        <v>42</v>
      </c>
      <c r="C15" s="60" t="s">
        <v>43</v>
      </c>
      <c r="D15" s="61" t="s">
        <v>17</v>
      </c>
      <c r="E15" s="62">
        <v>1</v>
      </c>
      <c r="F15" s="63">
        <v>92.7</v>
      </c>
      <c r="G15" s="63">
        <f>TRUNC(E15*F15,2)</f>
        <v>92.7</v>
      </c>
      <c r="H15" s="63"/>
      <c r="I15" s="55"/>
    </row>
    <row r="16" spans="1:9" ht="30">
      <c r="A16" s="58"/>
      <c r="B16" s="59" t="s">
        <v>49</v>
      </c>
      <c r="C16" s="60" t="s">
        <v>50</v>
      </c>
      <c r="D16" s="61" t="s">
        <v>51</v>
      </c>
      <c r="E16" s="62">
        <v>2.06</v>
      </c>
      <c r="F16" s="63">
        <v>15.2</v>
      </c>
      <c r="G16" s="63">
        <f>TRUNC(E16*F16,2)</f>
        <v>31.31</v>
      </c>
      <c r="H16" s="63"/>
      <c r="I16" s="55"/>
    </row>
    <row r="17" spans="1:9" ht="15">
      <c r="A17" s="58"/>
      <c r="B17" s="59"/>
      <c r="C17" s="60"/>
      <c r="D17" s="61"/>
      <c r="E17" s="62" t="s">
        <v>33</v>
      </c>
      <c r="F17" s="63"/>
      <c r="G17" s="63">
        <f>TRUNC(SUM(G15:G16),2)</f>
        <v>124.01</v>
      </c>
      <c r="H17" s="63"/>
      <c r="I17" s="55"/>
    </row>
    <row r="18" spans="1:9" s="57" customFormat="1" ht="30">
      <c r="A18" s="13" t="s">
        <v>64</v>
      </c>
      <c r="B18" s="14" t="s">
        <v>81</v>
      </c>
      <c r="C18" s="15" t="s">
        <v>65</v>
      </c>
      <c r="D18" s="16" t="s">
        <v>7</v>
      </c>
      <c r="E18" s="17">
        <v>53</v>
      </c>
      <c r="F18" s="18">
        <f>TRUNC(F19,2)</f>
        <v>22.13</v>
      </c>
      <c r="G18" s="18">
        <f>TRUNC(F18*1.2882,2)</f>
        <v>28.5</v>
      </c>
      <c r="H18" s="18">
        <f>TRUNC(F18*E18,2)</f>
        <v>1172.8900000000001</v>
      </c>
      <c r="I18" s="56">
        <f>TRUNC(E18*G18,2)</f>
        <v>1510.5</v>
      </c>
    </row>
    <row r="19" spans="1:9" ht="30">
      <c r="A19" s="58"/>
      <c r="B19" s="59" t="s">
        <v>81</v>
      </c>
      <c r="C19" s="60" t="s">
        <v>65</v>
      </c>
      <c r="D19" s="61" t="s">
        <v>7</v>
      </c>
      <c r="E19" s="62">
        <v>1</v>
      </c>
      <c r="F19" s="63">
        <f>G22</f>
        <v>22.13</v>
      </c>
      <c r="G19" s="63">
        <f>TRUNC(E19*F19,2)</f>
        <v>22.13</v>
      </c>
      <c r="H19" s="63"/>
      <c r="I19" s="55"/>
    </row>
    <row r="20" spans="1:9" ht="30">
      <c r="A20" s="58"/>
      <c r="B20" s="59" t="s">
        <v>49</v>
      </c>
      <c r="C20" s="60" t="s">
        <v>50</v>
      </c>
      <c r="D20" s="61" t="s">
        <v>51</v>
      </c>
      <c r="E20" s="62">
        <v>1.03</v>
      </c>
      <c r="F20" s="63">
        <v>15.2</v>
      </c>
      <c r="G20" s="63">
        <f>TRUNC(E20*F20,2)</f>
        <v>15.65</v>
      </c>
      <c r="H20" s="63"/>
      <c r="I20" s="55"/>
    </row>
    <row r="21" spans="1:9" ht="15">
      <c r="A21" s="58"/>
      <c r="B21" s="59" t="s">
        <v>76</v>
      </c>
      <c r="C21" s="60" t="s">
        <v>77</v>
      </c>
      <c r="D21" s="61" t="s">
        <v>51</v>
      </c>
      <c r="E21" s="62">
        <v>0.309</v>
      </c>
      <c r="F21" s="63">
        <v>21</v>
      </c>
      <c r="G21" s="63">
        <f>TRUNC(E21*F21,2)</f>
        <v>6.48</v>
      </c>
      <c r="H21" s="63"/>
      <c r="I21" s="55"/>
    </row>
    <row r="22" spans="1:9" ht="15">
      <c r="A22" s="58"/>
      <c r="B22" s="59"/>
      <c r="C22" s="60"/>
      <c r="D22" s="61"/>
      <c r="E22" s="62" t="s">
        <v>33</v>
      </c>
      <c r="F22" s="63"/>
      <c r="G22" s="63">
        <f>TRUNC(SUM(G20:G21),2)</f>
        <v>22.13</v>
      </c>
      <c r="H22" s="63"/>
      <c r="I22" s="55"/>
    </row>
    <row r="23" spans="1:9" s="57" customFormat="1" ht="15">
      <c r="A23" s="13" t="s">
        <v>68</v>
      </c>
      <c r="B23" s="14" t="s">
        <v>80</v>
      </c>
      <c r="C23" s="15" t="s">
        <v>67</v>
      </c>
      <c r="D23" s="16" t="s">
        <v>17</v>
      </c>
      <c r="E23" s="17">
        <v>55.3</v>
      </c>
      <c r="F23" s="18">
        <f>TRUNC(F24,2)</f>
        <v>15.65</v>
      </c>
      <c r="G23" s="18">
        <f>TRUNC(F23*1.2882,2)</f>
        <v>20.16</v>
      </c>
      <c r="H23" s="18">
        <f>TRUNC(F23*E23,2)</f>
        <v>865.44</v>
      </c>
      <c r="I23" s="56">
        <f>TRUNC(E23*G23,2)</f>
        <v>1114.8399999999999</v>
      </c>
    </row>
    <row r="24" spans="1:9" ht="15">
      <c r="A24" s="58"/>
      <c r="B24" s="59" t="s">
        <v>80</v>
      </c>
      <c r="C24" s="60" t="s">
        <v>67</v>
      </c>
      <c r="D24" s="61" t="s">
        <v>17</v>
      </c>
      <c r="E24" s="62">
        <v>1</v>
      </c>
      <c r="F24" s="63">
        <f>G26</f>
        <v>15.65</v>
      </c>
      <c r="G24" s="63">
        <f>TRUNC(E24*F24,2)</f>
        <v>15.65</v>
      </c>
      <c r="H24" s="63"/>
      <c r="I24" s="64"/>
    </row>
    <row r="25" spans="1:9" ht="30">
      <c r="A25" s="58"/>
      <c r="B25" s="59" t="s">
        <v>49</v>
      </c>
      <c r="C25" s="60" t="s">
        <v>50</v>
      </c>
      <c r="D25" s="61" t="s">
        <v>51</v>
      </c>
      <c r="E25" s="62">
        <v>1.03</v>
      </c>
      <c r="F25" s="63">
        <v>15.2</v>
      </c>
      <c r="G25" s="63">
        <f>TRUNC(E25*F25,2)</f>
        <v>15.65</v>
      </c>
      <c r="H25" s="63"/>
      <c r="I25" s="64"/>
    </row>
    <row r="26" spans="1:9" ht="15">
      <c r="A26" s="58"/>
      <c r="B26" s="59"/>
      <c r="C26" s="60"/>
      <c r="D26" s="61"/>
      <c r="E26" s="62" t="s">
        <v>33</v>
      </c>
      <c r="F26" s="63"/>
      <c r="G26" s="63">
        <f>TRUNC(SUM(G25:G25),2)</f>
        <v>15.65</v>
      </c>
      <c r="H26" s="63"/>
      <c r="I26" s="64"/>
    </row>
    <row r="27" spans="1:9" s="57" customFormat="1" ht="30">
      <c r="A27" s="13" t="s">
        <v>69</v>
      </c>
      <c r="B27" s="14" t="s">
        <v>79</v>
      </c>
      <c r="C27" s="15" t="s">
        <v>70</v>
      </c>
      <c r="D27" s="16" t="s">
        <v>55</v>
      </c>
      <c r="E27" s="17">
        <v>75</v>
      </c>
      <c r="F27" s="18">
        <f>TRUNC(F28,2)</f>
        <v>80.180000000000007</v>
      </c>
      <c r="G27" s="18">
        <f>TRUNC(F27*1.2882,2)</f>
        <v>103.28</v>
      </c>
      <c r="H27" s="18">
        <f>TRUNC(F27*E27,2)</f>
        <v>6013.5</v>
      </c>
      <c r="I27" s="56">
        <f>TRUNC(E27*G27,2)</f>
        <v>7746</v>
      </c>
    </row>
    <row r="28" spans="1:9" ht="30">
      <c r="A28" s="58"/>
      <c r="B28" s="59" t="s">
        <v>79</v>
      </c>
      <c r="C28" s="60" t="s">
        <v>70</v>
      </c>
      <c r="D28" s="61" t="s">
        <v>55</v>
      </c>
      <c r="E28" s="62">
        <v>1</v>
      </c>
      <c r="F28" s="63">
        <f>G31</f>
        <v>80.180000000000007</v>
      </c>
      <c r="G28" s="63">
        <f>TRUNC(E28*F28,2)</f>
        <v>80.180000000000007</v>
      </c>
      <c r="H28" s="63"/>
      <c r="I28" s="55"/>
    </row>
    <row r="29" spans="1:9" ht="30">
      <c r="A29" s="58"/>
      <c r="B29" s="59" t="s">
        <v>49</v>
      </c>
      <c r="C29" s="60" t="s">
        <v>50</v>
      </c>
      <c r="D29" s="61" t="s">
        <v>51</v>
      </c>
      <c r="E29" s="62">
        <v>4.6349999999999998</v>
      </c>
      <c r="F29" s="63">
        <v>15.2</v>
      </c>
      <c r="G29" s="63">
        <f>TRUNC(E29*F29,2)</f>
        <v>70.45</v>
      </c>
      <c r="H29" s="63"/>
      <c r="I29" s="55"/>
    </row>
    <row r="30" spans="1:9" ht="15">
      <c r="A30" s="58"/>
      <c r="B30" s="59" t="s">
        <v>76</v>
      </c>
      <c r="C30" s="60" t="s">
        <v>77</v>
      </c>
      <c r="D30" s="61" t="s">
        <v>51</v>
      </c>
      <c r="E30" s="62">
        <v>0.46350000000000002</v>
      </c>
      <c r="F30" s="63">
        <v>21</v>
      </c>
      <c r="G30" s="63">
        <f>TRUNC(E30*F30,2)</f>
        <v>9.73</v>
      </c>
      <c r="H30" s="63"/>
      <c r="I30" s="55"/>
    </row>
    <row r="31" spans="1:9" ht="15">
      <c r="A31" s="58"/>
      <c r="B31" s="59"/>
      <c r="C31" s="60"/>
      <c r="D31" s="61"/>
      <c r="E31" s="62" t="s">
        <v>33</v>
      </c>
      <c r="F31" s="63"/>
      <c r="G31" s="63">
        <f>TRUNC(SUM(G29:G30),2)</f>
        <v>80.180000000000007</v>
      </c>
      <c r="H31" s="63"/>
      <c r="I31" s="55"/>
    </row>
    <row r="32" spans="1:9" s="57" customFormat="1" ht="15">
      <c r="A32" s="13" t="s">
        <v>71</v>
      </c>
      <c r="B32" s="14" t="s">
        <v>78</v>
      </c>
      <c r="C32" s="15" t="s">
        <v>72</v>
      </c>
      <c r="D32" s="16" t="s">
        <v>7</v>
      </c>
      <c r="E32" s="17">
        <v>14</v>
      </c>
      <c r="F32" s="18">
        <f>TRUNC(F33,2)</f>
        <v>18.63</v>
      </c>
      <c r="G32" s="18">
        <f>TRUNC(F32*1.2882,2)</f>
        <v>23.99</v>
      </c>
      <c r="H32" s="18">
        <f>TRUNC(F32*E32,2)</f>
        <v>260.82</v>
      </c>
      <c r="I32" s="56">
        <f>TRUNC(E32*G32,2)</f>
        <v>335.86</v>
      </c>
    </row>
    <row r="33" spans="1:9" ht="15">
      <c r="A33" s="58"/>
      <c r="B33" s="59" t="s">
        <v>78</v>
      </c>
      <c r="C33" s="60" t="s">
        <v>72</v>
      </c>
      <c r="D33" s="61" t="s">
        <v>7</v>
      </c>
      <c r="E33" s="62">
        <v>1</v>
      </c>
      <c r="F33" s="63">
        <f>G36</f>
        <v>18.63</v>
      </c>
      <c r="G33" s="63">
        <f>TRUNC(E33*F33,2)</f>
        <v>18.63</v>
      </c>
      <c r="H33" s="63"/>
      <c r="I33" s="55"/>
    </row>
    <row r="34" spans="1:9" ht="30">
      <c r="A34" s="58"/>
      <c r="B34" s="59" t="s">
        <v>49</v>
      </c>
      <c r="C34" s="60" t="s">
        <v>50</v>
      </c>
      <c r="D34" s="61" t="s">
        <v>51</v>
      </c>
      <c r="E34" s="62">
        <v>0.51500000000000001</v>
      </c>
      <c r="F34" s="63">
        <f>TRUNC(15.2,2)</f>
        <v>15.2</v>
      </c>
      <c r="G34" s="63">
        <f>TRUNC(E34*F34,2)</f>
        <v>7.82</v>
      </c>
      <c r="H34" s="63"/>
      <c r="I34" s="55"/>
    </row>
    <row r="35" spans="1:9" ht="30">
      <c r="A35" s="58"/>
      <c r="B35" s="59" t="s">
        <v>82</v>
      </c>
      <c r="C35" s="60" t="s">
        <v>83</v>
      </c>
      <c r="D35" s="61" t="s">
        <v>51</v>
      </c>
      <c r="E35" s="62">
        <v>0.51500000000000001</v>
      </c>
      <c r="F35" s="63">
        <f>TRUNC(21,2)</f>
        <v>21</v>
      </c>
      <c r="G35" s="63">
        <f>TRUNC(E35*F35,2)</f>
        <v>10.81</v>
      </c>
      <c r="H35" s="63"/>
      <c r="I35" s="55"/>
    </row>
    <row r="36" spans="1:9" ht="15">
      <c r="A36" s="58"/>
      <c r="B36" s="59"/>
      <c r="C36" s="60"/>
      <c r="D36" s="61"/>
      <c r="E36" s="62" t="s">
        <v>33</v>
      </c>
      <c r="F36" s="63"/>
      <c r="G36" s="63">
        <f>TRUNC(SUM(G34:G35),2)</f>
        <v>18.63</v>
      </c>
      <c r="H36" s="63"/>
      <c r="I36" s="55"/>
    </row>
    <row r="37" spans="1:9" s="57" customFormat="1" ht="30">
      <c r="A37" s="13" t="s">
        <v>73</v>
      </c>
      <c r="B37" s="14" t="s">
        <v>74</v>
      </c>
      <c r="C37" s="15" t="s">
        <v>75</v>
      </c>
      <c r="D37" s="16" t="s">
        <v>23</v>
      </c>
      <c r="E37" s="17">
        <v>4</v>
      </c>
      <c r="F37" s="18">
        <f>TRUNC(F38,2)</f>
        <v>37.28</v>
      </c>
      <c r="G37" s="18">
        <f>TRUNC(F37*1.2882,2)</f>
        <v>48.02</v>
      </c>
      <c r="H37" s="18">
        <f>TRUNC(F37*E37,2)</f>
        <v>149.12</v>
      </c>
      <c r="I37" s="56">
        <f>TRUNC(E37*G37,2)</f>
        <v>192.08</v>
      </c>
    </row>
    <row r="38" spans="1:9" ht="30">
      <c r="A38" s="58"/>
      <c r="B38" s="59" t="s">
        <v>74</v>
      </c>
      <c r="C38" s="60" t="s">
        <v>75</v>
      </c>
      <c r="D38" s="61" t="s">
        <v>23</v>
      </c>
      <c r="E38" s="62">
        <v>1</v>
      </c>
      <c r="F38" s="63">
        <f>TRUNC(37.286,2)</f>
        <v>37.28</v>
      </c>
      <c r="G38" s="63">
        <f>TRUNC(E38*F38,2)</f>
        <v>37.28</v>
      </c>
      <c r="H38" s="63"/>
      <c r="I38" s="55"/>
    </row>
    <row r="39" spans="1:9" ht="30">
      <c r="A39" s="58"/>
      <c r="B39" s="59" t="s">
        <v>49</v>
      </c>
      <c r="C39" s="60" t="s">
        <v>50</v>
      </c>
      <c r="D39" s="61" t="s">
        <v>51</v>
      </c>
      <c r="E39" s="62">
        <v>1.03</v>
      </c>
      <c r="F39" s="63">
        <f>TRUNC(15.2,2)</f>
        <v>15.2</v>
      </c>
      <c r="G39" s="63">
        <f>TRUNC(E39*F39,2)</f>
        <v>15.65</v>
      </c>
      <c r="H39" s="63"/>
      <c r="I39" s="55"/>
    </row>
    <row r="40" spans="1:9" ht="15">
      <c r="A40" s="58"/>
      <c r="B40" s="59" t="s">
        <v>76</v>
      </c>
      <c r="C40" s="60" t="s">
        <v>77</v>
      </c>
      <c r="D40" s="61" t="s">
        <v>51</v>
      </c>
      <c r="E40" s="62">
        <v>1.03</v>
      </c>
      <c r="F40" s="63">
        <f>TRUNC(21,2)</f>
        <v>21</v>
      </c>
      <c r="G40" s="63">
        <f>TRUNC(E40*F40,2)</f>
        <v>21.63</v>
      </c>
      <c r="H40" s="63"/>
      <c r="I40" s="55"/>
    </row>
    <row r="41" spans="1:9" ht="15">
      <c r="A41" s="58"/>
      <c r="B41" s="59"/>
      <c r="C41" s="60"/>
      <c r="D41" s="61"/>
      <c r="E41" s="62" t="s">
        <v>33</v>
      </c>
      <c r="F41" s="63"/>
      <c r="G41" s="63">
        <f>TRUNC(SUM(G39:G40),2)</f>
        <v>37.28</v>
      </c>
      <c r="H41" s="63"/>
      <c r="I41" s="55"/>
    </row>
    <row r="42" spans="1:9" ht="15">
      <c r="A42" s="58"/>
      <c r="B42" s="59"/>
      <c r="C42" s="60"/>
      <c r="D42" s="61"/>
      <c r="E42" s="62"/>
      <c r="F42" s="63"/>
      <c r="G42" s="63"/>
      <c r="H42" s="63"/>
      <c r="I42" s="55"/>
    </row>
    <row r="43" spans="1:9" s="57" customFormat="1" ht="30">
      <c r="A43" s="13" t="s">
        <v>84</v>
      </c>
      <c r="B43" s="14" t="s">
        <v>85</v>
      </c>
      <c r="C43" s="15" t="s">
        <v>86</v>
      </c>
      <c r="D43" s="16" t="s">
        <v>23</v>
      </c>
      <c r="E43" s="17">
        <v>232</v>
      </c>
      <c r="F43" s="18">
        <f>TRUNC(F44,2)</f>
        <v>2.72</v>
      </c>
      <c r="G43" s="18">
        <f>TRUNC(F43*1.2882,2)</f>
        <v>3.5</v>
      </c>
      <c r="H43" s="18">
        <f>TRUNC(F43*E43,2)</f>
        <v>631.04</v>
      </c>
      <c r="I43" s="56">
        <f>TRUNC(E43*G43,2)</f>
        <v>812</v>
      </c>
    </row>
    <row r="44" spans="1:9" ht="30">
      <c r="A44" s="58"/>
      <c r="B44" s="59" t="s">
        <v>85</v>
      </c>
      <c r="C44" s="60" t="s">
        <v>86</v>
      </c>
      <c r="D44" s="61" t="s">
        <v>23</v>
      </c>
      <c r="E44" s="62">
        <v>1</v>
      </c>
      <c r="F44" s="63">
        <f>TRUNC(2.723831,2)</f>
        <v>2.72</v>
      </c>
      <c r="G44" s="63">
        <f>TRUNC(E44*F44,2)</f>
        <v>2.72</v>
      </c>
      <c r="H44" s="63"/>
      <c r="I44" s="55"/>
    </row>
    <row r="45" spans="1:9" ht="15">
      <c r="A45" s="58"/>
      <c r="B45" s="59" t="s">
        <v>56</v>
      </c>
      <c r="C45" s="60" t="s">
        <v>57</v>
      </c>
      <c r="D45" s="61" t="s">
        <v>51</v>
      </c>
      <c r="E45" s="62">
        <v>8.2500000000000004E-2</v>
      </c>
      <c r="F45" s="63">
        <f>TRUNC(22.72,2)</f>
        <v>22.72</v>
      </c>
      <c r="G45" s="63">
        <f>TRUNC(E45*F45,2)</f>
        <v>1.87</v>
      </c>
      <c r="H45" s="63"/>
      <c r="I45" s="55"/>
    </row>
    <row r="46" spans="1:9" ht="15">
      <c r="A46" s="58"/>
      <c r="B46" s="59" t="s">
        <v>87</v>
      </c>
      <c r="C46" s="60" t="s">
        <v>88</v>
      </c>
      <c r="D46" s="61" t="s">
        <v>51</v>
      </c>
      <c r="E46" s="62">
        <v>2.93E-2</v>
      </c>
      <c r="F46" s="63">
        <f>TRUNC(31.2,2)</f>
        <v>31.2</v>
      </c>
      <c r="G46" s="63">
        <f>TRUNC(E46*F46,2)</f>
        <v>0.91</v>
      </c>
      <c r="H46" s="63"/>
      <c r="I46" s="55"/>
    </row>
    <row r="47" spans="1:9" ht="15">
      <c r="A47" s="58"/>
      <c r="B47" s="59"/>
      <c r="C47" s="60"/>
      <c r="D47" s="61"/>
      <c r="E47" s="62" t="s">
        <v>33</v>
      </c>
      <c r="F47" s="63"/>
      <c r="G47" s="63">
        <f>TRUNC(SUM(G45:G46),2)</f>
        <v>2.78</v>
      </c>
      <c r="H47" s="63"/>
      <c r="I47" s="55"/>
    </row>
    <row r="48" spans="1:9" ht="30" customHeight="1">
      <c r="A48" s="133" t="s">
        <v>89</v>
      </c>
      <c r="B48" s="134" t="s">
        <v>90</v>
      </c>
      <c r="C48" s="135" t="s">
        <v>91</v>
      </c>
      <c r="D48" s="136" t="s">
        <v>17</v>
      </c>
      <c r="E48" s="137">
        <v>295</v>
      </c>
      <c r="F48" s="18">
        <f>TRUNC(F49,2)</f>
        <v>13.73</v>
      </c>
      <c r="G48" s="18">
        <f>TRUNC(F48*1.2882,2)</f>
        <v>17.68</v>
      </c>
      <c r="H48" s="18">
        <f>TRUNC(F48*E48,2)</f>
        <v>4050.35</v>
      </c>
      <c r="I48" s="56">
        <f>TRUNC(E48*G48,2)</f>
        <v>5215.6000000000004</v>
      </c>
    </row>
    <row r="49" spans="1:13" s="147" customFormat="1" ht="30">
      <c r="A49" s="148"/>
      <c r="B49" s="149" t="s">
        <v>90</v>
      </c>
      <c r="C49" s="150" t="s">
        <v>91</v>
      </c>
      <c r="D49" s="151" t="s">
        <v>17</v>
      </c>
      <c r="E49" s="152">
        <v>1</v>
      </c>
      <c r="F49" s="153">
        <f>G54</f>
        <v>13.73</v>
      </c>
      <c r="G49" s="153">
        <f>TRUNC(E49*F49,2)</f>
        <v>13.73</v>
      </c>
      <c r="H49" s="153"/>
      <c r="I49" s="154"/>
    </row>
    <row r="50" spans="1:13" s="147" customFormat="1" ht="15.95" customHeight="1">
      <c r="A50" s="155"/>
      <c r="B50" s="142" t="s">
        <v>56</v>
      </c>
      <c r="C50" s="143" t="s">
        <v>57</v>
      </c>
      <c r="D50" s="144" t="s">
        <v>51</v>
      </c>
      <c r="E50" s="145">
        <v>0.29720000000000002</v>
      </c>
      <c r="F50" s="146">
        <f>TRUNC(22.72,2)</f>
        <v>22.72</v>
      </c>
      <c r="G50" s="146">
        <f>TRUNC(E50*F50,2)</f>
        <v>6.75</v>
      </c>
      <c r="H50" s="146"/>
      <c r="I50" s="156"/>
    </row>
    <row r="51" spans="1:13" s="147" customFormat="1" ht="15.95" customHeight="1">
      <c r="A51" s="155"/>
      <c r="B51" s="142" t="s">
        <v>87</v>
      </c>
      <c r="C51" s="143" t="s">
        <v>88</v>
      </c>
      <c r="D51" s="144" t="s">
        <v>51</v>
      </c>
      <c r="E51" s="145">
        <v>0.1055</v>
      </c>
      <c r="F51" s="146">
        <f>TRUNC(31.2,2)</f>
        <v>31.2</v>
      </c>
      <c r="G51" s="146">
        <f>TRUNC(E51*F51,2)</f>
        <v>3.29</v>
      </c>
      <c r="H51" s="146"/>
      <c r="I51" s="156"/>
    </row>
    <row r="52" spans="1:13" s="147" customFormat="1" ht="15.95" customHeight="1">
      <c r="A52" s="155"/>
      <c r="B52" s="142" t="s">
        <v>92</v>
      </c>
      <c r="C52" s="143" t="s">
        <v>1628</v>
      </c>
      <c r="D52" s="144" t="s">
        <v>94</v>
      </c>
      <c r="E52" s="145">
        <v>4.82E-2</v>
      </c>
      <c r="F52" s="146">
        <f>TRUNC(30.48,2)</f>
        <v>30.48</v>
      </c>
      <c r="G52" s="146">
        <f>TRUNC(E52*F52,2)</f>
        <v>1.46</v>
      </c>
      <c r="H52" s="146"/>
      <c r="I52" s="156"/>
    </row>
    <row r="53" spans="1:13" s="147" customFormat="1" ht="15.95" customHeight="1">
      <c r="A53" s="155"/>
      <c r="B53" s="142" t="s">
        <v>95</v>
      </c>
      <c r="C53" s="143" t="s">
        <v>1629</v>
      </c>
      <c r="D53" s="144" t="s">
        <v>97</v>
      </c>
      <c r="E53" s="145">
        <v>6.9900000000000004E-2</v>
      </c>
      <c r="F53" s="146">
        <f>TRUNC(32.01,2)</f>
        <v>32.01</v>
      </c>
      <c r="G53" s="146">
        <f>TRUNC(E53*F53,2)</f>
        <v>2.23</v>
      </c>
      <c r="H53" s="146"/>
      <c r="I53" s="156"/>
    </row>
    <row r="54" spans="1:13" s="147" customFormat="1" ht="15.95" customHeight="1">
      <c r="A54" s="157"/>
      <c r="B54" s="158"/>
      <c r="C54" s="159"/>
      <c r="D54" s="160"/>
      <c r="E54" s="161" t="s">
        <v>33</v>
      </c>
      <c r="F54" s="162"/>
      <c r="G54" s="162">
        <f>TRUNC(SUM(G50:G53),2)</f>
        <v>13.73</v>
      </c>
      <c r="H54" s="162"/>
      <c r="I54" s="163"/>
    </row>
    <row r="55" spans="1:13" ht="30" customHeight="1">
      <c r="A55" s="164" t="s">
        <v>98</v>
      </c>
      <c r="B55" s="165" t="s">
        <v>103</v>
      </c>
      <c r="C55" s="166" t="s">
        <v>104</v>
      </c>
      <c r="D55" s="167" t="s">
        <v>17</v>
      </c>
      <c r="E55" s="168">
        <v>24.95</v>
      </c>
      <c r="F55" s="138">
        <f>TRUNC(F56+F59,2)</f>
        <v>26.6</v>
      </c>
      <c r="G55" s="138">
        <f>TRUNC(F55*1.2882,2)</f>
        <v>34.26</v>
      </c>
      <c r="H55" s="138">
        <f>TRUNC(F55*E55,2)</f>
        <v>663.67</v>
      </c>
      <c r="I55" s="139">
        <f>TRUNC(E55*G55,2)</f>
        <v>854.78</v>
      </c>
    </row>
    <row r="56" spans="1:13" ht="30">
      <c r="A56" s="148"/>
      <c r="B56" s="149" t="s">
        <v>99</v>
      </c>
      <c r="C56" s="150" t="s">
        <v>100</v>
      </c>
      <c r="D56" s="151" t="s">
        <v>17</v>
      </c>
      <c r="E56" s="152">
        <v>1</v>
      </c>
      <c r="F56" s="153">
        <f>G58</f>
        <v>18.78</v>
      </c>
      <c r="G56" s="153">
        <f>TRUNC(E56*F56,2)</f>
        <v>18.78</v>
      </c>
      <c r="H56" s="153"/>
      <c r="I56" s="154"/>
    </row>
    <row r="57" spans="1:13" ht="30">
      <c r="A57" s="155"/>
      <c r="B57" s="142" t="s">
        <v>49</v>
      </c>
      <c r="C57" s="143" t="s">
        <v>50</v>
      </c>
      <c r="D57" s="144" t="s">
        <v>51</v>
      </c>
      <c r="E57" s="145">
        <v>1.236</v>
      </c>
      <c r="F57" s="146">
        <f>TRUNC(15.2,2)</f>
        <v>15.2</v>
      </c>
      <c r="G57" s="146">
        <f>TRUNC(E57*F57,2)</f>
        <v>18.78</v>
      </c>
      <c r="H57" s="146"/>
      <c r="I57" s="156"/>
    </row>
    <row r="58" spans="1:13" ht="15">
      <c r="A58" s="155"/>
      <c r="B58" s="142"/>
      <c r="C58" s="143"/>
      <c r="D58" s="144"/>
      <c r="E58" s="145" t="s">
        <v>33</v>
      </c>
      <c r="F58" s="146"/>
      <c r="G58" s="146">
        <f>TRUNC(SUM(G57:G57),2)</f>
        <v>18.78</v>
      </c>
      <c r="H58" s="146"/>
      <c r="I58" s="156"/>
    </row>
    <row r="59" spans="1:13" ht="45">
      <c r="A59" s="155"/>
      <c r="B59" s="142" t="s">
        <v>101</v>
      </c>
      <c r="C59" s="143" t="s">
        <v>102</v>
      </c>
      <c r="D59" s="144" t="s">
        <v>17</v>
      </c>
      <c r="E59" s="145">
        <v>1</v>
      </c>
      <c r="F59" s="146">
        <f>G61</f>
        <v>7.82</v>
      </c>
      <c r="G59" s="146">
        <f>TRUNC(E59*F59,2)</f>
        <v>7.82</v>
      </c>
      <c r="H59" s="146"/>
      <c r="I59" s="156"/>
    </row>
    <row r="60" spans="1:13" ht="30">
      <c r="A60" s="155"/>
      <c r="B60" s="142" t="s">
        <v>49</v>
      </c>
      <c r="C60" s="143" t="s">
        <v>50</v>
      </c>
      <c r="D60" s="144" t="s">
        <v>51</v>
      </c>
      <c r="E60" s="145">
        <v>0.51500000000000001</v>
      </c>
      <c r="F60" s="146">
        <f>TRUNC(15.2,2)</f>
        <v>15.2</v>
      </c>
      <c r="G60" s="146">
        <f>TRUNC(E60*F60,2)</f>
        <v>7.82</v>
      </c>
      <c r="H60" s="146"/>
      <c r="I60" s="156"/>
    </row>
    <row r="61" spans="1:13" ht="15">
      <c r="A61" s="157"/>
      <c r="B61" s="158"/>
      <c r="C61" s="159"/>
      <c r="D61" s="160"/>
      <c r="E61" s="161" t="s">
        <v>33</v>
      </c>
      <c r="F61" s="162"/>
      <c r="G61" s="162">
        <f>TRUNC(SUM(G60:G60),2)</f>
        <v>7.82</v>
      </c>
      <c r="H61" s="162"/>
      <c r="I61" s="163"/>
    </row>
    <row r="62" spans="1:13" s="57" customFormat="1" ht="30">
      <c r="A62" s="164" t="s">
        <v>105</v>
      </c>
      <c r="B62" s="165" t="s">
        <v>106</v>
      </c>
      <c r="C62" s="190" t="s">
        <v>107</v>
      </c>
      <c r="D62" s="167" t="s">
        <v>17</v>
      </c>
      <c r="E62" s="168">
        <v>411</v>
      </c>
      <c r="F62" s="138">
        <f>TRUNC(F63,2)</f>
        <v>23.48</v>
      </c>
      <c r="G62" s="138">
        <f>TRUNC(F62*1.2882,2)</f>
        <v>30.24</v>
      </c>
      <c r="H62" s="138">
        <f>TRUNC(F62*E62,2)</f>
        <v>9650.2800000000007</v>
      </c>
      <c r="I62" s="139">
        <f>TRUNC(E62*G62,2)</f>
        <v>12428.64</v>
      </c>
    </row>
    <row r="63" spans="1:13" ht="30">
      <c r="A63" s="181"/>
      <c r="B63" s="182" t="s">
        <v>106</v>
      </c>
      <c r="C63" s="192" t="s">
        <v>107</v>
      </c>
      <c r="D63" s="183" t="s">
        <v>17</v>
      </c>
      <c r="E63" s="183">
        <v>1</v>
      </c>
      <c r="F63" s="183">
        <f>G65</f>
        <v>23.48</v>
      </c>
      <c r="G63" s="183">
        <f>TRUNC(E63*F63,2)</f>
        <v>23.48</v>
      </c>
      <c r="H63" s="183"/>
      <c r="I63" s="184"/>
      <c r="J63" s="65"/>
      <c r="K63" s="66"/>
      <c r="L63" s="67"/>
      <c r="M63" s="67"/>
    </row>
    <row r="64" spans="1:13" ht="30">
      <c r="A64" s="177"/>
      <c r="B64" s="178" t="s">
        <v>49</v>
      </c>
      <c r="C64" s="191" t="s">
        <v>50</v>
      </c>
      <c r="D64" s="179" t="s">
        <v>51</v>
      </c>
      <c r="E64" s="179">
        <v>1.5449999999999999</v>
      </c>
      <c r="F64" s="179">
        <f>TRUNC(15.2,2)</f>
        <v>15.2</v>
      </c>
      <c r="G64" s="179">
        <f>TRUNC(E64*F64,2)</f>
        <v>23.48</v>
      </c>
      <c r="H64" s="179"/>
      <c r="I64" s="180"/>
      <c r="J64" s="65"/>
      <c r="K64" s="66"/>
      <c r="L64" s="67"/>
      <c r="M64" s="67"/>
    </row>
    <row r="65" spans="1:13" ht="15">
      <c r="A65" s="185"/>
      <c r="B65" s="186"/>
      <c r="C65" s="187"/>
      <c r="D65" s="188"/>
      <c r="E65" s="188" t="s">
        <v>33</v>
      </c>
      <c r="F65" s="188"/>
      <c r="G65" s="188">
        <f>TRUNC(SUM(G64:G64),2)</f>
        <v>23.48</v>
      </c>
      <c r="H65" s="188"/>
      <c r="I65" s="189"/>
      <c r="J65" s="65"/>
      <c r="K65" s="66"/>
      <c r="L65" s="67"/>
      <c r="M65" s="67"/>
    </row>
    <row r="66" spans="1:13" s="57" customFormat="1" ht="30">
      <c r="A66" s="171" t="s">
        <v>108</v>
      </c>
      <c r="B66" s="165" t="s">
        <v>109</v>
      </c>
      <c r="C66" s="190" t="s">
        <v>110</v>
      </c>
      <c r="D66" s="167" t="s">
        <v>55</v>
      </c>
      <c r="E66" s="168">
        <v>3.1</v>
      </c>
      <c r="F66" s="138">
        <f>TRUNC(F67,2)</f>
        <v>142.08000000000001</v>
      </c>
      <c r="G66" s="138">
        <f>TRUNC(F66*1.2882,2)</f>
        <v>183.02</v>
      </c>
      <c r="H66" s="138">
        <f>TRUNC(F66*E66,2)</f>
        <v>440.44</v>
      </c>
      <c r="I66" s="139">
        <f>TRUNC(E66*G66,2)</f>
        <v>567.36</v>
      </c>
      <c r="J66" s="69"/>
      <c r="K66" s="70"/>
      <c r="L66" s="71"/>
      <c r="M66" s="71"/>
    </row>
    <row r="67" spans="1:13" ht="30">
      <c r="A67" s="200"/>
      <c r="B67" s="201" t="s">
        <v>109</v>
      </c>
      <c r="C67" s="202" t="s">
        <v>110</v>
      </c>
      <c r="D67" s="203" t="s">
        <v>55</v>
      </c>
      <c r="E67" s="204">
        <v>1</v>
      </c>
      <c r="F67" s="205">
        <f>TRUNC(142.088038,2)</f>
        <v>142.08000000000001</v>
      </c>
      <c r="G67" s="205">
        <f>TRUNC(E67*F67,2)</f>
        <v>142.08000000000001</v>
      </c>
      <c r="H67" s="205"/>
      <c r="I67" s="206"/>
    </row>
    <row r="68" spans="1:13" ht="15">
      <c r="A68" s="207"/>
      <c r="B68" s="172" t="s">
        <v>56</v>
      </c>
      <c r="C68" s="173" t="s">
        <v>57</v>
      </c>
      <c r="D68" s="174" t="s">
        <v>51</v>
      </c>
      <c r="E68" s="175">
        <v>3.153</v>
      </c>
      <c r="F68" s="176">
        <f>TRUNC(22.72,2)</f>
        <v>22.72</v>
      </c>
      <c r="G68" s="176">
        <f>TRUNC(E68*F68,2)</f>
        <v>71.63</v>
      </c>
      <c r="H68" s="176"/>
      <c r="I68" s="208"/>
    </row>
    <row r="69" spans="1:13" ht="15">
      <c r="A69" s="207"/>
      <c r="B69" s="172" t="s">
        <v>58</v>
      </c>
      <c r="C69" s="173" t="s">
        <v>59</v>
      </c>
      <c r="D69" s="174" t="s">
        <v>51</v>
      </c>
      <c r="E69" s="175">
        <v>0.30509999999999998</v>
      </c>
      <c r="F69" s="176">
        <f>TRUNC(29.57,2)</f>
        <v>29.57</v>
      </c>
      <c r="G69" s="176">
        <f>TRUNC(E69*F69,2)</f>
        <v>9.02</v>
      </c>
      <c r="H69" s="176"/>
      <c r="I69" s="208"/>
    </row>
    <row r="70" spans="1:13" ht="30">
      <c r="A70" s="207"/>
      <c r="B70" s="172" t="s">
        <v>92</v>
      </c>
      <c r="C70" s="173" t="s">
        <v>1628</v>
      </c>
      <c r="D70" s="174" t="s">
        <v>94</v>
      </c>
      <c r="E70" s="175">
        <v>0.44109999999999999</v>
      </c>
      <c r="F70" s="176">
        <f>TRUNC(30.48,2)</f>
        <v>30.48</v>
      </c>
      <c r="G70" s="176">
        <f>TRUNC(E70*F70,2)</f>
        <v>13.44</v>
      </c>
      <c r="H70" s="176"/>
      <c r="I70" s="208"/>
    </row>
    <row r="71" spans="1:13" ht="30">
      <c r="A71" s="207"/>
      <c r="B71" s="172" t="s">
        <v>95</v>
      </c>
      <c r="C71" s="173" t="s">
        <v>1629</v>
      </c>
      <c r="D71" s="174" t="s">
        <v>97</v>
      </c>
      <c r="E71" s="175">
        <v>1.5562</v>
      </c>
      <c r="F71" s="176">
        <f>TRUNC(32.01,2)</f>
        <v>32.01</v>
      </c>
      <c r="G71" s="176">
        <f>TRUNC(E71*F71,2)</f>
        <v>49.81</v>
      </c>
      <c r="H71" s="176"/>
      <c r="I71" s="208"/>
    </row>
    <row r="72" spans="1:13" ht="15">
      <c r="A72" s="193"/>
      <c r="B72" s="194"/>
      <c r="C72" s="195"/>
      <c r="D72" s="196"/>
      <c r="E72" s="197" t="s">
        <v>33</v>
      </c>
      <c r="F72" s="198"/>
      <c r="G72" s="198">
        <f>TRUNC(SUM(G68:G71),2)</f>
        <v>143.9</v>
      </c>
      <c r="H72" s="198"/>
      <c r="I72" s="199"/>
    </row>
    <row r="73" spans="1:13" s="57" customFormat="1" ht="30">
      <c r="A73" s="171" t="s">
        <v>115</v>
      </c>
      <c r="B73" s="165" t="s">
        <v>111</v>
      </c>
      <c r="C73" s="190" t="s">
        <v>112</v>
      </c>
      <c r="D73" s="167" t="s">
        <v>55</v>
      </c>
      <c r="E73" s="168">
        <v>8.6999999999999993</v>
      </c>
      <c r="F73" s="138">
        <f>TRUNC(F74,2)</f>
        <v>324.01</v>
      </c>
      <c r="G73" s="138">
        <f>TRUNC(F73*1.2882,2)</f>
        <v>417.38</v>
      </c>
      <c r="H73" s="138">
        <f>TRUNC(F73*E73,2)</f>
        <v>2818.88</v>
      </c>
      <c r="I73" s="139">
        <f>TRUNC(E73*G73,2)</f>
        <v>3631.2</v>
      </c>
      <c r="J73" s="69"/>
      <c r="K73" s="70"/>
      <c r="L73" s="71"/>
      <c r="M73" s="71"/>
    </row>
    <row r="74" spans="1:13" ht="30">
      <c r="A74" s="200"/>
      <c r="B74" s="201" t="s">
        <v>111</v>
      </c>
      <c r="C74" s="202" t="s">
        <v>112</v>
      </c>
      <c r="D74" s="203" t="s">
        <v>55</v>
      </c>
      <c r="E74" s="204">
        <v>1</v>
      </c>
      <c r="F74" s="205">
        <f>G80</f>
        <v>324.01</v>
      </c>
      <c r="G74" s="205">
        <f t="shared" ref="G74:G79" si="0">TRUNC(E74*F74,2)</f>
        <v>324.01</v>
      </c>
      <c r="H74" s="205"/>
      <c r="I74" s="209"/>
    </row>
    <row r="75" spans="1:13" ht="30">
      <c r="A75" s="207"/>
      <c r="B75" s="172" t="s">
        <v>113</v>
      </c>
      <c r="C75" s="173" t="s">
        <v>114</v>
      </c>
      <c r="D75" s="174" t="s">
        <v>46</v>
      </c>
      <c r="E75" s="175">
        <v>0.28349999999999997</v>
      </c>
      <c r="F75" s="176">
        <v>83.83</v>
      </c>
      <c r="G75" s="176">
        <f t="shared" si="0"/>
        <v>23.76</v>
      </c>
      <c r="H75" s="176"/>
      <c r="I75" s="210"/>
    </row>
    <row r="76" spans="1:13" ht="15">
      <c r="A76" s="207"/>
      <c r="B76" s="172" t="s">
        <v>56</v>
      </c>
      <c r="C76" s="173" t="s">
        <v>57</v>
      </c>
      <c r="D76" s="174" t="s">
        <v>51</v>
      </c>
      <c r="E76" s="175">
        <v>6.5785</v>
      </c>
      <c r="F76" s="176">
        <f>TRUNC(22.72,2)</f>
        <v>22.72</v>
      </c>
      <c r="G76" s="176">
        <f t="shared" si="0"/>
        <v>149.46</v>
      </c>
      <c r="H76" s="176"/>
      <c r="I76" s="210"/>
    </row>
    <row r="77" spans="1:13" ht="15">
      <c r="A77" s="207"/>
      <c r="B77" s="172" t="s">
        <v>58</v>
      </c>
      <c r="C77" s="173" t="s">
        <v>59</v>
      </c>
      <c r="D77" s="174" t="s">
        <v>51</v>
      </c>
      <c r="E77" s="175">
        <v>0.63660000000000005</v>
      </c>
      <c r="F77" s="176">
        <f>TRUNC(29.57,2)</f>
        <v>29.57</v>
      </c>
      <c r="G77" s="176">
        <f t="shared" si="0"/>
        <v>18.82</v>
      </c>
      <c r="H77" s="176"/>
      <c r="I77" s="210"/>
    </row>
    <row r="78" spans="1:13" ht="30">
      <c r="A78" s="207"/>
      <c r="B78" s="172" t="s">
        <v>92</v>
      </c>
      <c r="C78" s="173" t="s">
        <v>93</v>
      </c>
      <c r="D78" s="174" t="s">
        <v>94</v>
      </c>
      <c r="E78" s="175">
        <v>0.92020000000000002</v>
      </c>
      <c r="F78" s="176">
        <f>TRUNC(30.48,2)</f>
        <v>30.48</v>
      </c>
      <c r="G78" s="176">
        <f t="shared" si="0"/>
        <v>28.04</v>
      </c>
      <c r="H78" s="176"/>
      <c r="I78" s="210"/>
    </row>
    <row r="79" spans="1:13" ht="30">
      <c r="A79" s="207"/>
      <c r="B79" s="172" t="s">
        <v>95</v>
      </c>
      <c r="C79" s="173" t="s">
        <v>96</v>
      </c>
      <c r="D79" s="174" t="s">
        <v>97</v>
      </c>
      <c r="E79" s="175">
        <v>3.2467999999999999</v>
      </c>
      <c r="F79" s="176">
        <f>TRUNC(32.01,2)</f>
        <v>32.01</v>
      </c>
      <c r="G79" s="176">
        <f t="shared" si="0"/>
        <v>103.93</v>
      </c>
      <c r="H79" s="176"/>
      <c r="I79" s="210"/>
    </row>
    <row r="80" spans="1:13" ht="15">
      <c r="A80" s="193"/>
      <c r="B80" s="194"/>
      <c r="C80" s="195"/>
      <c r="D80" s="196"/>
      <c r="E80" s="197" t="s">
        <v>33</v>
      </c>
      <c r="F80" s="198"/>
      <c r="G80" s="198">
        <f>TRUNC(SUM(G75:G79),2)</f>
        <v>324.01</v>
      </c>
      <c r="H80" s="198"/>
      <c r="I80" s="211"/>
    </row>
    <row r="81" spans="1:9" ht="30.75">
      <c r="A81" s="68" t="s">
        <v>116</v>
      </c>
      <c r="B81" s="72" t="s">
        <v>109</v>
      </c>
      <c r="C81" s="73" t="s">
        <v>1672</v>
      </c>
      <c r="D81" s="19" t="s">
        <v>55</v>
      </c>
      <c r="E81" s="56">
        <v>12.6</v>
      </c>
      <c r="F81" s="18">
        <f>TRUNC(F82,2)</f>
        <v>143.9</v>
      </c>
      <c r="G81" s="138">
        <f>TRUNC(F81*1.2882,2)</f>
        <v>185.37</v>
      </c>
      <c r="H81" s="138">
        <f>TRUNC(F81*E81,2)</f>
        <v>1813.14</v>
      </c>
      <c r="I81" s="139">
        <f>TRUNC(E81*G81,2)</f>
        <v>2335.66</v>
      </c>
    </row>
    <row r="82" spans="1:9" ht="30">
      <c r="A82" s="74"/>
      <c r="B82" s="75" t="s">
        <v>109</v>
      </c>
      <c r="C82" s="76" t="s">
        <v>110</v>
      </c>
      <c r="D82" s="77" t="s">
        <v>55</v>
      </c>
      <c r="E82" s="64">
        <v>1</v>
      </c>
      <c r="F82" s="64">
        <f>G87</f>
        <v>143.9</v>
      </c>
      <c r="G82" s="64">
        <f>TRUNC(E82*F82,2)</f>
        <v>143.9</v>
      </c>
      <c r="H82" s="64"/>
      <c r="I82" s="78"/>
    </row>
    <row r="83" spans="1:9" ht="15">
      <c r="A83" s="74"/>
      <c r="B83" s="75" t="s">
        <v>56</v>
      </c>
      <c r="C83" s="76" t="s">
        <v>57</v>
      </c>
      <c r="D83" s="77" t="s">
        <v>51</v>
      </c>
      <c r="E83" s="64">
        <v>3.153</v>
      </c>
      <c r="F83" s="64">
        <f>TRUNC(22.72,2)</f>
        <v>22.72</v>
      </c>
      <c r="G83" s="64">
        <f>TRUNC(E83*F83,2)</f>
        <v>71.63</v>
      </c>
      <c r="H83" s="64"/>
      <c r="I83" s="78"/>
    </row>
    <row r="84" spans="1:9" ht="15">
      <c r="A84" s="74"/>
      <c r="B84" s="75" t="s">
        <v>58</v>
      </c>
      <c r="C84" s="76" t="s">
        <v>59</v>
      </c>
      <c r="D84" s="77" t="s">
        <v>51</v>
      </c>
      <c r="E84" s="64">
        <v>0.30509999999999998</v>
      </c>
      <c r="F84" s="64">
        <f>TRUNC(29.57,2)</f>
        <v>29.57</v>
      </c>
      <c r="G84" s="64">
        <f>TRUNC(E84*F84,2)</f>
        <v>9.02</v>
      </c>
      <c r="H84" s="64"/>
      <c r="I84" s="78"/>
    </row>
    <row r="85" spans="1:9" ht="30">
      <c r="A85" s="74"/>
      <c r="B85" s="75" t="s">
        <v>92</v>
      </c>
      <c r="C85" s="76" t="s">
        <v>1628</v>
      </c>
      <c r="D85" s="77" t="s">
        <v>94</v>
      </c>
      <c r="E85" s="64">
        <v>0.44109999999999999</v>
      </c>
      <c r="F85" s="64">
        <f>TRUNC(30.48,2)</f>
        <v>30.48</v>
      </c>
      <c r="G85" s="64">
        <f>TRUNC(E85*F85,2)</f>
        <v>13.44</v>
      </c>
      <c r="H85" s="64"/>
      <c r="I85" s="78"/>
    </row>
    <row r="86" spans="1:9" ht="30">
      <c r="A86" s="74"/>
      <c r="B86" s="75" t="s">
        <v>95</v>
      </c>
      <c r="C86" s="76" t="s">
        <v>1629</v>
      </c>
      <c r="D86" s="77" t="s">
        <v>97</v>
      </c>
      <c r="E86" s="64">
        <v>1.5562</v>
      </c>
      <c r="F86" s="64">
        <f>TRUNC(32.01,2)</f>
        <v>32.01</v>
      </c>
      <c r="G86" s="64">
        <f>TRUNC(E86*F86,2)</f>
        <v>49.81</v>
      </c>
      <c r="H86" s="64"/>
      <c r="I86" s="78"/>
    </row>
    <row r="87" spans="1:9" ht="15">
      <c r="A87" s="74"/>
      <c r="B87" s="75"/>
      <c r="C87" s="76"/>
      <c r="D87" s="77"/>
      <c r="E87" s="64" t="s">
        <v>33</v>
      </c>
      <c r="F87" s="64"/>
      <c r="G87" s="64">
        <f>TRUNC(SUM(G83:G86),2)</f>
        <v>143.9</v>
      </c>
      <c r="H87" s="64"/>
      <c r="I87" s="78"/>
    </row>
    <row r="88" spans="1:9" s="57" customFormat="1" ht="30">
      <c r="A88" s="133" t="s">
        <v>117</v>
      </c>
      <c r="B88" s="134" t="s">
        <v>118</v>
      </c>
      <c r="C88" s="73" t="s">
        <v>119</v>
      </c>
      <c r="D88" s="19" t="s">
        <v>17</v>
      </c>
      <c r="E88" s="56">
        <v>61.5</v>
      </c>
      <c r="F88" s="138">
        <f>TRUNC(F89,2)</f>
        <v>16.71</v>
      </c>
      <c r="G88" s="138">
        <f>TRUNC(F88*1.2882,2)</f>
        <v>21.52</v>
      </c>
      <c r="H88" s="138">
        <f>TRUNC(F88*E88,2)</f>
        <v>1027.6600000000001</v>
      </c>
      <c r="I88" s="139">
        <f>TRUNC(E88*G88,2)</f>
        <v>1323.48</v>
      </c>
    </row>
    <row r="89" spans="1:9" s="79" customFormat="1" ht="30">
      <c r="A89" s="181"/>
      <c r="B89" s="182" t="s">
        <v>118</v>
      </c>
      <c r="C89" s="217" t="s">
        <v>119</v>
      </c>
      <c r="D89" s="218" t="s">
        <v>17</v>
      </c>
      <c r="E89" s="218"/>
      <c r="F89" s="218">
        <f>G92</f>
        <v>16.71</v>
      </c>
      <c r="G89" s="218"/>
      <c r="H89" s="218"/>
      <c r="I89" s="219"/>
    </row>
    <row r="90" spans="1:9" s="79" customFormat="1" ht="15">
      <c r="A90" s="177"/>
      <c r="B90" s="178" t="s">
        <v>56</v>
      </c>
      <c r="C90" s="215" t="s">
        <v>57</v>
      </c>
      <c r="D90" s="178" t="s">
        <v>51</v>
      </c>
      <c r="E90" s="178">
        <v>0.15820000000000001</v>
      </c>
      <c r="F90" s="178">
        <f>TRUNC(22.72,2)</f>
        <v>22.72</v>
      </c>
      <c r="G90" s="178">
        <f>TRUNC(E90*F90,2)</f>
        <v>3.59</v>
      </c>
      <c r="H90" s="178"/>
      <c r="I90" s="220"/>
    </row>
    <row r="91" spans="1:9" s="79" customFormat="1" ht="15">
      <c r="A91" s="177"/>
      <c r="B91" s="178" t="s">
        <v>120</v>
      </c>
      <c r="C91" s="215" t="s">
        <v>121</v>
      </c>
      <c r="D91" s="178" t="s">
        <v>51</v>
      </c>
      <c r="E91" s="178">
        <v>0.45910000000000001</v>
      </c>
      <c r="F91" s="178">
        <f>TRUNC(28.58,2)</f>
        <v>28.58</v>
      </c>
      <c r="G91" s="178">
        <f>TRUNC(E91*F91,2)</f>
        <v>13.12</v>
      </c>
      <c r="H91" s="178"/>
      <c r="I91" s="220"/>
    </row>
    <row r="92" spans="1:9" s="79" customFormat="1" ht="15">
      <c r="A92" s="185"/>
      <c r="B92" s="186"/>
      <c r="C92" s="221"/>
      <c r="D92" s="186"/>
      <c r="E92" s="186" t="s">
        <v>33</v>
      </c>
      <c r="F92" s="186"/>
      <c r="G92" s="186">
        <f>TRUNC(SUM(G90:G91),2)</f>
        <v>16.71</v>
      </c>
      <c r="H92" s="186"/>
      <c r="I92" s="222"/>
    </row>
    <row r="93" spans="1:9" s="57" customFormat="1" ht="15">
      <c r="A93" s="133" t="s">
        <v>122</v>
      </c>
      <c r="B93" s="134" t="s">
        <v>1606</v>
      </c>
      <c r="C93" s="292" t="s">
        <v>1607</v>
      </c>
      <c r="D93" s="293" t="s">
        <v>17</v>
      </c>
      <c r="E93" s="139">
        <v>42.15</v>
      </c>
      <c r="F93" s="138">
        <f>TRUNC(F94,2)</f>
        <v>34.43</v>
      </c>
      <c r="G93" s="138">
        <f>TRUNC(F93*1.2882,2)</f>
        <v>44.35</v>
      </c>
      <c r="H93" s="138">
        <f>TRUNC(F93*E93,2)</f>
        <v>1451.22</v>
      </c>
      <c r="I93" s="139">
        <f>TRUNC(E93*G93,2)</f>
        <v>1869.35</v>
      </c>
    </row>
    <row r="94" spans="1:9" s="79" customFormat="1" ht="15">
      <c r="A94" s="181"/>
      <c r="B94" s="182" t="s">
        <v>1606</v>
      </c>
      <c r="C94" s="217" t="s">
        <v>1607</v>
      </c>
      <c r="D94" s="218" t="s">
        <v>17</v>
      </c>
      <c r="E94" s="218">
        <v>1</v>
      </c>
      <c r="F94" s="218">
        <f>G98</f>
        <v>34.43</v>
      </c>
      <c r="G94" s="218">
        <f>TRUNC(E94*F94,2)</f>
        <v>34.43</v>
      </c>
      <c r="H94" s="218"/>
      <c r="I94" s="219"/>
    </row>
    <row r="95" spans="1:9" s="79" customFormat="1" ht="15">
      <c r="A95" s="177"/>
      <c r="B95" s="178" t="s">
        <v>806</v>
      </c>
      <c r="C95" s="215" t="s">
        <v>807</v>
      </c>
      <c r="D95" s="216" t="s">
        <v>7</v>
      </c>
      <c r="E95" s="216">
        <v>1</v>
      </c>
      <c r="F95" s="216">
        <v>0.85</v>
      </c>
      <c r="G95" s="216">
        <f>TRUNC(E95*F95,2)</f>
        <v>0.85</v>
      </c>
      <c r="H95" s="216"/>
      <c r="I95" s="245"/>
    </row>
    <row r="96" spans="1:9" s="79" customFormat="1" ht="30">
      <c r="A96" s="177"/>
      <c r="B96" s="178" t="s">
        <v>1608</v>
      </c>
      <c r="C96" s="215" t="s">
        <v>1609</v>
      </c>
      <c r="D96" s="216" t="s">
        <v>7</v>
      </c>
      <c r="E96" s="216">
        <v>0.25</v>
      </c>
      <c r="F96" s="216">
        <v>115.58</v>
      </c>
      <c r="G96" s="216">
        <f>TRUNC(E96*F96,2)</f>
        <v>28.89</v>
      </c>
      <c r="H96" s="216"/>
      <c r="I96" s="245"/>
    </row>
    <row r="97" spans="1:9" s="79" customFormat="1" ht="30">
      <c r="A97" s="177"/>
      <c r="B97" s="178" t="s">
        <v>49</v>
      </c>
      <c r="C97" s="215" t="s">
        <v>50</v>
      </c>
      <c r="D97" s="216" t="s">
        <v>51</v>
      </c>
      <c r="E97" s="216">
        <v>0.309</v>
      </c>
      <c r="F97" s="216">
        <v>15.2</v>
      </c>
      <c r="G97" s="216">
        <f>TRUNC(E97*F97,2)</f>
        <v>4.6900000000000004</v>
      </c>
      <c r="H97" s="216"/>
      <c r="I97" s="245"/>
    </row>
    <row r="98" spans="1:9" s="79" customFormat="1" ht="15">
      <c r="A98" s="185"/>
      <c r="B98" s="186"/>
      <c r="C98" s="221"/>
      <c r="D98" s="246"/>
      <c r="E98" s="246" t="s">
        <v>33</v>
      </c>
      <c r="F98" s="246"/>
      <c r="G98" s="246">
        <f>TRUNC(SUM(G95:G97),2)</f>
        <v>34.43</v>
      </c>
      <c r="H98" s="246"/>
      <c r="I98" s="247"/>
    </row>
    <row r="99" spans="1:9" ht="15">
      <c r="A99" s="170" t="s">
        <v>127</v>
      </c>
      <c r="B99" s="212" t="s">
        <v>128</v>
      </c>
      <c r="C99" s="213" t="s">
        <v>129</v>
      </c>
      <c r="D99" s="214" t="s">
        <v>23</v>
      </c>
      <c r="E99" s="141">
        <f>0.8+1.4</f>
        <v>2.2000000000000002</v>
      </c>
      <c r="F99" s="140">
        <f>TRUNC(F100,2)</f>
        <v>54.07</v>
      </c>
      <c r="G99" s="140">
        <f>TRUNC(F99*1.2882,2)</f>
        <v>69.650000000000006</v>
      </c>
      <c r="H99" s="140">
        <f>TRUNC(F99*E99,2)</f>
        <v>118.95</v>
      </c>
      <c r="I99" s="141">
        <f>TRUNC(E99*G99,2)</f>
        <v>153.22999999999999</v>
      </c>
    </row>
    <row r="100" spans="1:9" ht="15">
      <c r="A100" s="58"/>
      <c r="B100" s="59" t="s">
        <v>128</v>
      </c>
      <c r="C100" s="60" t="s">
        <v>129</v>
      </c>
      <c r="D100" s="61" t="s">
        <v>23</v>
      </c>
      <c r="E100" s="62">
        <v>1</v>
      </c>
      <c r="F100" s="63">
        <f>G102</f>
        <v>54.07</v>
      </c>
      <c r="G100" s="63">
        <f>TRUNC(E100*F100,2)</f>
        <v>54.07</v>
      </c>
      <c r="H100" s="63"/>
      <c r="I100" s="64"/>
    </row>
    <row r="101" spans="1:9" ht="15">
      <c r="A101" s="58"/>
      <c r="B101" s="59" t="s">
        <v>76</v>
      </c>
      <c r="C101" s="60" t="s">
        <v>77</v>
      </c>
      <c r="D101" s="61" t="s">
        <v>51</v>
      </c>
      <c r="E101" s="62">
        <v>2.5750000000000002</v>
      </c>
      <c r="F101" s="63">
        <f>TRUNC(21,2)</f>
        <v>21</v>
      </c>
      <c r="G101" s="63">
        <f>TRUNC(E101*F101,2)</f>
        <v>54.07</v>
      </c>
      <c r="H101" s="63"/>
      <c r="I101" s="64"/>
    </row>
    <row r="102" spans="1:9" ht="15">
      <c r="A102" s="58"/>
      <c r="B102" s="59"/>
      <c r="C102" s="60"/>
      <c r="D102" s="61"/>
      <c r="E102" s="62" t="s">
        <v>33</v>
      </c>
      <c r="F102" s="63"/>
      <c r="G102" s="63">
        <f>TRUNC(SUM(G101:G101),2)</f>
        <v>54.07</v>
      </c>
      <c r="H102" s="63"/>
      <c r="I102" s="64"/>
    </row>
    <row r="103" spans="1:9" ht="30">
      <c r="A103" s="68" t="s">
        <v>130</v>
      </c>
      <c r="B103" s="72" t="s">
        <v>123</v>
      </c>
      <c r="C103" s="73" t="s">
        <v>124</v>
      </c>
      <c r="D103" s="19" t="s">
        <v>23</v>
      </c>
      <c r="E103" s="56">
        <v>1500</v>
      </c>
      <c r="F103" s="18">
        <f>TRUNC(F104,2)</f>
        <v>0.7</v>
      </c>
      <c r="G103" s="18">
        <f>TRUNC(F103*1.2882,2)</f>
        <v>0.9</v>
      </c>
      <c r="H103" s="18">
        <f>TRUNC(F103*E103,2)</f>
        <v>1050</v>
      </c>
      <c r="I103" s="56">
        <f>TRUNC(E103*G103,2)</f>
        <v>1350</v>
      </c>
    </row>
    <row r="104" spans="1:9" ht="30">
      <c r="A104" s="74"/>
      <c r="B104" s="75" t="s">
        <v>123</v>
      </c>
      <c r="C104" s="76" t="s">
        <v>124</v>
      </c>
      <c r="D104" s="77" t="s">
        <v>23</v>
      </c>
      <c r="E104" s="64">
        <v>1</v>
      </c>
      <c r="F104" s="64">
        <f>G107</f>
        <v>0.7</v>
      </c>
      <c r="G104" s="64">
        <f>TRUNC(E104*F104,2)</f>
        <v>0.7</v>
      </c>
      <c r="H104" s="64"/>
      <c r="I104" s="78"/>
    </row>
    <row r="105" spans="1:9" ht="15">
      <c r="A105" s="74"/>
      <c r="B105" s="75" t="s">
        <v>56</v>
      </c>
      <c r="C105" s="76" t="s">
        <v>57</v>
      </c>
      <c r="D105" s="77" t="s">
        <v>51</v>
      </c>
      <c r="E105" s="64">
        <v>1.8800000000000001E-2</v>
      </c>
      <c r="F105" s="64">
        <f>TRUNC(22.72,2)</f>
        <v>22.72</v>
      </c>
      <c r="G105" s="64">
        <f>TRUNC(E105*F105,2)</f>
        <v>0.42</v>
      </c>
      <c r="H105" s="64"/>
      <c r="I105" s="78"/>
    </row>
    <row r="106" spans="1:9" ht="15">
      <c r="A106" s="74"/>
      <c r="B106" s="75" t="s">
        <v>125</v>
      </c>
      <c r="C106" s="76" t="s">
        <v>126</v>
      </c>
      <c r="D106" s="77" t="s">
        <v>51</v>
      </c>
      <c r="E106" s="64">
        <v>9.5999999999999992E-3</v>
      </c>
      <c r="F106" s="64">
        <f>TRUNC(29.83,2)</f>
        <v>29.83</v>
      </c>
      <c r="G106" s="64">
        <f>TRUNC(E106*F106,2)</f>
        <v>0.28000000000000003</v>
      </c>
      <c r="H106" s="64"/>
      <c r="I106" s="78"/>
    </row>
    <row r="107" spans="1:9" ht="15">
      <c r="A107" s="74"/>
      <c r="B107" s="75"/>
      <c r="C107" s="76"/>
      <c r="D107" s="77"/>
      <c r="E107" s="64" t="s">
        <v>33</v>
      </c>
      <c r="F107" s="64"/>
      <c r="G107" s="64">
        <f>TRUNC(SUM(G105:G106),2)</f>
        <v>0.7</v>
      </c>
      <c r="H107" s="64"/>
      <c r="I107" s="78"/>
    </row>
    <row r="108" spans="1:9" ht="15">
      <c r="A108" s="68" t="s">
        <v>135</v>
      </c>
      <c r="B108" s="72" t="s">
        <v>132</v>
      </c>
      <c r="C108" s="73" t="s">
        <v>131</v>
      </c>
      <c r="D108" s="19" t="s">
        <v>7</v>
      </c>
      <c r="E108" s="56">
        <v>67</v>
      </c>
      <c r="F108" s="18">
        <f>TRUNC(F109,2)</f>
        <v>5.4</v>
      </c>
      <c r="G108" s="18">
        <f>TRUNC(F108*1.2882,2)</f>
        <v>6.95</v>
      </c>
      <c r="H108" s="18">
        <f>TRUNC(F108*E108,2)</f>
        <v>361.8</v>
      </c>
      <c r="I108" s="56">
        <f>TRUNC(E108*G108,2)</f>
        <v>465.65</v>
      </c>
    </row>
    <row r="109" spans="1:9" ht="15">
      <c r="A109" s="74"/>
      <c r="B109" s="75" t="s">
        <v>132</v>
      </c>
      <c r="C109" s="76" t="s">
        <v>131</v>
      </c>
      <c r="D109" s="77" t="s">
        <v>7</v>
      </c>
      <c r="E109" s="64">
        <v>1</v>
      </c>
      <c r="F109" s="64">
        <f>G111</f>
        <v>5.4</v>
      </c>
      <c r="G109" s="64">
        <f>TRUNC(E109*F109,2)</f>
        <v>5.4</v>
      </c>
      <c r="H109" s="64"/>
      <c r="I109" s="78"/>
    </row>
    <row r="110" spans="1:9" ht="30">
      <c r="A110" s="74"/>
      <c r="B110" s="75" t="s">
        <v>133</v>
      </c>
      <c r="C110" s="76" t="s">
        <v>134</v>
      </c>
      <c r="D110" s="77" t="s">
        <v>51</v>
      </c>
      <c r="E110" s="64">
        <v>0.25750000000000001</v>
      </c>
      <c r="F110" s="64">
        <v>21</v>
      </c>
      <c r="G110" s="64">
        <f>TRUNC(E110*F110,2)</f>
        <v>5.4</v>
      </c>
      <c r="H110" s="64"/>
      <c r="I110" s="78"/>
    </row>
    <row r="111" spans="1:9" ht="15">
      <c r="A111" s="74"/>
      <c r="B111" s="75"/>
      <c r="C111" s="76"/>
      <c r="D111" s="77"/>
      <c r="E111" s="64" t="s">
        <v>33</v>
      </c>
      <c r="F111" s="64"/>
      <c r="G111" s="64">
        <f>TRUNC(SUM(G110:G110),2)</f>
        <v>5.4</v>
      </c>
      <c r="H111" s="64"/>
      <c r="I111" s="78"/>
    </row>
    <row r="112" spans="1:9" ht="45">
      <c r="A112" s="223" t="s">
        <v>140</v>
      </c>
      <c r="B112" s="72" t="s">
        <v>136</v>
      </c>
      <c r="C112" s="73" t="s">
        <v>137</v>
      </c>
      <c r="D112" s="19" t="s">
        <v>17</v>
      </c>
      <c r="E112" s="56">
        <v>246</v>
      </c>
      <c r="F112" s="18">
        <f>TRUNC(F113,2)</f>
        <v>13.6</v>
      </c>
      <c r="G112" s="18">
        <f>TRUNC(F112*1.2882,2)</f>
        <v>17.510000000000002</v>
      </c>
      <c r="H112" s="18">
        <f>TRUNC(F112*E112,2)</f>
        <v>3345.6</v>
      </c>
      <c r="I112" s="56">
        <f>TRUNC(E112*G112,2)</f>
        <v>4307.46</v>
      </c>
    </row>
    <row r="113" spans="1:9" ht="45">
      <c r="A113" s="74"/>
      <c r="B113" s="75" t="s">
        <v>136</v>
      </c>
      <c r="C113" s="76" t="s">
        <v>137</v>
      </c>
      <c r="D113" s="77" t="s">
        <v>17</v>
      </c>
      <c r="E113" s="64">
        <v>1</v>
      </c>
      <c r="F113" s="64">
        <f>G116</f>
        <v>13.6</v>
      </c>
      <c r="G113" s="64">
        <f>TRUNC(E113*F113,2)</f>
        <v>13.6</v>
      </c>
      <c r="H113" s="64"/>
      <c r="I113" s="78"/>
    </row>
    <row r="114" spans="1:9" ht="30">
      <c r="A114" s="74"/>
      <c r="B114" s="75" t="s">
        <v>49</v>
      </c>
      <c r="C114" s="76" t="s">
        <v>50</v>
      </c>
      <c r="D114" s="77" t="s">
        <v>51</v>
      </c>
      <c r="E114" s="64">
        <v>0.37595000000000001</v>
      </c>
      <c r="F114" s="64">
        <f>TRUNC(15.2,2)</f>
        <v>15.2</v>
      </c>
      <c r="G114" s="64">
        <f>TRUNC(E114*F114,2)</f>
        <v>5.71</v>
      </c>
      <c r="H114" s="64"/>
      <c r="I114" s="78"/>
    </row>
    <row r="115" spans="1:9" ht="30">
      <c r="A115" s="74"/>
      <c r="B115" s="75" t="s">
        <v>138</v>
      </c>
      <c r="C115" s="76" t="s">
        <v>139</v>
      </c>
      <c r="D115" s="77" t="s">
        <v>51</v>
      </c>
      <c r="E115" s="64">
        <v>0.37595000000000001</v>
      </c>
      <c r="F115" s="64">
        <f>TRUNC(21,2)</f>
        <v>21</v>
      </c>
      <c r="G115" s="64">
        <f>TRUNC(E115*F115,2)</f>
        <v>7.89</v>
      </c>
      <c r="H115" s="64"/>
      <c r="I115" s="78"/>
    </row>
    <row r="116" spans="1:9" ht="15">
      <c r="A116" s="74"/>
      <c r="B116" s="75"/>
      <c r="C116" s="76"/>
      <c r="D116" s="77"/>
      <c r="E116" s="64" t="s">
        <v>33</v>
      </c>
      <c r="F116" s="64"/>
      <c r="G116" s="64">
        <f>TRUNC(SUM(G114:G115),2)</f>
        <v>13.6</v>
      </c>
      <c r="H116" s="64"/>
      <c r="I116" s="78"/>
    </row>
    <row r="117" spans="1:9" ht="30">
      <c r="A117" s="68" t="s">
        <v>143</v>
      </c>
      <c r="B117" s="72" t="s">
        <v>141</v>
      </c>
      <c r="C117" s="73" t="s">
        <v>142</v>
      </c>
      <c r="D117" s="19" t="s">
        <v>17</v>
      </c>
      <c r="E117" s="56">
        <v>12.1</v>
      </c>
      <c r="F117" s="18">
        <f>TRUNC(F118,2)</f>
        <v>10.95</v>
      </c>
      <c r="G117" s="18">
        <f>TRUNC(F117*1.2882,2)</f>
        <v>14.1</v>
      </c>
      <c r="H117" s="18">
        <f>TRUNC(F117*E117,2)</f>
        <v>132.49</v>
      </c>
      <c r="I117" s="56">
        <f>TRUNC(E117*G117,2)</f>
        <v>170.61</v>
      </c>
    </row>
    <row r="118" spans="1:9" ht="30">
      <c r="A118" s="74"/>
      <c r="B118" s="80" t="s">
        <v>141</v>
      </c>
      <c r="C118" s="81" t="s">
        <v>142</v>
      </c>
      <c r="D118" s="74" t="s">
        <v>17</v>
      </c>
      <c r="E118" s="64">
        <v>1</v>
      </c>
      <c r="F118" s="64">
        <f>G120</f>
        <v>10.95</v>
      </c>
      <c r="G118" s="63">
        <f>TRUNC(E118*F118,2)</f>
        <v>10.95</v>
      </c>
      <c r="H118" s="64"/>
      <c r="I118" s="78"/>
    </row>
    <row r="119" spans="1:9" ht="30">
      <c r="A119" s="74"/>
      <c r="B119" s="80" t="s">
        <v>49</v>
      </c>
      <c r="C119" s="81" t="s">
        <v>50</v>
      </c>
      <c r="D119" s="74" t="s">
        <v>51</v>
      </c>
      <c r="E119" s="64">
        <v>0.72099999999999997</v>
      </c>
      <c r="F119" s="64">
        <f>TRUNC(15.2,2)</f>
        <v>15.2</v>
      </c>
      <c r="G119" s="63">
        <f>TRUNC(E119*F119,2)</f>
        <v>10.95</v>
      </c>
      <c r="H119" s="64"/>
      <c r="I119" s="78"/>
    </row>
    <row r="120" spans="1:9" ht="15">
      <c r="A120" s="74"/>
      <c r="B120" s="80"/>
      <c r="C120" s="81"/>
      <c r="D120" s="74"/>
      <c r="E120" s="64" t="s">
        <v>33</v>
      </c>
      <c r="F120" s="64"/>
      <c r="G120" s="63">
        <f>TRUNC(SUM(G119:G119),2)</f>
        <v>10.95</v>
      </c>
      <c r="H120" s="64"/>
      <c r="I120" s="78"/>
    </row>
    <row r="121" spans="1:9" ht="30" customHeight="1">
      <c r="A121" s="68" t="s">
        <v>149</v>
      </c>
      <c r="B121" s="72" t="s">
        <v>144</v>
      </c>
      <c r="C121" s="73" t="s">
        <v>148</v>
      </c>
      <c r="D121" s="19" t="s">
        <v>7</v>
      </c>
      <c r="E121" s="56">
        <v>2</v>
      </c>
      <c r="F121" s="18">
        <f>TRUNC(G122,2)</f>
        <v>129.30000000000001</v>
      </c>
      <c r="G121" s="18">
        <f>TRUNC(F121*1.2882,2)</f>
        <v>166.56</v>
      </c>
      <c r="H121" s="18">
        <f>TRUNC(F121*E121,2)</f>
        <v>258.60000000000002</v>
      </c>
      <c r="I121" s="56">
        <f>TRUNC(E121*G121,2)</f>
        <v>333.12</v>
      </c>
    </row>
    <row r="122" spans="1:9" ht="30">
      <c r="A122" s="74"/>
      <c r="B122" s="80" t="s">
        <v>144</v>
      </c>
      <c r="C122" s="81" t="s">
        <v>145</v>
      </c>
      <c r="D122" s="74" t="s">
        <v>7</v>
      </c>
      <c r="E122" s="78">
        <v>10</v>
      </c>
      <c r="F122" s="64">
        <f>G125</f>
        <v>12.93</v>
      </c>
      <c r="G122" s="63">
        <f>TRUNC(E122*F122,2)</f>
        <v>129.30000000000001</v>
      </c>
      <c r="H122" s="64"/>
      <c r="I122" s="78"/>
    </row>
    <row r="123" spans="1:9" ht="15">
      <c r="A123" s="74"/>
      <c r="B123" s="80" t="s">
        <v>56</v>
      </c>
      <c r="C123" s="81" t="s">
        <v>57</v>
      </c>
      <c r="D123" s="74" t="s">
        <v>51</v>
      </c>
      <c r="E123" s="78">
        <v>0.3448</v>
      </c>
      <c r="F123" s="64">
        <f>TRUNC(22.72,2)</f>
        <v>22.72</v>
      </c>
      <c r="G123" s="63">
        <f>TRUNC(E123*F123,2)</f>
        <v>7.83</v>
      </c>
      <c r="H123" s="64"/>
      <c r="I123" s="78"/>
    </row>
    <row r="124" spans="1:9" ht="15">
      <c r="A124" s="74"/>
      <c r="B124" s="80" t="s">
        <v>146</v>
      </c>
      <c r="C124" s="81" t="s">
        <v>147</v>
      </c>
      <c r="D124" s="74" t="s">
        <v>51</v>
      </c>
      <c r="E124" s="78">
        <v>0.17549999999999999</v>
      </c>
      <c r="F124" s="64">
        <f>TRUNC(29.09,2)</f>
        <v>29.09</v>
      </c>
      <c r="G124" s="63">
        <f>TRUNC(E124*F124,2)</f>
        <v>5.0999999999999996</v>
      </c>
      <c r="H124" s="64"/>
      <c r="I124" s="78"/>
    </row>
    <row r="125" spans="1:9" ht="15">
      <c r="A125" s="74"/>
      <c r="B125" s="80"/>
      <c r="C125" s="81"/>
      <c r="D125" s="74"/>
      <c r="E125" s="78" t="s">
        <v>33</v>
      </c>
      <c r="F125" s="64"/>
      <c r="G125" s="63">
        <f>TRUNC(SUM(G123:G124),2)</f>
        <v>12.93</v>
      </c>
      <c r="H125" s="64"/>
      <c r="I125" s="78"/>
    </row>
    <row r="126" spans="1:9" ht="30" customHeight="1">
      <c r="A126" s="68" t="s">
        <v>152</v>
      </c>
      <c r="B126" s="72" t="s">
        <v>150</v>
      </c>
      <c r="C126" s="73" t="s">
        <v>1611</v>
      </c>
      <c r="D126" s="19" t="s">
        <v>23</v>
      </c>
      <c r="E126" s="56">
        <v>5.8</v>
      </c>
      <c r="F126" s="18">
        <f>TRUNC(G127,2)</f>
        <v>5.4</v>
      </c>
      <c r="G126" s="18">
        <f>TRUNC(F126*1.2882,2)</f>
        <v>6.95</v>
      </c>
      <c r="H126" s="18">
        <f>TRUNC(F126*E126,2)</f>
        <v>31.32</v>
      </c>
      <c r="I126" s="56">
        <f>TRUNC(E126*G126,2)</f>
        <v>40.31</v>
      </c>
    </row>
    <row r="127" spans="1:9" ht="30">
      <c r="A127" s="74"/>
      <c r="B127" s="80" t="s">
        <v>150</v>
      </c>
      <c r="C127" s="81" t="s">
        <v>151</v>
      </c>
      <c r="D127" s="74" t="s">
        <v>23</v>
      </c>
      <c r="E127" s="78">
        <v>1</v>
      </c>
      <c r="F127" s="64">
        <f>G129</f>
        <v>5.4</v>
      </c>
      <c r="G127" s="63">
        <f>TRUNC(E127*F127,2)</f>
        <v>5.4</v>
      </c>
      <c r="H127" s="64"/>
      <c r="I127" s="78"/>
    </row>
    <row r="128" spans="1:9" ht="30">
      <c r="A128" s="74"/>
      <c r="B128" s="80" t="s">
        <v>82</v>
      </c>
      <c r="C128" s="81" t="s">
        <v>83</v>
      </c>
      <c r="D128" s="74" t="s">
        <v>51</v>
      </c>
      <c r="E128" s="78">
        <v>0.25750000000000001</v>
      </c>
      <c r="F128" s="64">
        <f>TRUNC(21,2)</f>
        <v>21</v>
      </c>
      <c r="G128" s="63">
        <f>TRUNC(E128*F128,2)</f>
        <v>5.4</v>
      </c>
      <c r="H128" s="64"/>
      <c r="I128" s="78"/>
    </row>
    <row r="129" spans="1:9" ht="15">
      <c r="A129" s="74"/>
      <c r="B129" s="80"/>
      <c r="C129" s="81"/>
      <c r="D129" s="74"/>
      <c r="E129" s="78" t="s">
        <v>33</v>
      </c>
      <c r="F129" s="64"/>
      <c r="G129" s="63">
        <f>TRUNC(SUM(G128:G128),2)</f>
        <v>5.4</v>
      </c>
      <c r="H129" s="64"/>
      <c r="I129" s="78"/>
    </row>
    <row r="130" spans="1:9" ht="48.75" customHeight="1">
      <c r="A130" s="13" t="s">
        <v>154</v>
      </c>
      <c r="B130" s="14" t="s">
        <v>103</v>
      </c>
      <c r="C130" s="15" t="s">
        <v>153</v>
      </c>
      <c r="D130" s="16" t="s">
        <v>17</v>
      </c>
      <c r="E130" s="17">
        <v>9.5</v>
      </c>
      <c r="F130" s="18">
        <f>TRUNC(F131+F134,2)</f>
        <v>26.6</v>
      </c>
      <c r="G130" s="18">
        <f>TRUNC(F130*1.2882,2)</f>
        <v>34.26</v>
      </c>
      <c r="H130" s="18">
        <f>TRUNC(F130*E130,2)</f>
        <v>252.7</v>
      </c>
      <c r="I130" s="56">
        <f>TRUNC(E130*G130,2)</f>
        <v>325.47000000000003</v>
      </c>
    </row>
    <row r="131" spans="1:9" ht="30">
      <c r="A131" s="148"/>
      <c r="B131" s="149" t="s">
        <v>99</v>
      </c>
      <c r="C131" s="150" t="s">
        <v>100</v>
      </c>
      <c r="D131" s="151" t="s">
        <v>17</v>
      </c>
      <c r="E131" s="152">
        <v>1</v>
      </c>
      <c r="F131" s="153">
        <f>G133</f>
        <v>18.78</v>
      </c>
      <c r="G131" s="153">
        <f>TRUNC(E131*F131,2)</f>
        <v>18.78</v>
      </c>
      <c r="H131" s="153"/>
      <c r="I131" s="154"/>
    </row>
    <row r="132" spans="1:9" ht="30">
      <c r="A132" s="155"/>
      <c r="B132" s="142" t="s">
        <v>49</v>
      </c>
      <c r="C132" s="143" t="s">
        <v>50</v>
      </c>
      <c r="D132" s="144" t="s">
        <v>51</v>
      </c>
      <c r="E132" s="145">
        <v>1.236</v>
      </c>
      <c r="F132" s="146">
        <f>TRUNC(15.2,2)</f>
        <v>15.2</v>
      </c>
      <c r="G132" s="146">
        <f>TRUNC(E132*F132,2)</f>
        <v>18.78</v>
      </c>
      <c r="H132" s="146"/>
      <c r="I132" s="156"/>
    </row>
    <row r="133" spans="1:9" ht="15">
      <c r="A133" s="155"/>
      <c r="B133" s="142"/>
      <c r="C133" s="143"/>
      <c r="D133" s="144"/>
      <c r="E133" s="145" t="s">
        <v>33</v>
      </c>
      <c r="F133" s="146"/>
      <c r="G133" s="146">
        <f>TRUNC(SUM(G132:G132),2)</f>
        <v>18.78</v>
      </c>
      <c r="H133" s="146"/>
      <c r="I133" s="156"/>
    </row>
    <row r="134" spans="1:9" ht="45">
      <c r="A134" s="155"/>
      <c r="B134" s="142" t="s">
        <v>101</v>
      </c>
      <c r="C134" s="143" t="s">
        <v>102</v>
      </c>
      <c r="D134" s="144" t="s">
        <v>17</v>
      </c>
      <c r="E134" s="145">
        <v>1</v>
      </c>
      <c r="F134" s="146">
        <f>G136</f>
        <v>7.82</v>
      </c>
      <c r="G134" s="146">
        <f>TRUNC(E134*F134,2)</f>
        <v>7.82</v>
      </c>
      <c r="H134" s="146"/>
      <c r="I134" s="156"/>
    </row>
    <row r="135" spans="1:9" ht="30">
      <c r="A135" s="155"/>
      <c r="B135" s="142" t="s">
        <v>49</v>
      </c>
      <c r="C135" s="143" t="s">
        <v>50</v>
      </c>
      <c r="D135" s="144" t="s">
        <v>51</v>
      </c>
      <c r="E135" s="145">
        <v>0.51500000000000001</v>
      </c>
      <c r="F135" s="146">
        <f>TRUNC(15.2,2)</f>
        <v>15.2</v>
      </c>
      <c r="G135" s="146">
        <f>TRUNC(E135*F135,2)</f>
        <v>7.82</v>
      </c>
      <c r="H135" s="146"/>
      <c r="I135" s="156"/>
    </row>
    <row r="136" spans="1:9" ht="15">
      <c r="A136" s="157"/>
      <c r="B136" s="158"/>
      <c r="C136" s="159"/>
      <c r="D136" s="160"/>
      <c r="E136" s="161" t="s">
        <v>33</v>
      </c>
      <c r="F136" s="162"/>
      <c r="G136" s="162">
        <f>TRUNC(SUM(G135:G135),2)</f>
        <v>7.82</v>
      </c>
      <c r="H136" s="162"/>
      <c r="I136" s="163"/>
    </row>
    <row r="137" spans="1:9" s="57" customFormat="1" ht="15">
      <c r="A137" s="133" t="s">
        <v>157</v>
      </c>
      <c r="B137" s="134" t="s">
        <v>156</v>
      </c>
      <c r="C137" s="15" t="s">
        <v>155</v>
      </c>
      <c r="D137" s="16" t="s">
        <v>7</v>
      </c>
      <c r="E137" s="17">
        <v>1</v>
      </c>
      <c r="F137" s="18">
        <f>TRUNC(G138,2)</f>
        <v>27</v>
      </c>
      <c r="G137" s="18">
        <f>TRUNC(F137*1.2882,2)</f>
        <v>34.78</v>
      </c>
      <c r="H137" s="18">
        <f>TRUNC(F137*E137,2)</f>
        <v>27</v>
      </c>
      <c r="I137" s="56">
        <f>TRUNC(E137*G137,2)</f>
        <v>34.78</v>
      </c>
    </row>
    <row r="138" spans="1:9" s="82" customFormat="1" ht="15">
      <c r="A138" s="231"/>
      <c r="B138" s="183" t="s">
        <v>132</v>
      </c>
      <c r="C138" s="232" t="s">
        <v>131</v>
      </c>
      <c r="D138" s="232" t="s">
        <v>7</v>
      </c>
      <c r="E138" s="232">
        <v>5</v>
      </c>
      <c r="F138" s="232">
        <f>G140</f>
        <v>5.4</v>
      </c>
      <c r="G138" s="232">
        <f>TRUNC(E138*F138,2)</f>
        <v>27</v>
      </c>
      <c r="H138" s="232"/>
      <c r="I138" s="233"/>
    </row>
    <row r="139" spans="1:9" s="82" customFormat="1" ht="30">
      <c r="A139" s="234"/>
      <c r="B139" s="179" t="s">
        <v>133</v>
      </c>
      <c r="C139" s="230" t="s">
        <v>134</v>
      </c>
      <c r="D139" s="230" t="s">
        <v>51</v>
      </c>
      <c r="E139" s="230">
        <v>0.25750000000000001</v>
      </c>
      <c r="F139" s="230">
        <f>TRUNC(21,2)</f>
        <v>21</v>
      </c>
      <c r="G139" s="230">
        <f>TRUNC(E139*F139,2)</f>
        <v>5.4</v>
      </c>
      <c r="H139" s="230"/>
      <c r="I139" s="235"/>
    </row>
    <row r="140" spans="1:9" s="82" customFormat="1" ht="15">
      <c r="A140" s="236"/>
      <c r="B140" s="188"/>
      <c r="C140" s="237"/>
      <c r="D140" s="237"/>
      <c r="E140" s="237" t="s">
        <v>33</v>
      </c>
      <c r="F140" s="237"/>
      <c r="G140" s="237">
        <f>TRUNC(SUM(G139:G139),2)</f>
        <v>5.4</v>
      </c>
      <c r="H140" s="237"/>
      <c r="I140" s="238"/>
    </row>
    <row r="141" spans="1:9" ht="15" hidden="1">
      <c r="A141" s="224"/>
      <c r="B141" s="225"/>
      <c r="C141" s="226"/>
      <c r="D141" s="224"/>
      <c r="E141" s="227"/>
      <c r="F141" s="228"/>
      <c r="G141" s="229"/>
      <c r="H141" s="229"/>
      <c r="I141" s="229"/>
    </row>
    <row r="142" spans="1:9" ht="15" hidden="1">
      <c r="A142" s="86"/>
      <c r="B142" s="87"/>
      <c r="C142" s="88"/>
      <c r="D142" s="89"/>
      <c r="E142" s="90"/>
      <c r="F142" s="90"/>
      <c r="G142" s="90"/>
      <c r="H142" s="90"/>
      <c r="I142" s="91"/>
    </row>
    <row r="143" spans="1:9" ht="15" hidden="1">
      <c r="A143" s="86"/>
      <c r="B143" s="87"/>
      <c r="C143" s="88"/>
      <c r="D143" s="89"/>
      <c r="E143" s="90"/>
      <c r="F143" s="90"/>
      <c r="G143" s="90"/>
      <c r="H143" s="90"/>
      <c r="I143" s="91"/>
    </row>
    <row r="144" spans="1:9" ht="15" hidden="1">
      <c r="A144" s="86"/>
      <c r="B144" s="87"/>
      <c r="C144" s="88"/>
      <c r="D144" s="89"/>
      <c r="E144" s="90"/>
      <c r="F144" s="90"/>
      <c r="G144" s="90"/>
      <c r="H144" s="90"/>
      <c r="I144" s="91"/>
    </row>
    <row r="145" spans="1:9" ht="15" hidden="1">
      <c r="A145" s="86"/>
      <c r="B145" s="87"/>
      <c r="C145" s="88"/>
      <c r="D145" s="89"/>
      <c r="E145" s="90"/>
      <c r="F145" s="90"/>
      <c r="G145" s="90"/>
      <c r="H145" s="90"/>
      <c r="I145" s="91"/>
    </row>
    <row r="146" spans="1:9" ht="15" hidden="1">
      <c r="A146" s="86"/>
      <c r="B146" s="87"/>
      <c r="C146" s="88"/>
      <c r="D146" s="89"/>
      <c r="E146" s="90"/>
      <c r="F146" s="90"/>
      <c r="G146" s="90"/>
      <c r="H146" s="90"/>
      <c r="I146" s="91"/>
    </row>
    <row r="147" spans="1:9" ht="15" hidden="1">
      <c r="A147" s="86"/>
      <c r="B147" s="87"/>
      <c r="C147" s="88"/>
      <c r="D147" s="89"/>
      <c r="E147" s="90"/>
      <c r="F147" s="90"/>
      <c r="G147" s="90"/>
      <c r="H147" s="90"/>
      <c r="I147" s="91"/>
    </row>
    <row r="148" spans="1:9" ht="15" hidden="1">
      <c r="A148" s="86"/>
      <c r="B148" s="87"/>
      <c r="C148" s="88"/>
      <c r="D148" s="89"/>
      <c r="E148" s="90"/>
      <c r="F148" s="90"/>
      <c r="G148" s="90"/>
      <c r="H148" s="90"/>
      <c r="I148" s="91"/>
    </row>
    <row r="149" spans="1:9" ht="15" hidden="1">
      <c r="A149" s="83"/>
      <c r="B149" s="84"/>
      <c r="C149" s="20"/>
      <c r="D149" s="83"/>
      <c r="E149" s="21"/>
      <c r="F149" s="85"/>
      <c r="G149" s="22"/>
      <c r="H149" s="22"/>
      <c r="I149" s="22"/>
    </row>
    <row r="150" spans="1:9" ht="15" hidden="1">
      <c r="A150" s="86"/>
      <c r="B150" s="87"/>
      <c r="C150" s="88"/>
      <c r="D150" s="89"/>
      <c r="E150" s="90"/>
      <c r="F150" s="90"/>
      <c r="G150" s="90"/>
      <c r="H150" s="90"/>
      <c r="I150" s="91"/>
    </row>
    <row r="151" spans="1:9" ht="15" hidden="1">
      <c r="A151" s="86"/>
      <c r="B151" s="87"/>
      <c r="C151" s="88"/>
      <c r="D151" s="89"/>
      <c r="E151" s="90"/>
      <c r="F151" s="90"/>
      <c r="G151" s="90"/>
      <c r="H151" s="90"/>
      <c r="I151" s="91"/>
    </row>
    <row r="152" spans="1:9" ht="15" hidden="1">
      <c r="A152" s="86"/>
      <c r="B152" s="87"/>
      <c r="C152" s="88"/>
      <c r="D152" s="89"/>
      <c r="E152" s="90"/>
      <c r="F152" s="90"/>
      <c r="G152" s="90"/>
      <c r="H152" s="90"/>
      <c r="I152" s="91"/>
    </row>
    <row r="153" spans="1:9" ht="15" hidden="1">
      <c r="A153" s="86"/>
      <c r="B153" s="87"/>
      <c r="C153" s="88"/>
      <c r="D153" s="89"/>
      <c r="E153" s="90"/>
      <c r="F153" s="90"/>
      <c r="G153" s="90"/>
      <c r="H153" s="90"/>
      <c r="I153" s="91"/>
    </row>
    <row r="154" spans="1:9" ht="15" hidden="1">
      <c r="A154" s="86"/>
      <c r="B154" s="87"/>
      <c r="C154" s="88"/>
      <c r="D154" s="89"/>
      <c r="E154" s="90"/>
      <c r="F154" s="90"/>
      <c r="G154" s="90"/>
      <c r="H154" s="90"/>
      <c r="I154" s="91"/>
    </row>
    <row r="155" spans="1:9" ht="15" hidden="1">
      <c r="A155" s="86"/>
      <c r="B155" s="87"/>
      <c r="C155" s="88"/>
      <c r="D155" s="89"/>
      <c r="E155" s="90"/>
      <c r="F155" s="90"/>
      <c r="G155" s="90"/>
      <c r="H155" s="90"/>
      <c r="I155" s="91"/>
    </row>
    <row r="156" spans="1:9" ht="15" hidden="1">
      <c r="A156" s="86"/>
      <c r="B156" s="87"/>
      <c r="C156" s="88"/>
      <c r="D156" s="89"/>
      <c r="E156" s="90"/>
      <c r="F156" s="90"/>
      <c r="G156" s="90"/>
      <c r="H156" s="90"/>
      <c r="I156" s="91"/>
    </row>
    <row r="157" spans="1:9" ht="15" hidden="1">
      <c r="A157" s="86"/>
      <c r="B157" s="87"/>
      <c r="C157" s="88"/>
      <c r="D157" s="89"/>
      <c r="E157" s="90"/>
      <c r="F157" s="90"/>
      <c r="G157" s="90"/>
      <c r="H157" s="90"/>
      <c r="I157" s="91"/>
    </row>
    <row r="158" spans="1:9" ht="15" hidden="1">
      <c r="A158" s="86"/>
      <c r="B158" s="87"/>
      <c r="C158" s="88"/>
      <c r="D158" s="89"/>
      <c r="E158" s="90"/>
      <c r="F158" s="90"/>
      <c r="G158" s="90"/>
      <c r="H158" s="90"/>
      <c r="I158" s="91"/>
    </row>
    <row r="159" spans="1:9" ht="15" hidden="1">
      <c r="A159" s="86"/>
      <c r="B159" s="87"/>
      <c r="C159" s="88"/>
      <c r="D159" s="89"/>
      <c r="E159" s="90"/>
      <c r="F159" s="90"/>
      <c r="G159" s="90"/>
      <c r="H159" s="90"/>
      <c r="I159" s="91"/>
    </row>
    <row r="160" spans="1:9" ht="30">
      <c r="A160" s="68" t="s">
        <v>160</v>
      </c>
      <c r="B160" s="72" t="s">
        <v>158</v>
      </c>
      <c r="C160" s="73" t="s">
        <v>159</v>
      </c>
      <c r="D160" s="19" t="s">
        <v>17</v>
      </c>
      <c r="E160" s="56">
        <v>7.6</v>
      </c>
      <c r="F160" s="18">
        <f>TRUNC(F161,2)</f>
        <v>7.82</v>
      </c>
      <c r="G160" s="18">
        <f>TRUNC(F160*1.2882,2)</f>
        <v>10.07</v>
      </c>
      <c r="H160" s="18">
        <f>TRUNC(F160*E160,2)</f>
        <v>59.43</v>
      </c>
      <c r="I160" s="56">
        <f>TRUNC(E160*G160,2)</f>
        <v>76.53</v>
      </c>
    </row>
    <row r="161" spans="1:9" ht="30">
      <c r="A161" s="74"/>
      <c r="B161" s="80" t="s">
        <v>158</v>
      </c>
      <c r="C161" s="81" t="s">
        <v>159</v>
      </c>
      <c r="D161" s="74" t="s">
        <v>17</v>
      </c>
      <c r="E161" s="78">
        <v>1</v>
      </c>
      <c r="F161" s="64">
        <f>G163</f>
        <v>7.82</v>
      </c>
      <c r="G161" s="63">
        <f>TRUNC(E161*F161,2)</f>
        <v>7.82</v>
      </c>
      <c r="H161" s="63"/>
      <c r="I161" s="64"/>
    </row>
    <row r="162" spans="1:9" ht="30">
      <c r="A162" s="74"/>
      <c r="B162" s="80" t="s">
        <v>49</v>
      </c>
      <c r="C162" s="81" t="s">
        <v>50</v>
      </c>
      <c r="D162" s="74" t="s">
        <v>51</v>
      </c>
      <c r="E162" s="78">
        <v>0.51500000000000001</v>
      </c>
      <c r="F162" s="64">
        <f>TRUNC(15.2,2)</f>
        <v>15.2</v>
      </c>
      <c r="G162" s="63">
        <f>TRUNC(E162*F162,2)</f>
        <v>7.82</v>
      </c>
      <c r="H162" s="63"/>
      <c r="I162" s="64"/>
    </row>
    <row r="163" spans="1:9" ht="15">
      <c r="A163" s="74"/>
      <c r="B163" s="80"/>
      <c r="C163" s="81"/>
      <c r="D163" s="74"/>
      <c r="E163" s="78" t="s">
        <v>33</v>
      </c>
      <c r="F163" s="64"/>
      <c r="G163" s="63">
        <f>TRUNC(SUM(G162:G162),2)</f>
        <v>7.82</v>
      </c>
      <c r="H163" s="63"/>
      <c r="I163" s="64"/>
    </row>
    <row r="164" spans="1:9" ht="15">
      <c r="A164" s="68" t="s">
        <v>162</v>
      </c>
      <c r="B164" s="294" t="s">
        <v>128</v>
      </c>
      <c r="C164" s="73" t="s">
        <v>161</v>
      </c>
      <c r="D164" s="19" t="s">
        <v>23</v>
      </c>
      <c r="E164" s="56">
        <v>63.45</v>
      </c>
      <c r="F164" s="18">
        <f>TRUNC(F165,2)</f>
        <v>51.01</v>
      </c>
      <c r="G164" s="18">
        <f>TRUNC(F164*1.2882,2)</f>
        <v>65.709999999999994</v>
      </c>
      <c r="H164" s="18">
        <f>TRUNC(F164*E164,2)</f>
        <v>3236.58</v>
      </c>
      <c r="I164" s="56">
        <f>TRUNC(E164*G164,2)</f>
        <v>4169.29</v>
      </c>
    </row>
    <row r="165" spans="1:9" ht="15">
      <c r="A165" s="74"/>
      <c r="B165" s="80" t="s">
        <v>128</v>
      </c>
      <c r="C165" s="81" t="s">
        <v>129</v>
      </c>
      <c r="D165" s="74" t="s">
        <v>23</v>
      </c>
      <c r="E165" s="78">
        <v>1</v>
      </c>
      <c r="F165" s="64">
        <f>G167</f>
        <v>51.01</v>
      </c>
      <c r="G165" s="63">
        <f>TRUNC(E165*F165,2)</f>
        <v>51.01</v>
      </c>
      <c r="H165" s="63"/>
      <c r="I165" s="64"/>
    </row>
    <row r="166" spans="1:9" ht="15">
      <c r="A166" s="74"/>
      <c r="B166" s="80" t="s">
        <v>76</v>
      </c>
      <c r="C166" s="81" t="s">
        <v>77</v>
      </c>
      <c r="D166" s="74" t="s">
        <v>51</v>
      </c>
      <c r="E166" s="78">
        <v>2.5750000000000002</v>
      </c>
      <c r="F166" s="64">
        <f>TRUNC(19.81,2)</f>
        <v>19.809999999999999</v>
      </c>
      <c r="G166" s="63">
        <f>TRUNC(E166*F166,2)</f>
        <v>51.01</v>
      </c>
      <c r="H166" s="63"/>
      <c r="I166" s="64"/>
    </row>
    <row r="167" spans="1:9" ht="15">
      <c r="A167" s="74"/>
      <c r="B167" s="80"/>
      <c r="C167" s="81"/>
      <c r="D167" s="74"/>
      <c r="E167" s="78" t="s">
        <v>33</v>
      </c>
      <c r="F167" s="64"/>
      <c r="G167" s="63">
        <f>TRUNC(SUM(G166:G166),2)</f>
        <v>51.01</v>
      </c>
      <c r="H167" s="63"/>
      <c r="I167" s="64"/>
    </row>
    <row r="168" spans="1:9" ht="31.5">
      <c r="A168" s="68" t="s">
        <v>164</v>
      </c>
      <c r="B168" s="72" t="s">
        <v>128</v>
      </c>
      <c r="C168" s="73" t="s">
        <v>163</v>
      </c>
      <c r="D168" s="19" t="s">
        <v>23</v>
      </c>
      <c r="E168" s="56">
        <v>3.7</v>
      </c>
      <c r="F168" s="18">
        <f>TRUNC(F169,2)</f>
        <v>54.07</v>
      </c>
      <c r="G168" s="18">
        <f>TRUNC(F168*1.2882,2)</f>
        <v>69.650000000000006</v>
      </c>
      <c r="H168" s="18">
        <f>TRUNC(F168*E168,2)</f>
        <v>200.05</v>
      </c>
      <c r="I168" s="56">
        <f>TRUNC(E168*G168,2)</f>
        <v>257.7</v>
      </c>
    </row>
    <row r="169" spans="1:9" ht="15">
      <c r="A169" s="74"/>
      <c r="B169" s="80" t="s">
        <v>128</v>
      </c>
      <c r="C169" s="81" t="s">
        <v>129</v>
      </c>
      <c r="D169" s="74" t="s">
        <v>23</v>
      </c>
      <c r="E169" s="78">
        <v>1</v>
      </c>
      <c r="F169" s="64">
        <f>G171</f>
        <v>54.07</v>
      </c>
      <c r="G169" s="63">
        <f>TRUNC(E169*F169,2)</f>
        <v>54.07</v>
      </c>
      <c r="H169" s="63"/>
      <c r="I169" s="64"/>
    </row>
    <row r="170" spans="1:9" ht="15">
      <c r="A170" s="74"/>
      <c r="B170" s="80" t="s">
        <v>76</v>
      </c>
      <c r="C170" s="81" t="s">
        <v>77</v>
      </c>
      <c r="D170" s="74" t="s">
        <v>51</v>
      </c>
      <c r="E170" s="78">
        <v>2.5750000000000002</v>
      </c>
      <c r="F170" s="64">
        <f>TRUNC(21,2)</f>
        <v>21</v>
      </c>
      <c r="G170" s="63">
        <f>TRUNC(E170*F170,2)</f>
        <v>54.07</v>
      </c>
      <c r="H170" s="63"/>
      <c r="I170" s="64"/>
    </row>
    <row r="171" spans="1:9" ht="15">
      <c r="A171" s="74"/>
      <c r="B171" s="80"/>
      <c r="C171" s="81"/>
      <c r="D171" s="74"/>
      <c r="E171" s="78" t="s">
        <v>33</v>
      </c>
      <c r="F171" s="64"/>
      <c r="G171" s="63">
        <f>TRUNC(SUM(G170:G170),2)</f>
        <v>54.07</v>
      </c>
      <c r="H171" s="63"/>
      <c r="I171" s="64"/>
    </row>
    <row r="172" spans="1:9" ht="30" customHeight="1">
      <c r="A172" s="68" t="s">
        <v>1468</v>
      </c>
      <c r="B172" s="72" t="s">
        <v>165</v>
      </c>
      <c r="C172" s="73" t="s">
        <v>166</v>
      </c>
      <c r="D172" s="19" t="s">
        <v>7</v>
      </c>
      <c r="E172" s="56">
        <v>1</v>
      </c>
      <c r="F172" s="18">
        <f>TRUNC(F173,2)</f>
        <v>231.4</v>
      </c>
      <c r="G172" s="18">
        <f>TRUNC(F172*1.2882,2)</f>
        <v>298.08</v>
      </c>
      <c r="H172" s="18">
        <f>TRUNC(F172*E172,2)</f>
        <v>231.4</v>
      </c>
      <c r="I172" s="56">
        <f>TRUNC(E172*G172,2)</f>
        <v>298.08</v>
      </c>
    </row>
    <row r="173" spans="1:9" ht="45">
      <c r="A173" s="92"/>
      <c r="B173" s="93" t="s">
        <v>165</v>
      </c>
      <c r="C173" s="94" t="s">
        <v>166</v>
      </c>
      <c r="D173" s="92" t="s">
        <v>7</v>
      </c>
      <c r="E173" s="95">
        <v>1</v>
      </c>
      <c r="F173" s="96">
        <f>G176</f>
        <v>231.4</v>
      </c>
      <c r="G173" s="97">
        <f>TRUNC(E173*F173,2)</f>
        <v>231.4</v>
      </c>
      <c r="H173" s="97"/>
      <c r="I173" s="96"/>
    </row>
    <row r="174" spans="1:9" ht="30">
      <c r="A174" s="92"/>
      <c r="B174" s="93" t="s">
        <v>167</v>
      </c>
      <c r="C174" s="94" t="s">
        <v>168</v>
      </c>
      <c r="D174" s="92" t="s">
        <v>51</v>
      </c>
      <c r="E174" s="95">
        <v>7.6220000000000008</v>
      </c>
      <c r="F174" s="96">
        <f>TRUNC(12.44,2)</f>
        <v>12.44</v>
      </c>
      <c r="G174" s="97">
        <f>TRUNC(E174*F174,2)</f>
        <v>94.81</v>
      </c>
      <c r="H174" s="97"/>
      <c r="I174" s="96"/>
    </row>
    <row r="175" spans="1:9" ht="15">
      <c r="A175" s="92"/>
      <c r="B175" s="93" t="s">
        <v>169</v>
      </c>
      <c r="C175" s="94" t="s">
        <v>170</v>
      </c>
      <c r="D175" s="92" t="s">
        <v>51</v>
      </c>
      <c r="E175" s="95">
        <v>0.7</v>
      </c>
      <c r="F175" s="96">
        <f>TRUNC(195.1368,2)</f>
        <v>195.13</v>
      </c>
      <c r="G175" s="97">
        <f>TRUNC(E175*F175,2)</f>
        <v>136.59</v>
      </c>
      <c r="H175" s="97"/>
      <c r="I175" s="96"/>
    </row>
    <row r="176" spans="1:9" ht="15">
      <c r="A176" s="92"/>
      <c r="B176" s="93"/>
      <c r="C176" s="94"/>
      <c r="D176" s="92"/>
      <c r="E176" s="95" t="s">
        <v>33</v>
      </c>
      <c r="F176" s="96"/>
      <c r="G176" s="97">
        <f>TRUNC(SUM(G174:G175),2)</f>
        <v>231.4</v>
      </c>
      <c r="H176" s="97"/>
      <c r="I176" s="96"/>
    </row>
    <row r="177" spans="1:9" ht="30" customHeight="1">
      <c r="A177" s="68" t="s">
        <v>1474</v>
      </c>
      <c r="B177" s="72" t="s">
        <v>1469</v>
      </c>
      <c r="C177" s="73" t="s">
        <v>1470</v>
      </c>
      <c r="D177" s="19" t="s">
        <v>17</v>
      </c>
      <c r="E177" s="56">
        <v>140.52000000000001</v>
      </c>
      <c r="F177" s="18">
        <f>TRUNC(F178,2)</f>
        <v>3.18</v>
      </c>
      <c r="G177" s="18">
        <f>TRUNC(F177*1.2882,2)</f>
        <v>4.09</v>
      </c>
      <c r="H177" s="18">
        <f>TRUNC(F177*E177,2)</f>
        <v>446.85</v>
      </c>
      <c r="I177" s="56">
        <f>TRUNC(E177*G177,2)</f>
        <v>574.72</v>
      </c>
    </row>
    <row r="178" spans="1:9" ht="30">
      <c r="A178" s="92"/>
      <c r="B178" s="93" t="s">
        <v>1469</v>
      </c>
      <c r="C178" s="94" t="s">
        <v>1470</v>
      </c>
      <c r="D178" s="92" t="s">
        <v>17</v>
      </c>
      <c r="E178" s="95">
        <v>1</v>
      </c>
      <c r="F178" s="96">
        <f>G185</f>
        <v>3.18</v>
      </c>
      <c r="G178" s="97">
        <f t="shared" ref="G178:G184" si="1">TRUNC(E178*F178,2)</f>
        <v>3.18</v>
      </c>
      <c r="H178" s="97"/>
      <c r="I178" s="96"/>
    </row>
    <row r="179" spans="1:9" ht="30">
      <c r="A179" s="92"/>
      <c r="B179" s="93" t="s">
        <v>44</v>
      </c>
      <c r="C179" s="94" t="s">
        <v>45</v>
      </c>
      <c r="D179" s="92" t="s">
        <v>46</v>
      </c>
      <c r="E179" s="95">
        <v>2E-3</v>
      </c>
      <c r="F179" s="96">
        <v>18.809999999999999</v>
      </c>
      <c r="G179" s="97">
        <f t="shared" si="1"/>
        <v>0.03</v>
      </c>
      <c r="H179" s="97"/>
      <c r="I179" s="96"/>
    </row>
    <row r="180" spans="1:9" ht="15">
      <c r="A180" s="92"/>
      <c r="B180" s="93" t="s">
        <v>47</v>
      </c>
      <c r="C180" s="94" t="s">
        <v>48</v>
      </c>
      <c r="D180" s="92" t="s">
        <v>23</v>
      </c>
      <c r="E180" s="95">
        <v>0.05</v>
      </c>
      <c r="F180" s="96">
        <v>7.16</v>
      </c>
      <c r="G180" s="97">
        <f t="shared" si="1"/>
        <v>0.35</v>
      </c>
      <c r="H180" s="97"/>
      <c r="I180" s="96"/>
    </row>
    <row r="181" spans="1:9" ht="15">
      <c r="A181" s="92"/>
      <c r="B181" s="93" t="s">
        <v>1471</v>
      </c>
      <c r="C181" s="94" t="s">
        <v>1472</v>
      </c>
      <c r="D181" s="92" t="s">
        <v>23</v>
      </c>
      <c r="E181" s="95">
        <v>7.0000000000000007E-2</v>
      </c>
      <c r="F181" s="96">
        <v>11.67</v>
      </c>
      <c r="G181" s="97">
        <f t="shared" si="1"/>
        <v>0.81</v>
      </c>
      <c r="H181" s="97"/>
      <c r="I181" s="96"/>
    </row>
    <row r="182" spans="1:9" ht="15">
      <c r="A182" s="92"/>
      <c r="B182" s="93" t="s">
        <v>178</v>
      </c>
      <c r="C182" s="94" t="s">
        <v>179</v>
      </c>
      <c r="D182" s="92" t="s">
        <v>46</v>
      </c>
      <c r="E182" s="95">
        <v>4.0000000000000001E-3</v>
      </c>
      <c r="F182" s="96">
        <v>11.226699999999999</v>
      </c>
      <c r="G182" s="97">
        <f t="shared" si="1"/>
        <v>0.04</v>
      </c>
      <c r="H182" s="97"/>
      <c r="I182" s="96"/>
    </row>
    <row r="183" spans="1:9" ht="30">
      <c r="A183" s="92"/>
      <c r="B183" s="93" t="s">
        <v>49</v>
      </c>
      <c r="C183" s="94" t="s">
        <v>50</v>
      </c>
      <c r="D183" s="92" t="s">
        <v>51</v>
      </c>
      <c r="E183" s="95">
        <v>7.2100000000000011E-2</v>
      </c>
      <c r="F183" s="96">
        <v>15.2</v>
      </c>
      <c r="G183" s="97">
        <f t="shared" si="1"/>
        <v>1.0900000000000001</v>
      </c>
      <c r="H183" s="97"/>
      <c r="I183" s="96"/>
    </row>
    <row r="184" spans="1:9" ht="30">
      <c r="A184" s="92"/>
      <c r="B184" s="93" t="s">
        <v>138</v>
      </c>
      <c r="C184" s="94" t="s">
        <v>139</v>
      </c>
      <c r="D184" s="92" t="s">
        <v>51</v>
      </c>
      <c r="E184" s="95">
        <v>4.1200000000000001E-2</v>
      </c>
      <c r="F184" s="96">
        <v>21</v>
      </c>
      <c r="G184" s="97">
        <f t="shared" si="1"/>
        <v>0.86</v>
      </c>
      <c r="H184" s="97"/>
      <c r="I184" s="96"/>
    </row>
    <row r="185" spans="1:9" ht="15">
      <c r="A185" s="92"/>
      <c r="B185" s="93"/>
      <c r="C185" s="94"/>
      <c r="D185" s="92"/>
      <c r="E185" s="95" t="s">
        <v>33</v>
      </c>
      <c r="F185" s="96"/>
      <c r="G185" s="97">
        <f>TRUNC(SUM(G179:G184),2)</f>
        <v>3.18</v>
      </c>
      <c r="H185" s="97"/>
      <c r="I185" s="96"/>
    </row>
    <row r="186" spans="1:9" ht="48" customHeight="1">
      <c r="A186" s="68" t="s">
        <v>1475</v>
      </c>
      <c r="B186" s="72" t="s">
        <v>1476</v>
      </c>
      <c r="C186" s="73" t="s">
        <v>1477</v>
      </c>
      <c r="D186" s="19" t="s">
        <v>55</v>
      </c>
      <c r="E186" s="56">
        <f>31.02+6.38+7.99+33.81-E190</f>
        <v>69.12</v>
      </c>
      <c r="F186" s="18">
        <f>TRUNC(F187,2)</f>
        <v>53.23</v>
      </c>
      <c r="G186" s="18">
        <f>TRUNC(F186*1.2882,2)</f>
        <v>68.569999999999993</v>
      </c>
      <c r="H186" s="18">
        <f>TRUNC(F186*E186,2)</f>
        <v>3679.25</v>
      </c>
      <c r="I186" s="56">
        <f>TRUNC(E186*G186,2)</f>
        <v>4739.55</v>
      </c>
    </row>
    <row r="187" spans="1:9" ht="45">
      <c r="A187" s="92"/>
      <c r="B187" s="93" t="s">
        <v>1476</v>
      </c>
      <c r="C187" s="94" t="s">
        <v>1477</v>
      </c>
      <c r="D187" s="92" t="s">
        <v>55</v>
      </c>
      <c r="E187" s="95">
        <v>1</v>
      </c>
      <c r="F187" s="96">
        <f>TRUNC(53.2304,2)</f>
        <v>53.23</v>
      </c>
      <c r="G187" s="97">
        <f>TRUNC(E187*F187,2)</f>
        <v>53.23</v>
      </c>
      <c r="H187" s="97"/>
      <c r="I187" s="96"/>
    </row>
    <row r="188" spans="1:9" ht="30">
      <c r="A188" s="92"/>
      <c r="B188" s="93" t="s">
        <v>49</v>
      </c>
      <c r="C188" s="94" t="s">
        <v>50</v>
      </c>
      <c r="D188" s="92" t="s">
        <v>51</v>
      </c>
      <c r="E188" s="95">
        <v>3.5019999999999998</v>
      </c>
      <c r="F188" s="96">
        <f>TRUNC(15.2,2)</f>
        <v>15.2</v>
      </c>
      <c r="G188" s="97">
        <f>TRUNC(E188*F188,2)</f>
        <v>53.23</v>
      </c>
      <c r="H188" s="97"/>
      <c r="I188" s="96"/>
    </row>
    <row r="189" spans="1:9" ht="15">
      <c r="A189" s="92"/>
      <c r="B189" s="93"/>
      <c r="C189" s="94"/>
      <c r="D189" s="92"/>
      <c r="E189" s="95" t="s">
        <v>33</v>
      </c>
      <c r="F189" s="96"/>
      <c r="G189" s="97">
        <f>TRUNC(SUM(G188:G188),2)</f>
        <v>53.23</v>
      </c>
      <c r="H189" s="97"/>
      <c r="I189" s="96"/>
    </row>
    <row r="190" spans="1:9" ht="48" customHeight="1">
      <c r="A190" s="68" t="s">
        <v>1501</v>
      </c>
      <c r="B190" s="72" t="s">
        <v>1502</v>
      </c>
      <c r="C190" s="73" t="s">
        <v>1477</v>
      </c>
      <c r="D190" s="19" t="s">
        <v>55</v>
      </c>
      <c r="E190" s="56">
        <f>(20.4/2.4)*0.9+(6.48/2.4)*0.9</f>
        <v>10.08</v>
      </c>
      <c r="F190" s="18">
        <f>TRUNC(F191,2)</f>
        <v>67.319999999999993</v>
      </c>
      <c r="G190" s="18">
        <f>TRUNC(F190*1.2882,2)</f>
        <v>86.72</v>
      </c>
      <c r="H190" s="18">
        <f>TRUNC(F190*E190,2)</f>
        <v>678.58</v>
      </c>
      <c r="I190" s="56">
        <f>TRUNC(E190*G190,2)</f>
        <v>874.13</v>
      </c>
    </row>
    <row r="191" spans="1:9" ht="45">
      <c r="A191" s="92"/>
      <c r="B191" s="93" t="s">
        <v>1502</v>
      </c>
      <c r="C191" s="94" t="s">
        <v>1503</v>
      </c>
      <c r="D191" s="92" t="s">
        <v>55</v>
      </c>
      <c r="E191" s="95">
        <v>1</v>
      </c>
      <c r="F191" s="96">
        <f>G193</f>
        <v>67.319999999999993</v>
      </c>
      <c r="G191" s="97">
        <f>TRUNC(E191*F191,2)</f>
        <v>67.319999999999993</v>
      </c>
      <c r="H191" s="97"/>
      <c r="I191" s="96"/>
    </row>
    <row r="192" spans="1:9" ht="30">
      <c r="A192" s="92"/>
      <c r="B192" s="93" t="s">
        <v>49</v>
      </c>
      <c r="C192" s="94" t="s">
        <v>50</v>
      </c>
      <c r="D192" s="92" t="s">
        <v>51</v>
      </c>
      <c r="E192" s="95">
        <v>4.4290000000000003</v>
      </c>
      <c r="F192" s="96">
        <f>TRUNC(15.2,2)</f>
        <v>15.2</v>
      </c>
      <c r="G192" s="97">
        <f>TRUNC(E192*F192,2)</f>
        <v>67.319999999999993</v>
      </c>
      <c r="H192" s="97"/>
      <c r="I192" s="96"/>
    </row>
    <row r="193" spans="1:9" ht="15">
      <c r="A193" s="92"/>
      <c r="B193" s="93"/>
      <c r="C193" s="94"/>
      <c r="D193" s="92"/>
      <c r="E193" s="95" t="s">
        <v>33</v>
      </c>
      <c r="F193" s="96"/>
      <c r="G193" s="97">
        <f>TRUNC(SUM(G192:G192),2)</f>
        <v>67.319999999999993</v>
      </c>
      <c r="H193" s="97"/>
      <c r="I193" s="96"/>
    </row>
    <row r="194" spans="1:9" ht="30" customHeight="1">
      <c r="A194" s="68" t="s">
        <v>1610</v>
      </c>
      <c r="B194" s="72" t="s">
        <v>1478</v>
      </c>
      <c r="C194" s="73" t="s">
        <v>1479</v>
      </c>
      <c r="D194" s="19" t="s">
        <v>55</v>
      </c>
      <c r="E194" s="56">
        <f>24.58+4.74+4.88+28.69</f>
        <v>62.89</v>
      </c>
      <c r="F194" s="18">
        <f>TRUNC(F195,2)</f>
        <v>21.08</v>
      </c>
      <c r="G194" s="18">
        <f>TRUNC(F194*1.2882,2)</f>
        <v>27.15</v>
      </c>
      <c r="H194" s="18">
        <f>TRUNC(F194*E194,2)</f>
        <v>1325.72</v>
      </c>
      <c r="I194" s="56">
        <f>TRUNC(E194*G194,2)</f>
        <v>1707.46</v>
      </c>
    </row>
    <row r="195" spans="1:9" ht="30">
      <c r="A195" s="92"/>
      <c r="B195" s="93" t="s">
        <v>1478</v>
      </c>
      <c r="C195" s="94" t="s">
        <v>1479</v>
      </c>
      <c r="D195" s="92" t="s">
        <v>55</v>
      </c>
      <c r="E195" s="95">
        <v>1</v>
      </c>
      <c r="F195" s="96">
        <f>TRUNC(21.08331,2)</f>
        <v>21.08</v>
      </c>
      <c r="G195" s="97">
        <f>TRUNC(E195*F195,2)</f>
        <v>21.08</v>
      </c>
      <c r="H195" s="97"/>
      <c r="I195" s="96"/>
    </row>
    <row r="196" spans="1:9" ht="30">
      <c r="A196" s="92"/>
      <c r="B196" s="93" t="s">
        <v>49</v>
      </c>
      <c r="C196" s="94" t="s">
        <v>50</v>
      </c>
      <c r="D196" s="92" t="s">
        <v>51</v>
      </c>
      <c r="E196" s="95">
        <v>1.09901</v>
      </c>
      <c r="F196" s="96">
        <f>TRUNC(15.2,2)</f>
        <v>15.2</v>
      </c>
      <c r="G196" s="97">
        <f>TRUNC(E196*F196,2)</f>
        <v>16.7</v>
      </c>
      <c r="H196" s="97"/>
      <c r="I196" s="96"/>
    </row>
    <row r="197" spans="1:9" ht="30">
      <c r="A197" s="92"/>
      <c r="B197" s="93" t="s">
        <v>1480</v>
      </c>
      <c r="C197" s="94" t="s">
        <v>1481</v>
      </c>
      <c r="D197" s="92" t="s">
        <v>51</v>
      </c>
      <c r="E197" s="95">
        <v>0.13699</v>
      </c>
      <c r="F197" s="96">
        <f>TRUNC(23.6,2)</f>
        <v>23.6</v>
      </c>
      <c r="G197" s="97">
        <f>TRUNC(E197*F197,2)</f>
        <v>3.23</v>
      </c>
      <c r="H197" s="97"/>
      <c r="I197" s="96"/>
    </row>
    <row r="198" spans="1:9" ht="15">
      <c r="A198" s="92"/>
      <c r="B198" s="93" t="s">
        <v>1482</v>
      </c>
      <c r="C198" s="94" t="s">
        <v>1483</v>
      </c>
      <c r="D198" s="92" t="s">
        <v>51</v>
      </c>
      <c r="E198" s="95">
        <v>3.3000000000000002E-2</v>
      </c>
      <c r="F198" s="96">
        <v>2.1779999999999999</v>
      </c>
      <c r="G198" s="97">
        <f>TRUNC(E198*F198,2)</f>
        <v>7.0000000000000007E-2</v>
      </c>
      <c r="H198" s="97"/>
      <c r="I198" s="96"/>
    </row>
    <row r="199" spans="1:9" ht="15">
      <c r="A199" s="92"/>
      <c r="B199" s="93" t="s">
        <v>1484</v>
      </c>
      <c r="C199" s="94" t="s">
        <v>1485</v>
      </c>
      <c r="D199" s="92" t="s">
        <v>51</v>
      </c>
      <c r="E199" s="95">
        <v>0.1</v>
      </c>
      <c r="F199" s="96">
        <v>9.3292000000000002</v>
      </c>
      <c r="G199" s="97">
        <f>TRUNC(E199*F199,2)</f>
        <v>0.93</v>
      </c>
      <c r="H199" s="97"/>
      <c r="I199" s="96"/>
    </row>
    <row r="200" spans="1:9" ht="15">
      <c r="A200" s="92"/>
      <c r="B200" s="93"/>
      <c r="C200" s="94"/>
      <c r="D200" s="92"/>
      <c r="E200" s="95" t="s">
        <v>33</v>
      </c>
      <c r="F200" s="96"/>
      <c r="G200" s="97">
        <f>TRUNC(SUM(G196:G199),2)</f>
        <v>20.93</v>
      </c>
      <c r="H200" s="97"/>
      <c r="I200" s="96"/>
    </row>
    <row r="201" spans="1:9" s="169" customFormat="1" ht="15.75">
      <c r="A201" s="240" t="s">
        <v>18</v>
      </c>
      <c r="B201" s="241"/>
      <c r="C201" s="242"/>
      <c r="D201" s="240"/>
      <c r="E201" s="243"/>
      <c r="F201" s="244"/>
      <c r="G201" s="335" t="s">
        <v>172</v>
      </c>
      <c r="H201" s="336"/>
      <c r="I201" s="244">
        <f>I13+I18+I23+I27+I32+I37+I43+I48+I55+I62+I66+I73+I81+I88+I93+I99+I103+I108+I112+I117+I121+I126+I130+I137+I160+I164+I168+I172+I177+I186+I190+I194</f>
        <v>61732.32</v>
      </c>
    </row>
    <row r="202" spans="1:9" ht="14.25" customHeight="1">
      <c r="A202" s="53" t="s">
        <v>19</v>
      </c>
      <c r="B202" s="54"/>
      <c r="C202" s="334" t="s">
        <v>171</v>
      </c>
      <c r="D202" s="334"/>
      <c r="E202" s="334"/>
      <c r="F202" s="334"/>
      <c r="G202" s="334"/>
      <c r="H202" s="334"/>
      <c r="I202" s="334"/>
    </row>
    <row r="203" spans="1:9" s="57" customFormat="1" ht="30" customHeight="1">
      <c r="A203" s="133" t="s">
        <v>173</v>
      </c>
      <c r="B203" s="134" t="s">
        <v>174</v>
      </c>
      <c r="C203" s="310" t="s">
        <v>175</v>
      </c>
      <c r="D203" s="239" t="s">
        <v>55</v>
      </c>
      <c r="E203" s="239">
        <v>4.2</v>
      </c>
      <c r="F203" s="18">
        <f>TRUNC(F204,2)</f>
        <v>2256.23</v>
      </c>
      <c r="G203" s="18">
        <f>TRUNC(F203*1.2882,2)</f>
        <v>2906.47</v>
      </c>
      <c r="H203" s="18">
        <f>TRUNC(F203*E203,2)</f>
        <v>9476.16</v>
      </c>
      <c r="I203" s="56">
        <f>TRUNC(E203*G203,2)</f>
        <v>12207.17</v>
      </c>
    </row>
    <row r="204" spans="1:9" ht="30">
      <c r="A204" s="181"/>
      <c r="B204" s="182" t="s">
        <v>174</v>
      </c>
      <c r="C204" s="217" t="s">
        <v>175</v>
      </c>
      <c r="D204" s="218" t="s">
        <v>55</v>
      </c>
      <c r="E204" s="218">
        <v>1</v>
      </c>
      <c r="F204" s="218">
        <f>G214</f>
        <v>2256.23</v>
      </c>
      <c r="G204" s="218">
        <f t="shared" ref="G204:G213" si="2">TRUNC(E204*F204,2)</f>
        <v>2256.23</v>
      </c>
      <c r="H204" s="218"/>
      <c r="I204" s="219"/>
    </row>
    <row r="205" spans="1:9" ht="30">
      <c r="A205" s="177"/>
      <c r="B205" s="178" t="s">
        <v>44</v>
      </c>
      <c r="C205" s="215" t="s">
        <v>45</v>
      </c>
      <c r="D205" s="216" t="s">
        <v>46</v>
      </c>
      <c r="E205" s="216">
        <v>1.4</v>
      </c>
      <c r="F205" s="216">
        <v>18.809999999999999</v>
      </c>
      <c r="G205" s="216">
        <f t="shared" si="2"/>
        <v>26.33</v>
      </c>
      <c r="H205" s="216"/>
      <c r="I205" s="245"/>
    </row>
    <row r="206" spans="1:9" ht="15">
      <c r="A206" s="177"/>
      <c r="B206" s="178" t="s">
        <v>176</v>
      </c>
      <c r="C206" s="215" t="s">
        <v>177</v>
      </c>
      <c r="D206" s="216" t="s">
        <v>46</v>
      </c>
      <c r="E206" s="216">
        <v>75</v>
      </c>
      <c r="F206" s="216">
        <v>10.64</v>
      </c>
      <c r="G206" s="216">
        <f t="shared" si="2"/>
        <v>798</v>
      </c>
      <c r="H206" s="216"/>
      <c r="I206" s="245"/>
    </row>
    <row r="207" spans="1:9" ht="15">
      <c r="A207" s="177"/>
      <c r="B207" s="178" t="s">
        <v>178</v>
      </c>
      <c r="C207" s="215" t="s">
        <v>179</v>
      </c>
      <c r="D207" s="216" t="s">
        <v>46</v>
      </c>
      <c r="E207" s="216">
        <v>1.2</v>
      </c>
      <c r="F207" s="216">
        <v>11.226699999999999</v>
      </c>
      <c r="G207" s="216">
        <f t="shared" si="2"/>
        <v>13.47</v>
      </c>
      <c r="H207" s="216"/>
      <c r="I207" s="245"/>
    </row>
    <row r="208" spans="1:9" ht="30">
      <c r="A208" s="177"/>
      <c r="B208" s="178" t="s">
        <v>49</v>
      </c>
      <c r="C208" s="215" t="s">
        <v>50</v>
      </c>
      <c r="D208" s="216" t="s">
        <v>51</v>
      </c>
      <c r="E208" s="216">
        <v>30.900000000000002</v>
      </c>
      <c r="F208" s="216">
        <v>15.2</v>
      </c>
      <c r="G208" s="216">
        <f t="shared" si="2"/>
        <v>469.68</v>
      </c>
      <c r="H208" s="216"/>
      <c r="I208" s="245"/>
    </row>
    <row r="209" spans="1:9" ht="15">
      <c r="A209" s="177"/>
      <c r="B209" s="178" t="s">
        <v>76</v>
      </c>
      <c r="C209" s="215" t="s">
        <v>77</v>
      </c>
      <c r="D209" s="216" t="s">
        <v>51</v>
      </c>
      <c r="E209" s="216">
        <v>4.12</v>
      </c>
      <c r="F209" s="216">
        <v>21</v>
      </c>
      <c r="G209" s="216">
        <f t="shared" si="2"/>
        <v>86.52</v>
      </c>
      <c r="H209" s="216"/>
      <c r="I209" s="245"/>
    </row>
    <row r="210" spans="1:9" ht="30">
      <c r="A210" s="177"/>
      <c r="B210" s="178" t="s">
        <v>138</v>
      </c>
      <c r="C210" s="215" t="s">
        <v>139</v>
      </c>
      <c r="D210" s="216" t="s">
        <v>51</v>
      </c>
      <c r="E210" s="216">
        <v>6.18</v>
      </c>
      <c r="F210" s="216">
        <v>21</v>
      </c>
      <c r="G210" s="216">
        <f t="shared" si="2"/>
        <v>129.78</v>
      </c>
      <c r="H210" s="216"/>
      <c r="I210" s="245"/>
    </row>
    <row r="211" spans="1:9" ht="30">
      <c r="A211" s="177"/>
      <c r="B211" s="178" t="s">
        <v>180</v>
      </c>
      <c r="C211" s="215" t="s">
        <v>181</v>
      </c>
      <c r="D211" s="216" t="s">
        <v>51</v>
      </c>
      <c r="E211" s="216">
        <v>15.450000000000001</v>
      </c>
      <c r="F211" s="216">
        <v>21</v>
      </c>
      <c r="G211" s="216">
        <f t="shared" si="2"/>
        <v>324.45</v>
      </c>
      <c r="H211" s="216"/>
      <c r="I211" s="245"/>
    </row>
    <row r="212" spans="1:9" ht="15">
      <c r="A212" s="177"/>
      <c r="B212" s="178" t="s">
        <v>182</v>
      </c>
      <c r="C212" s="215" t="s">
        <v>183</v>
      </c>
      <c r="D212" s="216" t="s">
        <v>17</v>
      </c>
      <c r="E212" s="216">
        <v>1.1000000000000001</v>
      </c>
      <c r="F212" s="216">
        <v>37.4758</v>
      </c>
      <c r="G212" s="216">
        <f t="shared" si="2"/>
        <v>41.22</v>
      </c>
      <c r="H212" s="216"/>
      <c r="I212" s="245"/>
    </row>
    <row r="213" spans="1:9" ht="15">
      <c r="A213" s="177"/>
      <c r="B213" s="178" t="s">
        <v>184</v>
      </c>
      <c r="C213" s="215" t="s">
        <v>185</v>
      </c>
      <c r="D213" s="216" t="s">
        <v>55</v>
      </c>
      <c r="E213" s="216">
        <v>1.05</v>
      </c>
      <c r="F213" s="216">
        <v>349.32159999999999</v>
      </c>
      <c r="G213" s="216">
        <f t="shared" si="2"/>
        <v>366.78</v>
      </c>
      <c r="H213" s="216"/>
      <c r="I213" s="245"/>
    </row>
    <row r="214" spans="1:9" ht="15">
      <c r="A214" s="185"/>
      <c r="B214" s="186"/>
      <c r="C214" s="221"/>
      <c r="D214" s="246"/>
      <c r="E214" s="246" t="s">
        <v>33</v>
      </c>
      <c r="F214" s="246"/>
      <c r="G214" s="246">
        <f>TRUNC(SUM(G205:G213),2)</f>
        <v>2256.23</v>
      </c>
      <c r="H214" s="246"/>
      <c r="I214" s="247"/>
    </row>
    <row r="215" spans="1:9" ht="45.75">
      <c r="A215" s="170" t="s">
        <v>1473</v>
      </c>
      <c r="B215" s="212" t="s">
        <v>1486</v>
      </c>
      <c r="C215" s="310" t="s">
        <v>1673</v>
      </c>
      <c r="D215" s="214" t="s">
        <v>55</v>
      </c>
      <c r="E215" s="141">
        <f>0.72+0.18+0.44+0.55</f>
        <v>1.89</v>
      </c>
      <c r="F215" s="140">
        <f>TRUNC(F216,2)</f>
        <v>457.18</v>
      </c>
      <c r="G215" s="140">
        <f>TRUNC(F215*1.2882,2)</f>
        <v>588.92999999999995</v>
      </c>
      <c r="H215" s="140">
        <f>TRUNC(F215*E215,2)</f>
        <v>864.07</v>
      </c>
      <c r="I215" s="141">
        <f>TRUNC(E215*G215,2)</f>
        <v>1113.07</v>
      </c>
    </row>
    <row r="216" spans="1:9" ht="45">
      <c r="A216" s="74"/>
      <c r="B216" s="80" t="s">
        <v>1486</v>
      </c>
      <c r="C216" s="81" t="s">
        <v>1487</v>
      </c>
      <c r="D216" s="74" t="s">
        <v>55</v>
      </c>
      <c r="E216" s="78">
        <v>1</v>
      </c>
      <c r="F216" s="64">
        <f>TRUNC(457.184575,2)</f>
        <v>457.18</v>
      </c>
      <c r="G216" s="63">
        <f t="shared" ref="G216:G221" si="3">TRUNC(E216*F216,2)</f>
        <v>457.18</v>
      </c>
      <c r="H216" s="63"/>
      <c r="I216" s="64"/>
    </row>
    <row r="217" spans="1:9" ht="30">
      <c r="A217" s="74"/>
      <c r="B217" s="80" t="s">
        <v>1488</v>
      </c>
      <c r="C217" s="81" t="s">
        <v>1489</v>
      </c>
      <c r="D217" s="74" t="s">
        <v>832</v>
      </c>
      <c r="E217" s="78">
        <v>1.385475</v>
      </c>
      <c r="F217" s="64">
        <v>89.48</v>
      </c>
      <c r="G217" s="63">
        <f t="shared" si="3"/>
        <v>123.97</v>
      </c>
      <c r="H217" s="63"/>
      <c r="I217" s="64"/>
    </row>
    <row r="218" spans="1:9" ht="15">
      <c r="A218" s="74"/>
      <c r="B218" s="80" t="s">
        <v>252</v>
      </c>
      <c r="C218" s="81" t="s">
        <v>253</v>
      </c>
      <c r="D218" s="74" t="s">
        <v>46</v>
      </c>
      <c r="E218" s="78">
        <v>189</v>
      </c>
      <c r="F218" s="64">
        <v>0.57999999999999996</v>
      </c>
      <c r="G218" s="63">
        <f t="shared" si="3"/>
        <v>109.62</v>
      </c>
      <c r="H218" s="63"/>
      <c r="I218" s="64"/>
    </row>
    <row r="219" spans="1:9" ht="15">
      <c r="A219" s="74"/>
      <c r="B219" s="80" t="s">
        <v>254</v>
      </c>
      <c r="C219" s="81" t="s">
        <v>255</v>
      </c>
      <c r="D219" s="74" t="s">
        <v>55</v>
      </c>
      <c r="E219" s="78">
        <v>0.63</v>
      </c>
      <c r="F219" s="64">
        <v>113.75</v>
      </c>
      <c r="G219" s="63">
        <f t="shared" si="3"/>
        <v>71.66</v>
      </c>
      <c r="H219" s="63"/>
      <c r="I219" s="64"/>
    </row>
    <row r="220" spans="1:9" ht="15">
      <c r="A220" s="74"/>
      <c r="B220" s="80" t="s">
        <v>1490</v>
      </c>
      <c r="C220" s="81" t="s">
        <v>1491</v>
      </c>
      <c r="D220" s="74" t="s">
        <v>55</v>
      </c>
      <c r="E220" s="78">
        <v>1</v>
      </c>
      <c r="F220" s="64">
        <v>71.818700000000007</v>
      </c>
      <c r="G220" s="63">
        <f t="shared" si="3"/>
        <v>71.81</v>
      </c>
      <c r="H220" s="63"/>
      <c r="I220" s="64"/>
    </row>
    <row r="221" spans="1:9" ht="15">
      <c r="A221" s="74"/>
      <c r="B221" s="80" t="s">
        <v>1492</v>
      </c>
      <c r="C221" s="81" t="s">
        <v>1493</v>
      </c>
      <c r="D221" s="74" t="s">
        <v>55</v>
      </c>
      <c r="E221" s="78">
        <v>1</v>
      </c>
      <c r="F221" s="64">
        <v>92.318299999999994</v>
      </c>
      <c r="G221" s="63">
        <f t="shared" si="3"/>
        <v>92.31</v>
      </c>
      <c r="H221" s="63"/>
      <c r="I221" s="64"/>
    </row>
    <row r="222" spans="1:9" ht="15">
      <c r="A222" s="74"/>
      <c r="B222" s="80"/>
      <c r="C222" s="81"/>
      <c r="D222" s="74"/>
      <c r="E222" s="78" t="s">
        <v>33</v>
      </c>
      <c r="F222" s="64"/>
      <c r="G222" s="63">
        <f>TRUNC(SUM(G217:G221),2)</f>
        <v>469.37</v>
      </c>
      <c r="H222" s="63"/>
      <c r="I222" s="64"/>
    </row>
    <row r="223" spans="1:9" s="57" customFormat="1" ht="60">
      <c r="A223" s="133" t="s">
        <v>1494</v>
      </c>
      <c r="B223" s="134" t="s">
        <v>1495</v>
      </c>
      <c r="C223" s="310" t="s">
        <v>1496</v>
      </c>
      <c r="D223" s="285" t="s">
        <v>55</v>
      </c>
      <c r="E223" s="239">
        <f>7.99+(12.5*(145.37/317.78))+17.51+8.77</f>
        <v>39.988185537164078</v>
      </c>
      <c r="F223" s="138">
        <f>TRUNC(F224,2)</f>
        <v>604.27</v>
      </c>
      <c r="G223" s="138">
        <f>TRUNC(F223*1.2882,2)</f>
        <v>778.42</v>
      </c>
      <c r="H223" s="138">
        <f>TRUNC(F223*E223,2)</f>
        <v>24163.66</v>
      </c>
      <c r="I223" s="139">
        <f>TRUNC(E223*G223,2)</f>
        <v>31127.599999999999</v>
      </c>
    </row>
    <row r="224" spans="1:9" ht="60">
      <c r="A224" s="181"/>
      <c r="B224" s="182" t="s">
        <v>1495</v>
      </c>
      <c r="C224" s="217" t="s">
        <v>1496</v>
      </c>
      <c r="D224" s="218" t="s">
        <v>55</v>
      </c>
      <c r="E224" s="218">
        <v>1</v>
      </c>
      <c r="F224" s="218">
        <f>G230</f>
        <v>604.27</v>
      </c>
      <c r="G224" s="218">
        <f t="shared" ref="G224:G229" si="4">TRUNC(E224*F224,2)</f>
        <v>604.27</v>
      </c>
      <c r="H224" s="218"/>
      <c r="I224" s="219"/>
    </row>
    <row r="225" spans="1:9" ht="30">
      <c r="A225" s="177"/>
      <c r="B225" s="178" t="s">
        <v>1488</v>
      </c>
      <c r="C225" s="215" t="s">
        <v>1489</v>
      </c>
      <c r="D225" s="216" t="s">
        <v>832</v>
      </c>
      <c r="E225" s="216">
        <v>1.2088650000000001</v>
      </c>
      <c r="F225" s="216">
        <v>89.48</v>
      </c>
      <c r="G225" s="216">
        <f t="shared" si="4"/>
        <v>108.16</v>
      </c>
      <c r="H225" s="216"/>
      <c r="I225" s="245"/>
    </row>
    <row r="226" spans="1:9" ht="15">
      <c r="A226" s="177"/>
      <c r="B226" s="178" t="s">
        <v>252</v>
      </c>
      <c r="C226" s="215" t="s">
        <v>253</v>
      </c>
      <c r="D226" s="216" t="s">
        <v>46</v>
      </c>
      <c r="E226" s="216">
        <v>409.5</v>
      </c>
      <c r="F226" s="216">
        <v>0.57999999999999996</v>
      </c>
      <c r="G226" s="216">
        <f t="shared" si="4"/>
        <v>237.51</v>
      </c>
      <c r="H226" s="216"/>
      <c r="I226" s="245"/>
    </row>
    <row r="227" spans="1:9" ht="15">
      <c r="A227" s="177"/>
      <c r="B227" s="178" t="s">
        <v>254</v>
      </c>
      <c r="C227" s="215" t="s">
        <v>255</v>
      </c>
      <c r="D227" s="216" t="s">
        <v>55</v>
      </c>
      <c r="E227" s="216">
        <v>0.61949999999999994</v>
      </c>
      <c r="F227" s="216">
        <v>113.75</v>
      </c>
      <c r="G227" s="216">
        <f t="shared" si="4"/>
        <v>70.459999999999994</v>
      </c>
      <c r="H227" s="216"/>
      <c r="I227" s="245"/>
    </row>
    <row r="228" spans="1:9" ht="15">
      <c r="A228" s="177"/>
      <c r="B228" s="178" t="s">
        <v>1497</v>
      </c>
      <c r="C228" s="215" t="s">
        <v>1498</v>
      </c>
      <c r="D228" s="216" t="s">
        <v>55</v>
      </c>
      <c r="E228" s="216">
        <v>1</v>
      </c>
      <c r="F228" s="216">
        <v>111.363</v>
      </c>
      <c r="G228" s="216">
        <f t="shared" si="4"/>
        <v>111.36</v>
      </c>
      <c r="H228" s="216"/>
      <c r="I228" s="245"/>
    </row>
    <row r="229" spans="1:9" ht="15">
      <c r="A229" s="177"/>
      <c r="B229" s="178" t="s">
        <v>1499</v>
      </c>
      <c r="C229" s="215" t="s">
        <v>1500</v>
      </c>
      <c r="D229" s="216" t="s">
        <v>55</v>
      </c>
      <c r="E229" s="216">
        <v>1</v>
      </c>
      <c r="F229" s="216">
        <v>76.789100000000005</v>
      </c>
      <c r="G229" s="216">
        <f t="shared" si="4"/>
        <v>76.78</v>
      </c>
      <c r="H229" s="216"/>
      <c r="I229" s="245"/>
    </row>
    <row r="230" spans="1:9" ht="15">
      <c r="A230" s="185"/>
      <c r="B230" s="186"/>
      <c r="C230" s="221"/>
      <c r="D230" s="246"/>
      <c r="E230" s="246" t="s">
        <v>33</v>
      </c>
      <c r="F230" s="246"/>
      <c r="G230" s="246">
        <f>TRUNC(SUM(G225:G229),2)</f>
        <v>604.27</v>
      </c>
      <c r="H230" s="246"/>
      <c r="I230" s="247"/>
    </row>
    <row r="231" spans="1:9" ht="61.5">
      <c r="A231" s="170" t="s">
        <v>1504</v>
      </c>
      <c r="B231" s="212" t="s">
        <v>1505</v>
      </c>
      <c r="C231" s="310" t="s">
        <v>1515</v>
      </c>
      <c r="D231" s="214" t="s">
        <v>55</v>
      </c>
      <c r="E231" s="141">
        <f>(12.5*(172.41/317.78))</f>
        <v>6.7818144628359249</v>
      </c>
      <c r="F231" s="140">
        <f>TRUNC(F232,2)</f>
        <v>561.55999999999995</v>
      </c>
      <c r="G231" s="140">
        <f>TRUNC(F231*1.2882,2)</f>
        <v>723.4</v>
      </c>
      <c r="H231" s="140">
        <f>TRUNC(F231*E231,2)</f>
        <v>3808.39</v>
      </c>
      <c r="I231" s="141">
        <f>TRUNC(E231*G231,2)</f>
        <v>4905.96</v>
      </c>
    </row>
    <row r="232" spans="1:9" ht="45">
      <c r="A232" s="74"/>
      <c r="B232" s="80" t="s">
        <v>1505</v>
      </c>
      <c r="C232" s="81" t="s">
        <v>1506</v>
      </c>
      <c r="D232" s="74" t="s">
        <v>55</v>
      </c>
      <c r="E232" s="78">
        <v>1</v>
      </c>
      <c r="F232" s="64">
        <f>G242</f>
        <v>561.55999999999995</v>
      </c>
      <c r="G232" s="63">
        <f t="shared" ref="G232:G241" si="5">TRUNC(E232*F232,2)</f>
        <v>561.55999999999995</v>
      </c>
      <c r="H232" s="63"/>
      <c r="I232" s="64"/>
    </row>
    <row r="233" spans="1:9" ht="15">
      <c r="A233" s="74"/>
      <c r="B233" s="80" t="s">
        <v>1507</v>
      </c>
      <c r="C233" s="81" t="s">
        <v>1508</v>
      </c>
      <c r="D233" s="74" t="s">
        <v>55</v>
      </c>
      <c r="E233" s="78">
        <v>1.05</v>
      </c>
      <c r="F233" s="64">
        <f>TRUNC(430,2)</f>
        <v>430</v>
      </c>
      <c r="G233" s="63">
        <f t="shared" si="5"/>
        <v>451.5</v>
      </c>
      <c r="H233" s="63"/>
      <c r="I233" s="64"/>
    </row>
    <row r="234" spans="1:9" ht="30">
      <c r="A234" s="74"/>
      <c r="B234" s="80" t="s">
        <v>49</v>
      </c>
      <c r="C234" s="81" t="s">
        <v>50</v>
      </c>
      <c r="D234" s="74" t="s">
        <v>51</v>
      </c>
      <c r="E234" s="78">
        <v>1.6480000000000001</v>
      </c>
      <c r="F234" s="64">
        <f>TRUNC(15.2,2)</f>
        <v>15.2</v>
      </c>
      <c r="G234" s="63">
        <f t="shared" si="5"/>
        <v>25.04</v>
      </c>
      <c r="H234" s="63"/>
      <c r="I234" s="64"/>
    </row>
    <row r="235" spans="1:9" ht="15">
      <c r="A235" s="74"/>
      <c r="B235" s="80" t="s">
        <v>76</v>
      </c>
      <c r="C235" s="81" t="s">
        <v>77</v>
      </c>
      <c r="D235" s="74" t="s">
        <v>51</v>
      </c>
      <c r="E235" s="78">
        <v>0.61799999999999999</v>
      </c>
      <c r="F235" s="64">
        <f>TRUNC(21,2)</f>
        <v>21</v>
      </c>
      <c r="G235" s="63">
        <f t="shared" si="5"/>
        <v>12.97</v>
      </c>
      <c r="H235" s="63"/>
      <c r="I235" s="64"/>
    </row>
    <row r="236" spans="1:9" ht="30">
      <c r="A236" s="74"/>
      <c r="B236" s="80" t="s">
        <v>138</v>
      </c>
      <c r="C236" s="81" t="s">
        <v>139</v>
      </c>
      <c r="D236" s="74" t="s">
        <v>51</v>
      </c>
      <c r="E236" s="78">
        <v>0.61799999999999999</v>
      </c>
      <c r="F236" s="64">
        <f>TRUNC(21,2)</f>
        <v>21</v>
      </c>
      <c r="G236" s="63">
        <f t="shared" si="5"/>
        <v>12.97</v>
      </c>
      <c r="H236" s="63"/>
      <c r="I236" s="64"/>
    </row>
    <row r="237" spans="1:9" ht="30">
      <c r="A237" s="74"/>
      <c r="B237" s="80" t="s">
        <v>180</v>
      </c>
      <c r="C237" s="81" t="s">
        <v>181</v>
      </c>
      <c r="D237" s="74" t="s">
        <v>51</v>
      </c>
      <c r="E237" s="78">
        <v>0.61799999999999999</v>
      </c>
      <c r="F237" s="64">
        <f>TRUNC(21,2)</f>
        <v>21</v>
      </c>
      <c r="G237" s="63">
        <f t="shared" si="5"/>
        <v>12.97</v>
      </c>
      <c r="H237" s="63"/>
      <c r="I237" s="64"/>
    </row>
    <row r="238" spans="1:9" ht="15">
      <c r="A238" s="74"/>
      <c r="B238" s="80" t="s">
        <v>1509</v>
      </c>
      <c r="C238" s="81" t="s">
        <v>1510</v>
      </c>
      <c r="D238" s="74" t="s">
        <v>55</v>
      </c>
      <c r="E238" s="78">
        <v>1</v>
      </c>
      <c r="F238" s="64">
        <f>TRUNC(40,2)</f>
        <v>40</v>
      </c>
      <c r="G238" s="63">
        <f t="shared" si="5"/>
        <v>40</v>
      </c>
      <c r="H238" s="63"/>
      <c r="I238" s="64"/>
    </row>
    <row r="239" spans="1:9" ht="15">
      <c r="A239" s="74"/>
      <c r="B239" s="80" t="s">
        <v>1511</v>
      </c>
      <c r="C239" s="81" t="s">
        <v>1512</v>
      </c>
      <c r="D239" s="74" t="s">
        <v>51</v>
      </c>
      <c r="E239" s="78">
        <v>0.39</v>
      </c>
      <c r="F239" s="64">
        <f>TRUNC(0.3324,2)</f>
        <v>0.33</v>
      </c>
      <c r="G239" s="63">
        <f t="shared" si="5"/>
        <v>0.12</v>
      </c>
      <c r="H239" s="63"/>
      <c r="I239" s="64"/>
    </row>
    <row r="240" spans="1:9" ht="15">
      <c r="A240" s="74"/>
      <c r="B240" s="80" t="s">
        <v>1513</v>
      </c>
      <c r="C240" s="81" t="s">
        <v>1514</v>
      </c>
      <c r="D240" s="74" t="s">
        <v>51</v>
      </c>
      <c r="E240" s="78">
        <v>0.23</v>
      </c>
      <c r="F240" s="64">
        <f>TRUNC(1.4874,2)</f>
        <v>1.48</v>
      </c>
      <c r="G240" s="63">
        <f t="shared" si="5"/>
        <v>0.34</v>
      </c>
      <c r="H240" s="63"/>
      <c r="I240" s="64"/>
    </row>
    <row r="241" spans="1:9" ht="15">
      <c r="A241" s="74"/>
      <c r="B241" s="80" t="s">
        <v>223</v>
      </c>
      <c r="C241" s="81" t="s">
        <v>224</v>
      </c>
      <c r="D241" s="74" t="s">
        <v>55</v>
      </c>
      <c r="E241" s="78">
        <v>1.2500000000000001E-2</v>
      </c>
      <c r="F241" s="64">
        <f>TRUNC(452.36,2)</f>
        <v>452.36</v>
      </c>
      <c r="G241" s="63">
        <f t="shared" si="5"/>
        <v>5.65</v>
      </c>
      <c r="H241" s="63"/>
      <c r="I241" s="64"/>
    </row>
    <row r="242" spans="1:9" ht="15">
      <c r="A242" s="74"/>
      <c r="B242" s="80"/>
      <c r="C242" s="81"/>
      <c r="D242" s="74"/>
      <c r="E242" s="78" t="s">
        <v>33</v>
      </c>
      <c r="F242" s="64"/>
      <c r="G242" s="63">
        <f>TRUNC(SUM(G233:G241),2)</f>
        <v>561.55999999999995</v>
      </c>
      <c r="H242" s="63"/>
      <c r="I242" s="64"/>
    </row>
    <row r="243" spans="1:9" ht="45">
      <c r="A243" s="68" t="s">
        <v>1516</v>
      </c>
      <c r="B243" s="72" t="s">
        <v>1520</v>
      </c>
      <c r="C243" s="310" t="s">
        <v>1521</v>
      </c>
      <c r="D243" s="19" t="s">
        <v>17</v>
      </c>
      <c r="E243" s="56">
        <v>317.77999999999997</v>
      </c>
      <c r="F243" s="18">
        <f>TRUNC(F244,2)</f>
        <v>196.98</v>
      </c>
      <c r="G243" s="18">
        <f>TRUNC(F243*1.2882,2)</f>
        <v>253.74</v>
      </c>
      <c r="H243" s="18">
        <f>TRUNC(F243*E243,2)</f>
        <v>62596.3</v>
      </c>
      <c r="I243" s="56">
        <f>TRUNC(E243*G243,2)</f>
        <v>80633.490000000005</v>
      </c>
    </row>
    <row r="244" spans="1:9" ht="45">
      <c r="A244" s="74"/>
      <c r="B244" s="75" t="s">
        <v>1520</v>
      </c>
      <c r="C244" s="76" t="s">
        <v>1521</v>
      </c>
      <c r="D244" s="77" t="s">
        <v>17</v>
      </c>
      <c r="E244" s="64">
        <v>1</v>
      </c>
      <c r="F244" s="64">
        <f>G253</f>
        <v>196.98</v>
      </c>
      <c r="G244" s="63">
        <f t="shared" ref="G244:G252" si="6">TRUNC(E244*F244,2)</f>
        <v>196.98</v>
      </c>
      <c r="H244" s="63"/>
      <c r="I244" s="63"/>
    </row>
    <row r="245" spans="1:9" ht="15">
      <c r="A245" s="74"/>
      <c r="B245" s="75" t="s">
        <v>1522</v>
      </c>
      <c r="C245" s="76" t="s">
        <v>1523</v>
      </c>
      <c r="D245" s="77" t="s">
        <v>46</v>
      </c>
      <c r="E245" s="64">
        <v>0.04</v>
      </c>
      <c r="F245" s="64">
        <v>32.9</v>
      </c>
      <c r="G245" s="63">
        <f t="shared" si="6"/>
        <v>1.31</v>
      </c>
      <c r="H245" s="63"/>
      <c r="I245" s="63"/>
    </row>
    <row r="246" spans="1:9" ht="30">
      <c r="A246" s="74"/>
      <c r="B246" s="75" t="s">
        <v>1413</v>
      </c>
      <c r="C246" s="76" t="s">
        <v>1414</v>
      </c>
      <c r="D246" s="77" t="s">
        <v>23</v>
      </c>
      <c r="E246" s="64">
        <v>1.87</v>
      </c>
      <c r="F246" s="64">
        <v>25.43</v>
      </c>
      <c r="G246" s="63">
        <f t="shared" si="6"/>
        <v>47.55</v>
      </c>
      <c r="H246" s="63"/>
      <c r="I246" s="63"/>
    </row>
    <row r="247" spans="1:9" ht="45">
      <c r="A247" s="74"/>
      <c r="B247" s="75" t="s">
        <v>1524</v>
      </c>
      <c r="C247" s="76" t="s">
        <v>1525</v>
      </c>
      <c r="D247" s="77" t="s">
        <v>17</v>
      </c>
      <c r="E247" s="64">
        <v>1</v>
      </c>
      <c r="F247" s="64">
        <v>58.17</v>
      </c>
      <c r="G247" s="63">
        <f t="shared" si="6"/>
        <v>58.17</v>
      </c>
      <c r="H247" s="63"/>
      <c r="I247" s="63"/>
    </row>
    <row r="248" spans="1:9" ht="15">
      <c r="A248" s="74"/>
      <c r="B248" s="75" t="s">
        <v>56</v>
      </c>
      <c r="C248" s="76" t="s">
        <v>57</v>
      </c>
      <c r="D248" s="77" t="s">
        <v>51</v>
      </c>
      <c r="E248" s="64">
        <v>0.35399999999999998</v>
      </c>
      <c r="F248" s="64">
        <f>TRUNC(22.72,2)</f>
        <v>22.72</v>
      </c>
      <c r="G248" s="63">
        <f t="shared" si="6"/>
        <v>8.0399999999999991</v>
      </c>
      <c r="H248" s="63"/>
      <c r="I248" s="63"/>
    </row>
    <row r="249" spans="1:9" ht="15">
      <c r="A249" s="74"/>
      <c r="B249" s="75" t="s">
        <v>240</v>
      </c>
      <c r="C249" s="76" t="s">
        <v>241</v>
      </c>
      <c r="D249" s="77" t="s">
        <v>51</v>
      </c>
      <c r="E249" s="64">
        <v>0.501</v>
      </c>
      <c r="F249" s="64">
        <f>TRUNC(29.28,2)</f>
        <v>29.28</v>
      </c>
      <c r="G249" s="63">
        <f t="shared" si="6"/>
        <v>14.66</v>
      </c>
      <c r="H249" s="63"/>
      <c r="I249" s="63"/>
    </row>
    <row r="250" spans="1:9" ht="45">
      <c r="A250" s="74"/>
      <c r="B250" s="75" t="s">
        <v>1526</v>
      </c>
      <c r="C250" s="76" t="s">
        <v>1630</v>
      </c>
      <c r="D250" s="77" t="s">
        <v>55</v>
      </c>
      <c r="E250" s="64">
        <v>5.3999999999999999E-2</v>
      </c>
      <c r="F250" s="64">
        <f>TRUNC(545.16262,2)</f>
        <v>545.16</v>
      </c>
      <c r="G250" s="63">
        <f t="shared" si="6"/>
        <v>29.43</v>
      </c>
      <c r="H250" s="63"/>
      <c r="I250" s="63"/>
    </row>
    <row r="251" spans="1:9" ht="30">
      <c r="A251" s="74"/>
      <c r="B251" s="75" t="s">
        <v>1461</v>
      </c>
      <c r="C251" s="76" t="s">
        <v>1631</v>
      </c>
      <c r="D251" s="77" t="s">
        <v>46</v>
      </c>
      <c r="E251" s="64">
        <v>1.2110000000000001</v>
      </c>
      <c r="F251" s="64">
        <f>TRUNC(18.164426,2)</f>
        <v>18.16</v>
      </c>
      <c r="G251" s="63">
        <f t="shared" si="6"/>
        <v>21.99</v>
      </c>
      <c r="H251" s="63"/>
      <c r="I251" s="63"/>
    </row>
    <row r="252" spans="1:9" ht="30">
      <c r="A252" s="74"/>
      <c r="B252" s="75" t="s">
        <v>1527</v>
      </c>
      <c r="C252" s="76" t="s">
        <v>1632</v>
      </c>
      <c r="D252" s="77" t="s">
        <v>23</v>
      </c>
      <c r="E252" s="64">
        <v>0.97</v>
      </c>
      <c r="F252" s="64">
        <f>TRUNC(16.32465,2)</f>
        <v>16.32</v>
      </c>
      <c r="G252" s="63">
        <f t="shared" si="6"/>
        <v>15.83</v>
      </c>
      <c r="H252" s="63"/>
      <c r="I252" s="63"/>
    </row>
    <row r="253" spans="1:9" ht="15">
      <c r="A253" s="74"/>
      <c r="B253" s="75"/>
      <c r="C253" s="76"/>
      <c r="D253" s="77"/>
      <c r="E253" s="64" t="s">
        <v>33</v>
      </c>
      <c r="F253" s="64"/>
      <c r="G253" s="63">
        <f>TRUNC(SUM(G245:G252),2)</f>
        <v>196.98</v>
      </c>
      <c r="H253" s="63"/>
      <c r="I253" s="63"/>
    </row>
    <row r="254" spans="1:9" ht="30">
      <c r="A254" s="68" t="s">
        <v>1517</v>
      </c>
      <c r="B254" s="72" t="s">
        <v>1532</v>
      </c>
      <c r="C254" s="310" t="s">
        <v>1533</v>
      </c>
      <c r="D254" s="19" t="s">
        <v>46</v>
      </c>
      <c r="E254" s="56">
        <f>250.04+208.23</f>
        <v>458.27</v>
      </c>
      <c r="F254" s="18">
        <f>TRUNC(F255,2)</f>
        <v>16.7</v>
      </c>
      <c r="G254" s="18">
        <f>TRUNC(F254*1.2882,2)</f>
        <v>21.51</v>
      </c>
      <c r="H254" s="18">
        <f>TRUNC(F254*E254,2)</f>
        <v>7653.1</v>
      </c>
      <c r="I254" s="56">
        <f>TRUNC(E254*G254,2)</f>
        <v>9857.3799999999992</v>
      </c>
    </row>
    <row r="255" spans="1:9" ht="30">
      <c r="A255" s="74"/>
      <c r="B255" s="80" t="s">
        <v>1532</v>
      </c>
      <c r="C255" s="81" t="s">
        <v>1533</v>
      </c>
      <c r="D255" s="74" t="s">
        <v>46</v>
      </c>
      <c r="E255" s="78">
        <v>1</v>
      </c>
      <c r="F255" s="64">
        <f>G261</f>
        <v>16.7</v>
      </c>
      <c r="G255" s="63">
        <f t="shared" ref="G255:G260" si="7">TRUNC(E255*F255,2)</f>
        <v>16.7</v>
      </c>
      <c r="H255" s="63"/>
      <c r="I255" s="64"/>
    </row>
    <row r="256" spans="1:9" ht="30">
      <c r="A256" s="74"/>
      <c r="B256" s="80" t="s">
        <v>1012</v>
      </c>
      <c r="C256" s="81" t="s">
        <v>1013</v>
      </c>
      <c r="D256" s="74" t="s">
        <v>46</v>
      </c>
      <c r="E256" s="78">
        <v>2.5000000000000001E-2</v>
      </c>
      <c r="F256" s="64">
        <v>26.5</v>
      </c>
      <c r="G256" s="63">
        <f t="shared" si="7"/>
        <v>0.66</v>
      </c>
      <c r="H256" s="63"/>
      <c r="I256" s="64"/>
    </row>
    <row r="257" spans="1:9" ht="30">
      <c r="A257" s="74"/>
      <c r="B257" s="80" t="s">
        <v>1534</v>
      </c>
      <c r="C257" s="81" t="s">
        <v>1535</v>
      </c>
      <c r="D257" s="74" t="s">
        <v>7</v>
      </c>
      <c r="E257" s="78">
        <v>1.19</v>
      </c>
      <c r="F257" s="64">
        <v>0.22</v>
      </c>
      <c r="G257" s="63">
        <f t="shared" si="7"/>
        <v>0.26</v>
      </c>
      <c r="H257" s="63"/>
      <c r="I257" s="64"/>
    </row>
    <row r="258" spans="1:9" ht="15">
      <c r="A258" s="74"/>
      <c r="B258" s="80" t="s">
        <v>1528</v>
      </c>
      <c r="C258" s="81" t="s">
        <v>1529</v>
      </c>
      <c r="D258" s="74" t="s">
        <v>51</v>
      </c>
      <c r="E258" s="78">
        <v>0.1069</v>
      </c>
      <c r="F258" s="64">
        <f>TRUNC(28.78,2)</f>
        <v>28.78</v>
      </c>
      <c r="G258" s="63">
        <f t="shared" si="7"/>
        <v>3.07</v>
      </c>
      <c r="H258" s="63"/>
      <c r="I258" s="64"/>
    </row>
    <row r="259" spans="1:9" ht="15">
      <c r="A259" s="74"/>
      <c r="B259" s="80" t="s">
        <v>1530</v>
      </c>
      <c r="C259" s="81" t="s">
        <v>1531</v>
      </c>
      <c r="D259" s="74" t="s">
        <v>51</v>
      </c>
      <c r="E259" s="78">
        <v>1.7500000000000002E-2</v>
      </c>
      <c r="F259" s="64">
        <f>TRUNC(23.03,2)</f>
        <v>23.03</v>
      </c>
      <c r="G259" s="63">
        <f t="shared" si="7"/>
        <v>0.4</v>
      </c>
      <c r="H259" s="63"/>
      <c r="I259" s="64"/>
    </row>
    <row r="260" spans="1:9" ht="15">
      <c r="A260" s="74"/>
      <c r="B260" s="80" t="s">
        <v>1536</v>
      </c>
      <c r="C260" s="81" t="s">
        <v>1633</v>
      </c>
      <c r="D260" s="74" t="s">
        <v>46</v>
      </c>
      <c r="E260" s="78">
        <v>1</v>
      </c>
      <c r="F260" s="64">
        <f>TRUNC(12.312703,2)</f>
        <v>12.31</v>
      </c>
      <c r="G260" s="63">
        <f t="shared" si="7"/>
        <v>12.31</v>
      </c>
      <c r="H260" s="63"/>
      <c r="I260" s="64"/>
    </row>
    <row r="261" spans="1:9" ht="15">
      <c r="A261" s="74"/>
      <c r="B261" s="80"/>
      <c r="C261" s="81"/>
      <c r="D261" s="74"/>
      <c r="E261" s="78" t="s">
        <v>33</v>
      </c>
      <c r="F261" s="64"/>
      <c r="G261" s="63">
        <f>TRUNC(SUM(G256:G260),2)</f>
        <v>16.7</v>
      </c>
      <c r="H261" s="63"/>
      <c r="I261" s="64"/>
    </row>
    <row r="262" spans="1:9" ht="30">
      <c r="A262" s="68" t="s">
        <v>1518</v>
      </c>
      <c r="B262" s="72" t="s">
        <v>1537</v>
      </c>
      <c r="C262" s="310" t="s">
        <v>1538</v>
      </c>
      <c r="D262" s="19" t="s">
        <v>46</v>
      </c>
      <c r="E262" s="56">
        <f>601.93+757.64</f>
        <v>1359.57</v>
      </c>
      <c r="F262" s="18">
        <f>TRUNC(F263,2)</f>
        <v>13.74</v>
      </c>
      <c r="G262" s="18">
        <f>TRUNC(F262*1.2882,2)</f>
        <v>17.690000000000001</v>
      </c>
      <c r="H262" s="18">
        <f>TRUNC(F262*E262,2)</f>
        <v>18680.490000000002</v>
      </c>
      <c r="I262" s="56">
        <f>TRUNC(E262*G262,2)</f>
        <v>24050.79</v>
      </c>
    </row>
    <row r="263" spans="1:9" ht="30">
      <c r="A263" s="74"/>
      <c r="B263" s="75" t="s">
        <v>1537</v>
      </c>
      <c r="C263" s="76" t="s">
        <v>1538</v>
      </c>
      <c r="D263" s="77" t="s">
        <v>46</v>
      </c>
      <c r="E263" s="64">
        <v>1</v>
      </c>
      <c r="F263" s="64">
        <f>G269</f>
        <v>13.74</v>
      </c>
      <c r="G263" s="63">
        <f t="shared" ref="G263:G268" si="8">TRUNC(E263*F263,2)</f>
        <v>13.74</v>
      </c>
      <c r="H263" s="63"/>
      <c r="I263" s="63"/>
    </row>
    <row r="264" spans="1:9" ht="30">
      <c r="A264" s="74"/>
      <c r="B264" s="75" t="s">
        <v>1012</v>
      </c>
      <c r="C264" s="76" t="s">
        <v>1013</v>
      </c>
      <c r="D264" s="77" t="s">
        <v>46</v>
      </c>
      <c r="E264" s="64">
        <v>2.5000000000000001E-2</v>
      </c>
      <c r="F264" s="64">
        <v>26.5</v>
      </c>
      <c r="G264" s="63">
        <f t="shared" si="8"/>
        <v>0.66</v>
      </c>
      <c r="H264" s="63"/>
      <c r="I264" s="63"/>
    </row>
    <row r="265" spans="1:9" ht="30">
      <c r="A265" s="74"/>
      <c r="B265" s="75" t="s">
        <v>1534</v>
      </c>
      <c r="C265" s="76" t="s">
        <v>1535</v>
      </c>
      <c r="D265" s="77" t="s">
        <v>7</v>
      </c>
      <c r="E265" s="64">
        <v>0.54300000000000004</v>
      </c>
      <c r="F265" s="64">
        <v>0.22</v>
      </c>
      <c r="G265" s="63">
        <f t="shared" si="8"/>
        <v>0.11</v>
      </c>
      <c r="H265" s="63"/>
      <c r="I265" s="63"/>
    </row>
    <row r="266" spans="1:9" ht="15">
      <c r="A266" s="74"/>
      <c r="B266" s="75" t="s">
        <v>1528</v>
      </c>
      <c r="C266" s="76" t="s">
        <v>1529</v>
      </c>
      <c r="D266" s="77" t="s">
        <v>51</v>
      </c>
      <c r="E266" s="64">
        <v>3.9199999999999999E-2</v>
      </c>
      <c r="F266" s="64">
        <f>TRUNC(28.78,2)</f>
        <v>28.78</v>
      </c>
      <c r="G266" s="63">
        <f t="shared" si="8"/>
        <v>1.1200000000000001</v>
      </c>
      <c r="H266" s="63"/>
      <c r="I266" s="63"/>
    </row>
    <row r="267" spans="1:9" ht="15">
      <c r="A267" s="74"/>
      <c r="B267" s="75" t="s">
        <v>1530</v>
      </c>
      <c r="C267" s="76" t="s">
        <v>1531</v>
      </c>
      <c r="D267" s="77" t="s">
        <v>51</v>
      </c>
      <c r="E267" s="64">
        <v>6.4000000000000003E-3</v>
      </c>
      <c r="F267" s="64">
        <f>TRUNC(23.03,2)</f>
        <v>23.03</v>
      </c>
      <c r="G267" s="63">
        <f t="shared" si="8"/>
        <v>0.14000000000000001</v>
      </c>
      <c r="H267" s="63"/>
      <c r="I267" s="63"/>
    </row>
    <row r="268" spans="1:9" ht="15">
      <c r="A268" s="74"/>
      <c r="B268" s="75" t="s">
        <v>1539</v>
      </c>
      <c r="C268" s="76" t="s">
        <v>1634</v>
      </c>
      <c r="D268" s="77" t="s">
        <v>46</v>
      </c>
      <c r="E268" s="64">
        <v>1</v>
      </c>
      <c r="F268" s="64">
        <f>TRUNC(11.718506,2)</f>
        <v>11.71</v>
      </c>
      <c r="G268" s="63">
        <f t="shared" si="8"/>
        <v>11.71</v>
      </c>
      <c r="H268" s="63"/>
      <c r="I268" s="63"/>
    </row>
    <row r="269" spans="1:9" ht="15">
      <c r="A269" s="74"/>
      <c r="B269" s="75"/>
      <c r="C269" s="76"/>
      <c r="D269" s="77"/>
      <c r="E269" s="64" t="s">
        <v>33</v>
      </c>
      <c r="F269" s="64"/>
      <c r="G269" s="63">
        <f>TRUNC(SUM(G264:G268),2)</f>
        <v>13.74</v>
      </c>
      <c r="H269" s="63"/>
      <c r="I269" s="63"/>
    </row>
    <row r="270" spans="1:9" ht="30">
      <c r="A270" s="68" t="s">
        <v>1519</v>
      </c>
      <c r="B270" s="72" t="s">
        <v>1540</v>
      </c>
      <c r="C270" s="73" t="s">
        <v>1541</v>
      </c>
      <c r="D270" s="19" t="s">
        <v>46</v>
      </c>
      <c r="E270" s="56">
        <v>558.71</v>
      </c>
      <c r="F270" s="18">
        <f>TRUNC(F271,2)</f>
        <v>11.61</v>
      </c>
      <c r="G270" s="18">
        <f>TRUNC(F270*1.2882,2)</f>
        <v>14.95</v>
      </c>
      <c r="H270" s="18">
        <f>TRUNC(F270*E270,2)</f>
        <v>6486.62</v>
      </c>
      <c r="I270" s="56">
        <f>TRUNC(E270*G270,2)</f>
        <v>8352.7099999999991</v>
      </c>
    </row>
    <row r="271" spans="1:9" ht="30">
      <c r="A271" s="74"/>
      <c r="B271" s="80" t="s">
        <v>1540</v>
      </c>
      <c r="C271" s="81" t="s">
        <v>1541</v>
      </c>
      <c r="D271" s="74" t="s">
        <v>46</v>
      </c>
      <c r="E271" s="78">
        <v>1</v>
      </c>
      <c r="F271" s="64">
        <f>G277</f>
        <v>11.61</v>
      </c>
      <c r="G271" s="63">
        <f t="shared" ref="G271:G276" si="9">TRUNC(E271*F271,2)</f>
        <v>11.61</v>
      </c>
      <c r="H271" s="63"/>
      <c r="I271" s="64"/>
    </row>
    <row r="272" spans="1:9" ht="30">
      <c r="A272" s="74"/>
      <c r="B272" s="80" t="s">
        <v>1012</v>
      </c>
      <c r="C272" s="81" t="s">
        <v>1013</v>
      </c>
      <c r="D272" s="74" t="s">
        <v>46</v>
      </c>
      <c r="E272" s="78">
        <v>2.5000000000000001E-2</v>
      </c>
      <c r="F272" s="64">
        <v>26.5</v>
      </c>
      <c r="G272" s="63">
        <f t="shared" si="9"/>
        <v>0.66</v>
      </c>
      <c r="H272" s="63"/>
      <c r="I272" s="64"/>
    </row>
    <row r="273" spans="1:9" ht="30">
      <c r="A273" s="74"/>
      <c r="B273" s="80" t="s">
        <v>1534</v>
      </c>
      <c r="C273" s="81" t="s">
        <v>1535</v>
      </c>
      <c r="D273" s="74" t="s">
        <v>7</v>
      </c>
      <c r="E273" s="78">
        <v>0.36699999999999999</v>
      </c>
      <c r="F273" s="64">
        <v>0.22</v>
      </c>
      <c r="G273" s="63">
        <f t="shared" si="9"/>
        <v>0.08</v>
      </c>
      <c r="H273" s="63"/>
      <c r="I273" s="64"/>
    </row>
    <row r="274" spans="1:9" ht="15">
      <c r="A274" s="74"/>
      <c r="B274" s="80" t="s">
        <v>1528</v>
      </c>
      <c r="C274" s="81" t="s">
        <v>1529</v>
      </c>
      <c r="D274" s="74" t="s">
        <v>51</v>
      </c>
      <c r="E274" s="78">
        <v>2.5700000000000001E-2</v>
      </c>
      <c r="F274" s="64">
        <f>TRUNC(28.78,2)</f>
        <v>28.78</v>
      </c>
      <c r="G274" s="63">
        <f t="shared" si="9"/>
        <v>0.73</v>
      </c>
      <c r="H274" s="63"/>
      <c r="I274" s="64"/>
    </row>
    <row r="275" spans="1:9" ht="15">
      <c r="A275" s="74"/>
      <c r="B275" s="80" t="s">
        <v>1530</v>
      </c>
      <c r="C275" s="81" t="s">
        <v>1531</v>
      </c>
      <c r="D275" s="74" t="s">
        <v>51</v>
      </c>
      <c r="E275" s="78">
        <v>4.1999999999999997E-3</v>
      </c>
      <c r="F275" s="64">
        <f>TRUNC(23.03,2)</f>
        <v>23.03</v>
      </c>
      <c r="G275" s="63">
        <f t="shared" si="9"/>
        <v>0.09</v>
      </c>
      <c r="H275" s="63"/>
      <c r="I275" s="64"/>
    </row>
    <row r="276" spans="1:9" ht="15">
      <c r="A276" s="74"/>
      <c r="B276" s="80" t="s">
        <v>1542</v>
      </c>
      <c r="C276" s="81" t="s">
        <v>1635</v>
      </c>
      <c r="D276" s="74" t="s">
        <v>46</v>
      </c>
      <c r="E276" s="78">
        <v>1</v>
      </c>
      <c r="F276" s="64">
        <f>TRUNC(10.057768,2)</f>
        <v>10.050000000000001</v>
      </c>
      <c r="G276" s="63">
        <f t="shared" si="9"/>
        <v>10.050000000000001</v>
      </c>
      <c r="H276" s="63"/>
      <c r="I276" s="64"/>
    </row>
    <row r="277" spans="1:9" ht="15">
      <c r="A277" s="74"/>
      <c r="B277" s="80"/>
      <c r="C277" s="81"/>
      <c r="D277" s="74"/>
      <c r="E277" s="78" t="s">
        <v>33</v>
      </c>
      <c r="F277" s="64"/>
      <c r="G277" s="63">
        <f>TRUNC(SUM(G272:G276),2)</f>
        <v>11.61</v>
      </c>
      <c r="H277" s="63"/>
      <c r="I277" s="64"/>
    </row>
    <row r="278" spans="1:9" ht="45">
      <c r="A278" s="68" t="s">
        <v>1543</v>
      </c>
      <c r="B278" s="72" t="s">
        <v>1589</v>
      </c>
      <c r="C278" s="73" t="s">
        <v>1590</v>
      </c>
      <c r="D278" s="19" t="s">
        <v>17</v>
      </c>
      <c r="E278" s="56">
        <f>789.97-317.78</f>
        <v>472.19000000000005</v>
      </c>
      <c r="F278" s="18">
        <f>TRUNC(F279,2)</f>
        <v>57.43</v>
      </c>
      <c r="G278" s="18">
        <f>TRUNC(F278*1.2882,2)</f>
        <v>73.98</v>
      </c>
      <c r="H278" s="18">
        <f>TRUNC(F278*E278,2)</f>
        <v>27117.87</v>
      </c>
      <c r="I278" s="56">
        <f>TRUNC(E278*G278,2)</f>
        <v>34932.61</v>
      </c>
    </row>
    <row r="279" spans="1:9" ht="45">
      <c r="A279" s="74"/>
      <c r="B279" s="80" t="s">
        <v>1589</v>
      </c>
      <c r="C279" s="81" t="s">
        <v>1590</v>
      </c>
      <c r="D279" s="74" t="s">
        <v>17</v>
      </c>
      <c r="E279" s="78">
        <v>1</v>
      </c>
      <c r="F279" s="64">
        <f>TRUNC(57.431243,2)</f>
        <v>57.43</v>
      </c>
      <c r="G279" s="63">
        <f t="shared" ref="G279:G286" si="10">TRUNC(E279*F279,2)</f>
        <v>57.43</v>
      </c>
      <c r="H279" s="63"/>
      <c r="I279" s="64"/>
    </row>
    <row r="280" spans="1:9" ht="30">
      <c r="A280" s="74"/>
      <c r="B280" s="80" t="s">
        <v>44</v>
      </c>
      <c r="C280" s="81" t="s">
        <v>45</v>
      </c>
      <c r="D280" s="74" t="s">
        <v>46</v>
      </c>
      <c r="E280" s="78">
        <v>0.1</v>
      </c>
      <c r="F280" s="64">
        <v>18.809999999999999</v>
      </c>
      <c r="G280" s="63">
        <f t="shared" si="10"/>
        <v>1.88</v>
      </c>
      <c r="H280" s="63"/>
      <c r="I280" s="64"/>
    </row>
    <row r="281" spans="1:9" ht="15">
      <c r="A281" s="74"/>
      <c r="B281" s="80" t="s">
        <v>47</v>
      </c>
      <c r="C281" s="81" t="s">
        <v>48</v>
      </c>
      <c r="D281" s="74" t="s">
        <v>23</v>
      </c>
      <c r="E281" s="78">
        <v>0.4</v>
      </c>
      <c r="F281" s="64">
        <v>7.16</v>
      </c>
      <c r="G281" s="63">
        <f t="shared" si="10"/>
        <v>2.86</v>
      </c>
      <c r="H281" s="63"/>
      <c r="I281" s="64"/>
    </row>
    <row r="282" spans="1:9" ht="15">
      <c r="A282" s="74"/>
      <c r="B282" s="80" t="s">
        <v>1471</v>
      </c>
      <c r="C282" s="81" t="s">
        <v>1472</v>
      </c>
      <c r="D282" s="74" t="s">
        <v>23</v>
      </c>
      <c r="E282" s="78">
        <v>0.7</v>
      </c>
      <c r="F282" s="64">
        <v>11.67</v>
      </c>
      <c r="G282" s="63">
        <f t="shared" si="10"/>
        <v>8.16</v>
      </c>
      <c r="H282" s="63"/>
      <c r="I282" s="64"/>
    </row>
    <row r="283" spans="1:9" ht="30">
      <c r="A283" s="74"/>
      <c r="B283" s="80" t="s">
        <v>49</v>
      </c>
      <c r="C283" s="81" t="s">
        <v>50</v>
      </c>
      <c r="D283" s="74" t="s">
        <v>51</v>
      </c>
      <c r="E283" s="78">
        <v>1.0815000000000001</v>
      </c>
      <c r="F283" s="64">
        <v>15.2</v>
      </c>
      <c r="G283" s="63">
        <f t="shared" si="10"/>
        <v>16.43</v>
      </c>
      <c r="H283" s="63"/>
      <c r="I283" s="64"/>
    </row>
    <row r="284" spans="1:9" ht="30">
      <c r="A284" s="74"/>
      <c r="B284" s="80" t="s">
        <v>138</v>
      </c>
      <c r="C284" s="81" t="s">
        <v>139</v>
      </c>
      <c r="D284" s="74" t="s">
        <v>51</v>
      </c>
      <c r="E284" s="78">
        <v>1.0815000000000001</v>
      </c>
      <c r="F284" s="64">
        <v>21</v>
      </c>
      <c r="G284" s="63">
        <f t="shared" si="10"/>
        <v>22.71</v>
      </c>
      <c r="H284" s="63"/>
      <c r="I284" s="64"/>
    </row>
    <row r="285" spans="1:9" ht="15">
      <c r="A285" s="74"/>
      <c r="B285" s="80" t="s">
        <v>1591</v>
      </c>
      <c r="C285" s="81" t="s">
        <v>1592</v>
      </c>
      <c r="D285" s="74" t="s">
        <v>23</v>
      </c>
      <c r="E285" s="78">
        <v>0.93</v>
      </c>
      <c r="F285" s="64">
        <v>7.9320000000000004</v>
      </c>
      <c r="G285" s="63">
        <f t="shared" si="10"/>
        <v>7.37</v>
      </c>
      <c r="H285" s="63"/>
      <c r="I285" s="64"/>
    </row>
    <row r="286" spans="1:9" ht="15">
      <c r="A286" s="74"/>
      <c r="B286" s="80" t="s">
        <v>1593</v>
      </c>
      <c r="C286" s="81" t="s">
        <v>1594</v>
      </c>
      <c r="D286" s="74" t="s">
        <v>17</v>
      </c>
      <c r="E286" s="78">
        <v>1</v>
      </c>
      <c r="F286" s="64">
        <v>3.1644999999999999</v>
      </c>
      <c r="G286" s="63">
        <f t="shared" si="10"/>
        <v>3.16</v>
      </c>
      <c r="H286" s="63"/>
      <c r="I286" s="64"/>
    </row>
    <row r="287" spans="1:9" ht="15">
      <c r="A287" s="74"/>
      <c r="B287" s="80"/>
      <c r="C287" s="81"/>
      <c r="D287" s="74"/>
      <c r="E287" s="78" t="s">
        <v>33</v>
      </c>
      <c r="F287" s="64"/>
      <c r="G287" s="63">
        <f>TRUNC(SUM(G280:G286),2)</f>
        <v>62.57</v>
      </c>
      <c r="H287" s="63"/>
      <c r="I287" s="64"/>
    </row>
    <row r="288" spans="1:9" ht="15">
      <c r="A288" s="74"/>
      <c r="B288" s="80"/>
      <c r="C288" s="81"/>
      <c r="D288" s="74"/>
      <c r="E288" s="78"/>
      <c r="F288" s="64"/>
      <c r="G288" s="63"/>
      <c r="H288" s="63"/>
      <c r="I288" s="64"/>
    </row>
    <row r="289" spans="1:9" ht="30">
      <c r="A289" s="68" t="s">
        <v>1544</v>
      </c>
      <c r="B289" s="72" t="s">
        <v>1598</v>
      </c>
      <c r="C289" s="73" t="s">
        <v>1599</v>
      </c>
      <c r="D289" s="19" t="s">
        <v>17</v>
      </c>
      <c r="E289" s="56">
        <f>E278</f>
        <v>472.19000000000005</v>
      </c>
      <c r="F289" s="18">
        <f>TRUNC(F290,2)</f>
        <v>50.27</v>
      </c>
      <c r="G289" s="18">
        <f>TRUNC(F289*1.2882,2)</f>
        <v>64.75</v>
      </c>
      <c r="H289" s="18">
        <f>TRUNC(F289*E289,2)</f>
        <v>23736.99</v>
      </c>
      <c r="I289" s="56">
        <f>TRUNC(E289*G289,2)</f>
        <v>30574.3</v>
      </c>
    </row>
    <row r="290" spans="1:9" ht="30">
      <c r="A290" s="74"/>
      <c r="B290" s="80" t="s">
        <v>1598</v>
      </c>
      <c r="C290" s="81" t="s">
        <v>1599</v>
      </c>
      <c r="D290" s="74" t="s">
        <v>17</v>
      </c>
      <c r="E290" s="78">
        <v>1</v>
      </c>
      <c r="F290" s="64">
        <f>G297</f>
        <v>50.27</v>
      </c>
      <c r="G290" s="63">
        <f t="shared" ref="G290:G296" si="11">TRUNC(E290*F290,2)</f>
        <v>50.27</v>
      </c>
      <c r="H290" s="63"/>
      <c r="I290" s="64"/>
    </row>
    <row r="291" spans="1:9" ht="30">
      <c r="A291" s="74"/>
      <c r="B291" s="80" t="s">
        <v>44</v>
      </c>
      <c r="C291" s="81" t="s">
        <v>45</v>
      </c>
      <c r="D291" s="74" t="s">
        <v>46</v>
      </c>
      <c r="E291" s="78">
        <v>0.05</v>
      </c>
      <c r="F291" s="64">
        <v>18.809999999999999</v>
      </c>
      <c r="G291" s="63">
        <f t="shared" si="11"/>
        <v>0.94</v>
      </c>
      <c r="H291" s="63"/>
      <c r="I291" s="64"/>
    </row>
    <row r="292" spans="1:9" ht="15">
      <c r="A292" s="74"/>
      <c r="B292" s="80" t="s">
        <v>47</v>
      </c>
      <c r="C292" s="81" t="s">
        <v>48</v>
      </c>
      <c r="D292" s="74" t="s">
        <v>23</v>
      </c>
      <c r="E292" s="78">
        <v>0.4</v>
      </c>
      <c r="F292" s="64">
        <v>7.16</v>
      </c>
      <c r="G292" s="63">
        <f t="shared" si="11"/>
        <v>2.86</v>
      </c>
      <c r="H292" s="63"/>
      <c r="I292" s="64"/>
    </row>
    <row r="293" spans="1:9" ht="30">
      <c r="A293" s="74"/>
      <c r="B293" s="80" t="s">
        <v>49</v>
      </c>
      <c r="C293" s="81" t="s">
        <v>50</v>
      </c>
      <c r="D293" s="74" t="s">
        <v>51</v>
      </c>
      <c r="E293" s="78">
        <v>0.72099999999999997</v>
      </c>
      <c r="F293" s="64">
        <v>15.2</v>
      </c>
      <c r="G293" s="63">
        <f t="shared" si="11"/>
        <v>10.95</v>
      </c>
      <c r="H293" s="63"/>
      <c r="I293" s="64"/>
    </row>
    <row r="294" spans="1:9" ht="30">
      <c r="A294" s="74"/>
      <c r="B294" s="80" t="s">
        <v>138</v>
      </c>
      <c r="C294" s="81" t="s">
        <v>139</v>
      </c>
      <c r="D294" s="74" t="s">
        <v>51</v>
      </c>
      <c r="E294" s="78">
        <v>0.72099999999999997</v>
      </c>
      <c r="F294" s="64">
        <v>21</v>
      </c>
      <c r="G294" s="63">
        <f t="shared" si="11"/>
        <v>15.14</v>
      </c>
      <c r="H294" s="63"/>
      <c r="I294" s="64"/>
    </row>
    <row r="295" spans="1:9" ht="15">
      <c r="A295" s="74"/>
      <c r="B295" s="80" t="s">
        <v>1600</v>
      </c>
      <c r="C295" s="81" t="s">
        <v>1601</v>
      </c>
      <c r="D295" s="74" t="s">
        <v>23</v>
      </c>
      <c r="E295" s="78">
        <v>0.4</v>
      </c>
      <c r="F295" s="64">
        <v>24.508600000000001</v>
      </c>
      <c r="G295" s="63">
        <f t="shared" si="11"/>
        <v>9.8000000000000007</v>
      </c>
      <c r="H295" s="63"/>
      <c r="I295" s="64"/>
    </row>
    <row r="296" spans="1:9" ht="15">
      <c r="A296" s="74"/>
      <c r="B296" s="80" t="s">
        <v>1595</v>
      </c>
      <c r="C296" s="81" t="s">
        <v>1596</v>
      </c>
      <c r="D296" s="74" t="s">
        <v>23</v>
      </c>
      <c r="E296" s="78">
        <v>0.72</v>
      </c>
      <c r="F296" s="64">
        <v>14.701599999999999</v>
      </c>
      <c r="G296" s="63">
        <f t="shared" si="11"/>
        <v>10.58</v>
      </c>
      <c r="H296" s="63"/>
      <c r="I296" s="64"/>
    </row>
    <row r="297" spans="1:9" ht="15">
      <c r="A297" s="74"/>
      <c r="B297" s="80"/>
      <c r="C297" s="81"/>
      <c r="D297" s="74"/>
      <c r="E297" s="78" t="s">
        <v>33</v>
      </c>
      <c r="F297" s="64"/>
      <c r="G297" s="63">
        <f>TRUNC(SUM(G291:G296),2)</f>
        <v>50.27</v>
      </c>
      <c r="H297" s="63"/>
      <c r="I297" s="64"/>
    </row>
    <row r="298" spans="1:9" s="169" customFormat="1" ht="15.75">
      <c r="A298" s="286" t="s">
        <v>18</v>
      </c>
      <c r="B298" s="287"/>
      <c r="C298" s="288" t="s">
        <v>1605</v>
      </c>
      <c r="D298" s="286"/>
      <c r="E298" s="289"/>
      <c r="F298" s="290"/>
      <c r="G298" s="291"/>
      <c r="H298" s="291"/>
      <c r="I298" s="290"/>
    </row>
    <row r="299" spans="1:9" s="57" customFormat="1" ht="60">
      <c r="A299" s="133" t="s">
        <v>1545</v>
      </c>
      <c r="B299" s="134" t="s">
        <v>1495</v>
      </c>
      <c r="C299" s="310" t="s">
        <v>1496</v>
      </c>
      <c r="D299" s="285" t="s">
        <v>55</v>
      </c>
      <c r="E299" s="239">
        <v>8.35</v>
      </c>
      <c r="F299" s="138">
        <f>TRUNC(F300,2)</f>
        <v>604.27</v>
      </c>
      <c r="G299" s="138">
        <f>TRUNC(F299*1.2882,2)</f>
        <v>778.42</v>
      </c>
      <c r="H299" s="138">
        <f>TRUNC(F299*E299,2)</f>
        <v>5045.6499999999996</v>
      </c>
      <c r="I299" s="139">
        <f>TRUNC(E299*G299,2)</f>
        <v>6499.8</v>
      </c>
    </row>
    <row r="300" spans="1:9" ht="60">
      <c r="A300" s="181"/>
      <c r="B300" s="182" t="s">
        <v>1495</v>
      </c>
      <c r="C300" s="217" t="s">
        <v>1496</v>
      </c>
      <c r="D300" s="218" t="s">
        <v>55</v>
      </c>
      <c r="E300" s="218">
        <v>1</v>
      </c>
      <c r="F300" s="218">
        <f>G306</f>
        <v>604.27</v>
      </c>
      <c r="G300" s="218">
        <f t="shared" ref="G300:G305" si="12">TRUNC(E300*F300,2)</f>
        <v>604.27</v>
      </c>
      <c r="H300" s="218"/>
      <c r="I300" s="219"/>
    </row>
    <row r="301" spans="1:9" ht="30">
      <c r="A301" s="177"/>
      <c r="B301" s="178" t="s">
        <v>1488</v>
      </c>
      <c r="C301" s="215" t="s">
        <v>1489</v>
      </c>
      <c r="D301" s="216" t="s">
        <v>832</v>
      </c>
      <c r="E301" s="216">
        <v>1.2088650000000001</v>
      </c>
      <c r="F301" s="216">
        <v>89.48</v>
      </c>
      <c r="G301" s="216">
        <f t="shared" si="12"/>
        <v>108.16</v>
      </c>
      <c r="H301" s="216"/>
      <c r="I301" s="245"/>
    </row>
    <row r="302" spans="1:9" ht="15">
      <c r="A302" s="177"/>
      <c r="B302" s="178" t="s">
        <v>252</v>
      </c>
      <c r="C302" s="215" t="s">
        <v>253</v>
      </c>
      <c r="D302" s="216" t="s">
        <v>46</v>
      </c>
      <c r="E302" s="216">
        <v>409.5</v>
      </c>
      <c r="F302" s="216">
        <v>0.57999999999999996</v>
      </c>
      <c r="G302" s="216">
        <f t="shared" si="12"/>
        <v>237.51</v>
      </c>
      <c r="H302" s="216"/>
      <c r="I302" s="245"/>
    </row>
    <row r="303" spans="1:9" ht="15">
      <c r="A303" s="177"/>
      <c r="B303" s="178" t="s">
        <v>254</v>
      </c>
      <c r="C303" s="215" t="s">
        <v>255</v>
      </c>
      <c r="D303" s="216" t="s">
        <v>55</v>
      </c>
      <c r="E303" s="216">
        <v>0.61949999999999994</v>
      </c>
      <c r="F303" s="216">
        <v>113.75</v>
      </c>
      <c r="G303" s="216">
        <f t="shared" si="12"/>
        <v>70.459999999999994</v>
      </c>
      <c r="H303" s="216"/>
      <c r="I303" s="245"/>
    </row>
    <row r="304" spans="1:9" ht="15">
      <c r="A304" s="177"/>
      <c r="B304" s="178" t="s">
        <v>1497</v>
      </c>
      <c r="C304" s="215" t="s">
        <v>1498</v>
      </c>
      <c r="D304" s="216" t="s">
        <v>55</v>
      </c>
      <c r="E304" s="216">
        <v>1</v>
      </c>
      <c r="F304" s="216">
        <v>111.363</v>
      </c>
      <c r="G304" s="216">
        <f t="shared" si="12"/>
        <v>111.36</v>
      </c>
      <c r="H304" s="216"/>
      <c r="I304" s="245"/>
    </row>
    <row r="305" spans="1:9" ht="15">
      <c r="A305" s="177"/>
      <c r="B305" s="178" t="s">
        <v>1499</v>
      </c>
      <c r="C305" s="215" t="s">
        <v>1500</v>
      </c>
      <c r="D305" s="216" t="s">
        <v>55</v>
      </c>
      <c r="E305" s="216">
        <v>1</v>
      </c>
      <c r="F305" s="216">
        <v>76.789100000000005</v>
      </c>
      <c r="G305" s="216">
        <f t="shared" si="12"/>
        <v>76.78</v>
      </c>
      <c r="H305" s="216"/>
      <c r="I305" s="245"/>
    </row>
    <row r="306" spans="1:9" ht="15">
      <c r="A306" s="185"/>
      <c r="B306" s="186"/>
      <c r="C306" s="221"/>
      <c r="D306" s="246"/>
      <c r="E306" s="246" t="s">
        <v>33</v>
      </c>
      <c r="F306" s="246"/>
      <c r="G306" s="246">
        <f>TRUNC(SUM(G301:G305),2)</f>
        <v>604.27</v>
      </c>
      <c r="H306" s="246"/>
      <c r="I306" s="247"/>
    </row>
    <row r="307" spans="1:9" ht="30">
      <c r="A307" s="68" t="s">
        <v>1546</v>
      </c>
      <c r="B307" s="72" t="s">
        <v>1532</v>
      </c>
      <c r="C307" s="73" t="s">
        <v>1533</v>
      </c>
      <c r="D307" s="19" t="s">
        <v>46</v>
      </c>
      <c r="E307" s="56">
        <f>32.67+36.59</f>
        <v>69.260000000000005</v>
      </c>
      <c r="F307" s="18">
        <f>TRUNC(F308,2)</f>
        <v>16.7</v>
      </c>
      <c r="G307" s="18">
        <f>TRUNC(F307*1.2882,2)</f>
        <v>21.51</v>
      </c>
      <c r="H307" s="18">
        <f>TRUNC(F307*E307,2)</f>
        <v>1156.6400000000001</v>
      </c>
      <c r="I307" s="56">
        <f>TRUNC(E307*G307,2)</f>
        <v>1489.78</v>
      </c>
    </row>
    <row r="308" spans="1:9" ht="30">
      <c r="A308" s="74"/>
      <c r="B308" s="80" t="s">
        <v>1532</v>
      </c>
      <c r="C308" s="81" t="s">
        <v>1533</v>
      </c>
      <c r="D308" s="74" t="s">
        <v>46</v>
      </c>
      <c r="E308" s="78">
        <v>1</v>
      </c>
      <c r="F308" s="64">
        <f>G314</f>
        <v>16.7</v>
      </c>
      <c r="G308" s="63">
        <f t="shared" ref="G308:G313" si="13">TRUNC(E308*F308,2)</f>
        <v>16.7</v>
      </c>
      <c r="H308" s="63"/>
      <c r="I308" s="64"/>
    </row>
    <row r="309" spans="1:9" ht="30">
      <c r="A309" s="74"/>
      <c r="B309" s="80" t="s">
        <v>1012</v>
      </c>
      <c r="C309" s="81" t="s">
        <v>1013</v>
      </c>
      <c r="D309" s="74" t="s">
        <v>46</v>
      </c>
      <c r="E309" s="78">
        <v>2.5000000000000001E-2</v>
      </c>
      <c r="F309" s="64">
        <v>26.5</v>
      </c>
      <c r="G309" s="63">
        <f t="shared" si="13"/>
        <v>0.66</v>
      </c>
      <c r="H309" s="63"/>
      <c r="I309" s="64"/>
    </row>
    <row r="310" spans="1:9" ht="30">
      <c r="A310" s="74"/>
      <c r="B310" s="80" t="s">
        <v>1534</v>
      </c>
      <c r="C310" s="81" t="s">
        <v>1535</v>
      </c>
      <c r="D310" s="74" t="s">
        <v>7</v>
      </c>
      <c r="E310" s="78">
        <v>1.19</v>
      </c>
      <c r="F310" s="64">
        <v>0.22</v>
      </c>
      <c r="G310" s="63">
        <f t="shared" si="13"/>
        <v>0.26</v>
      </c>
      <c r="H310" s="63"/>
      <c r="I310" s="64"/>
    </row>
    <row r="311" spans="1:9" ht="15">
      <c r="A311" s="74"/>
      <c r="B311" s="80" t="s">
        <v>1528</v>
      </c>
      <c r="C311" s="81" t="s">
        <v>1529</v>
      </c>
      <c r="D311" s="74" t="s">
        <v>51</v>
      </c>
      <c r="E311" s="78">
        <v>0.1069</v>
      </c>
      <c r="F311" s="64">
        <f>TRUNC(28.78,2)</f>
        <v>28.78</v>
      </c>
      <c r="G311" s="63">
        <f t="shared" si="13"/>
        <v>3.07</v>
      </c>
      <c r="H311" s="63"/>
      <c r="I311" s="64"/>
    </row>
    <row r="312" spans="1:9" ht="15">
      <c r="A312" s="74"/>
      <c r="B312" s="80" t="s">
        <v>1530</v>
      </c>
      <c r="C312" s="81" t="s">
        <v>1531</v>
      </c>
      <c r="D312" s="74" t="s">
        <v>51</v>
      </c>
      <c r="E312" s="78">
        <v>1.7500000000000002E-2</v>
      </c>
      <c r="F312" s="64">
        <f>TRUNC(23.03,2)</f>
        <v>23.03</v>
      </c>
      <c r="G312" s="63">
        <f t="shared" si="13"/>
        <v>0.4</v>
      </c>
      <c r="H312" s="63"/>
      <c r="I312" s="64"/>
    </row>
    <row r="313" spans="1:9" ht="15">
      <c r="A313" s="74"/>
      <c r="B313" s="80" t="s">
        <v>1536</v>
      </c>
      <c r="C313" s="81" t="s">
        <v>1633</v>
      </c>
      <c r="D313" s="74" t="s">
        <v>46</v>
      </c>
      <c r="E313" s="78">
        <v>1</v>
      </c>
      <c r="F313" s="64">
        <f>TRUNC(12.312703,2)</f>
        <v>12.31</v>
      </c>
      <c r="G313" s="63">
        <f t="shared" si="13"/>
        <v>12.31</v>
      </c>
      <c r="H313" s="63"/>
      <c r="I313" s="64"/>
    </row>
    <row r="314" spans="1:9" ht="15">
      <c r="A314" s="74"/>
      <c r="B314" s="80"/>
      <c r="C314" s="81"/>
      <c r="D314" s="74"/>
      <c r="E314" s="78" t="s">
        <v>33</v>
      </c>
      <c r="F314" s="64"/>
      <c r="G314" s="63">
        <f>TRUNC(SUM(G309:G313),2)</f>
        <v>16.7</v>
      </c>
      <c r="H314" s="63"/>
      <c r="I314" s="64"/>
    </row>
    <row r="315" spans="1:9" ht="30">
      <c r="A315" s="68" t="s">
        <v>1547</v>
      </c>
      <c r="B315" s="72" t="s">
        <v>1537</v>
      </c>
      <c r="C315" s="73" t="s">
        <v>1538</v>
      </c>
      <c r="D315" s="19" t="s">
        <v>46</v>
      </c>
      <c r="E315" s="56">
        <f>151.36+91.56+69.66</f>
        <v>312.58000000000004</v>
      </c>
      <c r="F315" s="18">
        <f>TRUNC(F316,2)</f>
        <v>13.74</v>
      </c>
      <c r="G315" s="18">
        <f>TRUNC(F315*1.2882,2)</f>
        <v>17.690000000000001</v>
      </c>
      <c r="H315" s="18">
        <f>TRUNC(F315*E315,2)</f>
        <v>4294.84</v>
      </c>
      <c r="I315" s="56">
        <f>TRUNC(E315*G315,2)</f>
        <v>5529.54</v>
      </c>
    </row>
    <row r="316" spans="1:9" ht="30">
      <c r="A316" s="74"/>
      <c r="B316" s="75" t="s">
        <v>1537</v>
      </c>
      <c r="C316" s="76" t="s">
        <v>1538</v>
      </c>
      <c r="D316" s="77" t="s">
        <v>46</v>
      </c>
      <c r="E316" s="64">
        <v>1</v>
      </c>
      <c r="F316" s="64">
        <f>G322</f>
        <v>13.74</v>
      </c>
      <c r="G316" s="63">
        <f t="shared" ref="G316:G321" si="14">TRUNC(E316*F316,2)</f>
        <v>13.74</v>
      </c>
      <c r="H316" s="63"/>
      <c r="I316" s="63"/>
    </row>
    <row r="317" spans="1:9" ht="30">
      <c r="A317" s="74"/>
      <c r="B317" s="75" t="s">
        <v>1012</v>
      </c>
      <c r="C317" s="76" t="s">
        <v>1013</v>
      </c>
      <c r="D317" s="77" t="s">
        <v>46</v>
      </c>
      <c r="E317" s="64">
        <v>2.5000000000000001E-2</v>
      </c>
      <c r="F317" s="64">
        <f>F309</f>
        <v>26.5</v>
      </c>
      <c r="G317" s="63">
        <f t="shared" si="14"/>
        <v>0.66</v>
      </c>
      <c r="H317" s="63"/>
      <c r="I317" s="63"/>
    </row>
    <row r="318" spans="1:9" ht="30">
      <c r="A318" s="74"/>
      <c r="B318" s="75" t="s">
        <v>1534</v>
      </c>
      <c r="C318" s="76" t="s">
        <v>1535</v>
      </c>
      <c r="D318" s="77" t="s">
        <v>7</v>
      </c>
      <c r="E318" s="64">
        <v>0.54300000000000004</v>
      </c>
      <c r="F318" s="64">
        <f t="shared" ref="F318:F320" si="15">F310</f>
        <v>0.22</v>
      </c>
      <c r="G318" s="63">
        <f t="shared" si="14"/>
        <v>0.11</v>
      </c>
      <c r="H318" s="63"/>
      <c r="I318" s="63"/>
    </row>
    <row r="319" spans="1:9" ht="15">
      <c r="A319" s="74"/>
      <c r="B319" s="75" t="s">
        <v>1528</v>
      </c>
      <c r="C319" s="76" t="s">
        <v>1529</v>
      </c>
      <c r="D319" s="77" t="s">
        <v>51</v>
      </c>
      <c r="E319" s="64">
        <v>3.9199999999999999E-2</v>
      </c>
      <c r="F319" s="64">
        <f t="shared" si="15"/>
        <v>28.78</v>
      </c>
      <c r="G319" s="63">
        <f t="shared" si="14"/>
        <v>1.1200000000000001</v>
      </c>
      <c r="H319" s="63"/>
      <c r="I319" s="63"/>
    </row>
    <row r="320" spans="1:9" ht="15">
      <c r="A320" s="74"/>
      <c r="B320" s="75" t="s">
        <v>1530</v>
      </c>
      <c r="C320" s="76" t="s">
        <v>1531</v>
      </c>
      <c r="D320" s="77" t="s">
        <v>51</v>
      </c>
      <c r="E320" s="64">
        <v>6.4000000000000003E-3</v>
      </c>
      <c r="F320" s="64">
        <f t="shared" si="15"/>
        <v>23.03</v>
      </c>
      <c r="G320" s="63">
        <f t="shared" si="14"/>
        <v>0.14000000000000001</v>
      </c>
      <c r="H320" s="63"/>
      <c r="I320" s="63"/>
    </row>
    <row r="321" spans="1:9" ht="15">
      <c r="A321" s="74"/>
      <c r="B321" s="75" t="s">
        <v>1539</v>
      </c>
      <c r="C321" s="76" t="s">
        <v>1634</v>
      </c>
      <c r="D321" s="77" t="s">
        <v>46</v>
      </c>
      <c r="E321" s="64">
        <v>1</v>
      </c>
      <c r="F321" s="64">
        <f>TRUNC(11.718506,2)</f>
        <v>11.71</v>
      </c>
      <c r="G321" s="63">
        <f t="shared" si="14"/>
        <v>11.71</v>
      </c>
      <c r="H321" s="63"/>
      <c r="I321" s="63"/>
    </row>
    <row r="322" spans="1:9" ht="15">
      <c r="A322" s="74"/>
      <c r="B322" s="75"/>
      <c r="C322" s="76"/>
      <c r="D322" s="77"/>
      <c r="E322" s="64" t="s">
        <v>33</v>
      </c>
      <c r="F322" s="64"/>
      <c r="G322" s="63">
        <f>TRUNC(SUM(G317:G321),2)</f>
        <v>13.74</v>
      </c>
      <c r="H322" s="63"/>
      <c r="I322" s="63"/>
    </row>
    <row r="323" spans="1:9" ht="30">
      <c r="A323" s="68" t="s">
        <v>1548</v>
      </c>
      <c r="B323" s="72" t="s">
        <v>1540</v>
      </c>
      <c r="C323" s="73" t="s">
        <v>1541</v>
      </c>
      <c r="D323" s="19" t="s">
        <v>46</v>
      </c>
      <c r="E323" s="56">
        <v>165.25</v>
      </c>
      <c r="F323" s="18">
        <f>TRUNC(F324,2)</f>
        <v>11.61</v>
      </c>
      <c r="G323" s="18">
        <f>TRUNC(F323*1.2882,2)</f>
        <v>14.95</v>
      </c>
      <c r="H323" s="18">
        <f>TRUNC(F323*E323,2)</f>
        <v>1918.55</v>
      </c>
      <c r="I323" s="56">
        <f>TRUNC(E323*G323,2)</f>
        <v>2470.48</v>
      </c>
    </row>
    <row r="324" spans="1:9" ht="30">
      <c r="A324" s="74"/>
      <c r="B324" s="80" t="s">
        <v>1540</v>
      </c>
      <c r="C324" s="81" t="s">
        <v>1541</v>
      </c>
      <c r="D324" s="74" t="s">
        <v>46</v>
      </c>
      <c r="E324" s="78">
        <v>1</v>
      </c>
      <c r="F324" s="64">
        <f>G330</f>
        <v>11.61</v>
      </c>
      <c r="G324" s="63">
        <f t="shared" ref="G324:G329" si="16">TRUNC(E324*F324,2)</f>
        <v>11.61</v>
      </c>
      <c r="H324" s="63"/>
      <c r="I324" s="64"/>
    </row>
    <row r="325" spans="1:9" ht="30">
      <c r="A325" s="74"/>
      <c r="B325" s="80" t="s">
        <v>1012</v>
      </c>
      <c r="C325" s="81" t="s">
        <v>1013</v>
      </c>
      <c r="D325" s="74" t="s">
        <v>46</v>
      </c>
      <c r="E325" s="78">
        <v>2.5000000000000001E-2</v>
      </c>
      <c r="F325" s="64">
        <f>F317</f>
        <v>26.5</v>
      </c>
      <c r="G325" s="63">
        <f t="shared" si="16"/>
        <v>0.66</v>
      </c>
      <c r="H325" s="63"/>
      <c r="I325" s="64"/>
    </row>
    <row r="326" spans="1:9" ht="30">
      <c r="A326" s="74"/>
      <c r="B326" s="80" t="s">
        <v>1534</v>
      </c>
      <c r="C326" s="81" t="s">
        <v>1535</v>
      </c>
      <c r="D326" s="74" t="s">
        <v>7</v>
      </c>
      <c r="E326" s="78">
        <v>0.36699999999999999</v>
      </c>
      <c r="F326" s="64">
        <f t="shared" ref="F326:F328" si="17">F318</f>
        <v>0.22</v>
      </c>
      <c r="G326" s="63">
        <f t="shared" si="16"/>
        <v>0.08</v>
      </c>
      <c r="H326" s="63"/>
      <c r="I326" s="64"/>
    </row>
    <row r="327" spans="1:9" ht="15">
      <c r="A327" s="74"/>
      <c r="B327" s="80" t="s">
        <v>1528</v>
      </c>
      <c r="C327" s="81" t="s">
        <v>1529</v>
      </c>
      <c r="D327" s="74" t="s">
        <v>51</v>
      </c>
      <c r="E327" s="78">
        <v>2.5700000000000001E-2</v>
      </c>
      <c r="F327" s="64">
        <f t="shared" si="17"/>
        <v>28.78</v>
      </c>
      <c r="G327" s="63">
        <f t="shared" si="16"/>
        <v>0.73</v>
      </c>
      <c r="H327" s="63"/>
      <c r="I327" s="64"/>
    </row>
    <row r="328" spans="1:9" ht="15">
      <c r="A328" s="74"/>
      <c r="B328" s="80" t="s">
        <v>1530</v>
      </c>
      <c r="C328" s="81" t="s">
        <v>1531</v>
      </c>
      <c r="D328" s="74" t="s">
        <v>51</v>
      </c>
      <c r="E328" s="78">
        <v>4.1999999999999997E-3</v>
      </c>
      <c r="F328" s="64">
        <f t="shared" si="17"/>
        <v>23.03</v>
      </c>
      <c r="G328" s="63">
        <f t="shared" si="16"/>
        <v>0.09</v>
      </c>
      <c r="H328" s="63"/>
      <c r="I328" s="64"/>
    </row>
    <row r="329" spans="1:9" ht="15">
      <c r="A329" s="74"/>
      <c r="B329" s="80" t="s">
        <v>1542</v>
      </c>
      <c r="C329" s="81" t="s">
        <v>1635</v>
      </c>
      <c r="D329" s="74" t="s">
        <v>46</v>
      </c>
      <c r="E329" s="78">
        <v>1</v>
      </c>
      <c r="F329" s="64">
        <f>TRUNC(10.057768,2)</f>
        <v>10.050000000000001</v>
      </c>
      <c r="G329" s="63">
        <f t="shared" si="16"/>
        <v>10.050000000000001</v>
      </c>
      <c r="H329" s="63"/>
      <c r="I329" s="64"/>
    </row>
    <row r="330" spans="1:9" ht="15">
      <c r="A330" s="74"/>
      <c r="B330" s="80"/>
      <c r="C330" s="81"/>
      <c r="D330" s="74"/>
      <c r="E330" s="78" t="s">
        <v>33</v>
      </c>
      <c r="F330" s="64"/>
      <c r="G330" s="63">
        <f>TRUNC(SUM(G325:G329),2)</f>
        <v>11.61</v>
      </c>
      <c r="H330" s="63"/>
      <c r="I330" s="64"/>
    </row>
    <row r="331" spans="1:9" ht="60">
      <c r="A331" s="68" t="s">
        <v>1553</v>
      </c>
      <c r="B331" s="72" t="s">
        <v>200</v>
      </c>
      <c r="C331" s="23" t="s">
        <v>201</v>
      </c>
      <c r="D331" s="19" t="s">
        <v>17</v>
      </c>
      <c r="E331" s="56">
        <v>18.600000000000001</v>
      </c>
      <c r="F331" s="18">
        <f>TRUNC(F332,2)</f>
        <v>99.93</v>
      </c>
      <c r="G331" s="18">
        <f>TRUNC(F331*1.2882,2)</f>
        <v>128.72</v>
      </c>
      <c r="H331" s="18">
        <f>TRUNC(F331*E331,2)</f>
        <v>1858.69</v>
      </c>
      <c r="I331" s="56">
        <f>TRUNC(E331*G331,2)</f>
        <v>2394.19</v>
      </c>
    </row>
    <row r="332" spans="1:9" ht="60">
      <c r="A332" s="92"/>
      <c r="B332" s="93" t="s">
        <v>200</v>
      </c>
      <c r="C332" s="94" t="s">
        <v>201</v>
      </c>
      <c r="D332" s="92" t="s">
        <v>17</v>
      </c>
      <c r="E332" s="95">
        <v>1</v>
      </c>
      <c r="F332" s="96">
        <f>G337</f>
        <v>99.93</v>
      </c>
      <c r="G332" s="97">
        <f>TRUNC(E332*F332,2)</f>
        <v>99.93</v>
      </c>
      <c r="H332" s="97"/>
      <c r="I332" s="96"/>
    </row>
    <row r="333" spans="1:9" ht="15">
      <c r="A333" s="92"/>
      <c r="B333" s="93" t="s">
        <v>202</v>
      </c>
      <c r="C333" s="94" t="s">
        <v>203</v>
      </c>
      <c r="D333" s="92" t="s">
        <v>7</v>
      </c>
      <c r="E333" s="95">
        <v>13</v>
      </c>
      <c r="F333" s="96">
        <v>3.89</v>
      </c>
      <c r="G333" s="97">
        <f>TRUNC(E333*F333,2)</f>
        <v>50.57</v>
      </c>
      <c r="H333" s="97"/>
      <c r="I333" s="96"/>
    </row>
    <row r="334" spans="1:9" ht="30">
      <c r="A334" s="92"/>
      <c r="B334" s="93" t="s">
        <v>49</v>
      </c>
      <c r="C334" s="94" t="s">
        <v>50</v>
      </c>
      <c r="D334" s="92" t="s">
        <v>51</v>
      </c>
      <c r="E334" s="95">
        <v>1.1330000000000002</v>
      </c>
      <c r="F334" s="96">
        <v>15.2</v>
      </c>
      <c r="G334" s="97">
        <f>TRUNC(E334*F334,2)</f>
        <v>17.22</v>
      </c>
      <c r="H334" s="97"/>
      <c r="I334" s="96"/>
    </row>
    <row r="335" spans="1:9" ht="15">
      <c r="A335" s="92"/>
      <c r="B335" s="93" t="s">
        <v>76</v>
      </c>
      <c r="C335" s="94" t="s">
        <v>77</v>
      </c>
      <c r="D335" s="92" t="s">
        <v>51</v>
      </c>
      <c r="E335" s="95">
        <v>1.1330000000000002</v>
      </c>
      <c r="F335" s="96">
        <v>21</v>
      </c>
      <c r="G335" s="97">
        <f>TRUNC(E335*F335,2)</f>
        <v>23.79</v>
      </c>
      <c r="H335" s="97"/>
      <c r="I335" s="96"/>
    </row>
    <row r="336" spans="1:9" ht="45">
      <c r="A336" s="92"/>
      <c r="B336" s="93" t="s">
        <v>204</v>
      </c>
      <c r="C336" s="94" t="s">
        <v>205</v>
      </c>
      <c r="D336" s="92" t="s">
        <v>55</v>
      </c>
      <c r="E336" s="95">
        <v>0.02</v>
      </c>
      <c r="F336" s="96">
        <v>417.60210000000001</v>
      </c>
      <c r="G336" s="97">
        <f>TRUNC(E336*F336,2)</f>
        <v>8.35</v>
      </c>
      <c r="H336" s="97"/>
      <c r="I336" s="96"/>
    </row>
    <row r="337" spans="1:9" ht="15">
      <c r="A337" s="92"/>
      <c r="B337" s="93"/>
      <c r="C337" s="94"/>
      <c r="D337" s="92"/>
      <c r="E337" s="95" t="s">
        <v>33</v>
      </c>
      <c r="F337" s="96"/>
      <c r="G337" s="97">
        <f>TRUNC(SUM(G333:G336),2)</f>
        <v>99.93</v>
      </c>
      <c r="H337" s="97"/>
      <c r="I337" s="96"/>
    </row>
    <row r="338" spans="1:9" ht="45">
      <c r="A338" s="68" t="s">
        <v>1558</v>
      </c>
      <c r="B338" s="72" t="s">
        <v>1549</v>
      </c>
      <c r="C338" s="73" t="s">
        <v>1550</v>
      </c>
      <c r="D338" s="19" t="s">
        <v>17</v>
      </c>
      <c r="E338" s="56">
        <v>18.600000000000001</v>
      </c>
      <c r="F338" s="18">
        <f>TRUNC(F339,2)</f>
        <v>75.59</v>
      </c>
      <c r="G338" s="18">
        <f>TRUNC(F338*1.2882,2)</f>
        <v>97.37</v>
      </c>
      <c r="H338" s="18">
        <f>TRUNC(F338*E338,2)</f>
        <v>1405.97</v>
      </c>
      <c r="I338" s="56">
        <f>TRUNC(E338*G338,2)</f>
        <v>1811.08</v>
      </c>
    </row>
    <row r="339" spans="1:9" ht="45">
      <c r="A339" s="92"/>
      <c r="B339" s="93" t="s">
        <v>1549</v>
      </c>
      <c r="C339" s="94" t="s">
        <v>1550</v>
      </c>
      <c r="D339" s="92" t="s">
        <v>17</v>
      </c>
      <c r="E339" s="95">
        <v>1</v>
      </c>
      <c r="F339" s="96">
        <f>G343</f>
        <v>75.59</v>
      </c>
      <c r="G339" s="97">
        <f>TRUNC(E339*F339,2)</f>
        <v>75.59</v>
      </c>
      <c r="H339" s="97"/>
      <c r="I339" s="96"/>
    </row>
    <row r="340" spans="1:9" ht="30">
      <c r="A340" s="92"/>
      <c r="B340" s="93" t="s">
        <v>49</v>
      </c>
      <c r="C340" s="94" t="s">
        <v>50</v>
      </c>
      <c r="D340" s="92" t="s">
        <v>51</v>
      </c>
      <c r="E340" s="95">
        <v>0.82400000000000007</v>
      </c>
      <c r="F340" s="96">
        <f>TRUNC(15.2,2)</f>
        <v>15.2</v>
      </c>
      <c r="G340" s="97">
        <f>TRUNC(E340*F340,2)</f>
        <v>12.52</v>
      </c>
      <c r="H340" s="97"/>
      <c r="I340" s="96"/>
    </row>
    <row r="341" spans="1:9" ht="15">
      <c r="A341" s="92"/>
      <c r="B341" s="93" t="s">
        <v>76</v>
      </c>
      <c r="C341" s="94" t="s">
        <v>77</v>
      </c>
      <c r="D341" s="92" t="s">
        <v>51</v>
      </c>
      <c r="E341" s="95">
        <v>0.82400000000000007</v>
      </c>
      <c r="F341" s="96">
        <f>TRUNC(21,2)</f>
        <v>21</v>
      </c>
      <c r="G341" s="97">
        <f>TRUNC(E341*F341,2)</f>
        <v>17.3</v>
      </c>
      <c r="H341" s="97"/>
      <c r="I341" s="96"/>
    </row>
    <row r="342" spans="1:9" ht="15">
      <c r="A342" s="92"/>
      <c r="B342" s="93" t="s">
        <v>1551</v>
      </c>
      <c r="C342" s="94" t="s">
        <v>1552</v>
      </c>
      <c r="D342" s="92" t="s">
        <v>55</v>
      </c>
      <c r="E342" s="95">
        <v>0.11</v>
      </c>
      <c r="F342" s="96">
        <v>416.14729999999997</v>
      </c>
      <c r="G342" s="97">
        <f>TRUNC(E342*F342,2)</f>
        <v>45.77</v>
      </c>
      <c r="H342" s="97"/>
      <c r="I342" s="96"/>
    </row>
    <row r="343" spans="1:9" ht="15">
      <c r="A343" s="92"/>
      <c r="B343" s="93"/>
      <c r="C343" s="94"/>
      <c r="D343" s="92"/>
      <c r="E343" s="95" t="s">
        <v>33</v>
      </c>
      <c r="F343" s="96"/>
      <c r="G343" s="97">
        <f>TRUNC(SUM(G340:G342),2)</f>
        <v>75.59</v>
      </c>
      <c r="H343" s="97"/>
      <c r="I343" s="96"/>
    </row>
    <row r="344" spans="1:9" ht="15">
      <c r="A344" s="68" t="s">
        <v>1563</v>
      </c>
      <c r="B344" s="72" t="s">
        <v>1554</v>
      </c>
      <c r="C344" s="73" t="s">
        <v>1555</v>
      </c>
      <c r="D344" s="19" t="s">
        <v>55</v>
      </c>
      <c r="E344" s="56">
        <v>11.89</v>
      </c>
      <c r="F344" s="18">
        <f>TRUNC(F345,2)</f>
        <v>124.26</v>
      </c>
      <c r="G344" s="18">
        <f>TRUNC(F344*1.2882,2)</f>
        <v>160.07</v>
      </c>
      <c r="H344" s="18">
        <f>TRUNC(F344*E344,2)</f>
        <v>1477.45</v>
      </c>
      <c r="I344" s="56">
        <f>TRUNC(E344*G344,2)</f>
        <v>1903.23</v>
      </c>
    </row>
    <row r="345" spans="1:9" ht="15">
      <c r="A345" s="74"/>
      <c r="B345" s="75" t="s">
        <v>1554</v>
      </c>
      <c r="C345" s="76" t="s">
        <v>1555</v>
      </c>
      <c r="D345" s="77" t="s">
        <v>55</v>
      </c>
      <c r="E345" s="64">
        <v>1</v>
      </c>
      <c r="F345" s="64">
        <f>G349</f>
        <v>124.26</v>
      </c>
      <c r="G345" s="63">
        <f>TRUNC(E345*F345,2)</f>
        <v>124.26</v>
      </c>
      <c r="H345" s="63"/>
      <c r="I345" s="63"/>
    </row>
    <row r="346" spans="1:9" ht="15">
      <c r="A346" s="74"/>
      <c r="B346" s="75" t="s">
        <v>1556</v>
      </c>
      <c r="C346" s="76" t="s">
        <v>1557</v>
      </c>
      <c r="D346" s="77" t="s">
        <v>55</v>
      </c>
      <c r="E346" s="64">
        <v>1.1000000000000001</v>
      </c>
      <c r="F346" s="64">
        <v>80</v>
      </c>
      <c r="G346" s="63">
        <f>TRUNC(E346*F346,2)</f>
        <v>88</v>
      </c>
      <c r="H346" s="63"/>
      <c r="I346" s="63"/>
    </row>
    <row r="347" spans="1:9" ht="15">
      <c r="A347" s="74"/>
      <c r="B347" s="75" t="s">
        <v>56</v>
      </c>
      <c r="C347" s="76" t="s">
        <v>57</v>
      </c>
      <c r="D347" s="77" t="s">
        <v>51</v>
      </c>
      <c r="E347" s="64">
        <v>1.1133999999999999</v>
      </c>
      <c r="F347" s="64">
        <f>TRUNC(22.72,2)</f>
        <v>22.72</v>
      </c>
      <c r="G347" s="63">
        <f>TRUNC(E347*F347,2)</f>
        <v>25.29</v>
      </c>
      <c r="H347" s="63"/>
      <c r="I347" s="63"/>
    </row>
    <row r="348" spans="1:9" ht="15">
      <c r="A348" s="74"/>
      <c r="B348" s="75" t="s">
        <v>58</v>
      </c>
      <c r="C348" s="76" t="s">
        <v>59</v>
      </c>
      <c r="D348" s="77" t="s">
        <v>51</v>
      </c>
      <c r="E348" s="64">
        <v>0.37109999999999999</v>
      </c>
      <c r="F348" s="64">
        <f>TRUNC(29.57,2)</f>
        <v>29.57</v>
      </c>
      <c r="G348" s="63">
        <f>TRUNC(E348*F348,2)</f>
        <v>10.97</v>
      </c>
      <c r="H348" s="63"/>
      <c r="I348" s="63"/>
    </row>
    <row r="349" spans="1:9" ht="15">
      <c r="A349" s="74"/>
      <c r="B349" s="75"/>
      <c r="C349" s="76"/>
      <c r="D349" s="77"/>
      <c r="E349" s="64" t="s">
        <v>33</v>
      </c>
      <c r="F349" s="64"/>
      <c r="G349" s="63">
        <f>TRUNC(SUM(G346:G348),2)</f>
        <v>124.26</v>
      </c>
      <c r="H349" s="63"/>
      <c r="I349" s="63"/>
    </row>
    <row r="350" spans="1:9" ht="30">
      <c r="A350" s="68" t="s">
        <v>1564</v>
      </c>
      <c r="B350" s="72" t="s">
        <v>1559</v>
      </c>
      <c r="C350" s="73" t="s">
        <v>1560</v>
      </c>
      <c r="D350" s="19" t="s">
        <v>17</v>
      </c>
      <c r="E350" s="56">
        <v>29.74</v>
      </c>
      <c r="F350" s="18">
        <f>TRUNC(F351,2)</f>
        <v>10.35</v>
      </c>
      <c r="G350" s="18">
        <f>TRUNC(F350*1.2882,2)</f>
        <v>13.33</v>
      </c>
      <c r="H350" s="18">
        <f>TRUNC(F350*E350,2)</f>
        <v>307.8</v>
      </c>
      <c r="I350" s="56">
        <f>TRUNC(E350*G350,2)</f>
        <v>396.43</v>
      </c>
    </row>
    <row r="351" spans="1:9" ht="30">
      <c r="A351" s="74" t="s">
        <v>1602</v>
      </c>
      <c r="B351" s="80" t="s">
        <v>1559</v>
      </c>
      <c r="C351" s="81" t="s">
        <v>1560</v>
      </c>
      <c r="D351" s="74" t="s">
        <v>17</v>
      </c>
      <c r="E351" s="78">
        <v>1</v>
      </c>
      <c r="F351" s="64">
        <f>G355</f>
        <v>10.35</v>
      </c>
      <c r="G351" s="63">
        <f>TRUNC(E351*F351,2)</f>
        <v>10.35</v>
      </c>
      <c r="H351" s="63"/>
      <c r="I351" s="64"/>
    </row>
    <row r="352" spans="1:9" ht="30">
      <c r="A352" s="74"/>
      <c r="B352" s="80" t="s">
        <v>1561</v>
      </c>
      <c r="C352" s="81" t="s">
        <v>1562</v>
      </c>
      <c r="D352" s="74" t="s">
        <v>17</v>
      </c>
      <c r="E352" s="78">
        <v>0.82499999999999996</v>
      </c>
      <c r="F352" s="64">
        <v>10.3</v>
      </c>
      <c r="G352" s="63">
        <f>TRUNC(E352*F352,2)</f>
        <v>8.49</v>
      </c>
      <c r="H352" s="63"/>
      <c r="I352" s="64"/>
    </row>
    <row r="353" spans="1:9" ht="30">
      <c r="A353" s="74"/>
      <c r="B353" s="80" t="s">
        <v>49</v>
      </c>
      <c r="C353" s="81" t="s">
        <v>50</v>
      </c>
      <c r="D353" s="74" t="s">
        <v>51</v>
      </c>
      <c r="E353" s="78">
        <v>5.1500000000000004E-2</v>
      </c>
      <c r="F353" s="64">
        <v>15.2</v>
      </c>
      <c r="G353" s="63">
        <f>TRUNC(E353*F353,2)</f>
        <v>0.78</v>
      </c>
      <c r="H353" s="63"/>
      <c r="I353" s="64"/>
    </row>
    <row r="354" spans="1:9" ht="15">
      <c r="A354" s="74"/>
      <c r="B354" s="80" t="s">
        <v>76</v>
      </c>
      <c r="C354" s="81" t="s">
        <v>77</v>
      </c>
      <c r="D354" s="74" t="s">
        <v>51</v>
      </c>
      <c r="E354" s="78">
        <v>5.1500000000000004E-2</v>
      </c>
      <c r="F354" s="64">
        <v>21</v>
      </c>
      <c r="G354" s="63">
        <f>TRUNC(E354*F354,2)</f>
        <v>1.08</v>
      </c>
      <c r="H354" s="63"/>
      <c r="I354" s="64"/>
    </row>
    <row r="355" spans="1:9" ht="15">
      <c r="A355" s="74"/>
      <c r="B355" s="80"/>
      <c r="C355" s="81"/>
      <c r="D355" s="74"/>
      <c r="E355" s="78" t="s">
        <v>33</v>
      </c>
      <c r="F355" s="64"/>
      <c r="G355" s="63">
        <f>TRUNC(SUM(G352:G354),2)</f>
        <v>10.35</v>
      </c>
      <c r="H355" s="63"/>
      <c r="I355" s="64"/>
    </row>
    <row r="356" spans="1:9" ht="30">
      <c r="A356" s="68" t="s">
        <v>1565</v>
      </c>
      <c r="B356" s="72" t="s">
        <v>1566</v>
      </c>
      <c r="C356" s="73" t="s">
        <v>1567</v>
      </c>
      <c r="D356" s="19" t="s">
        <v>23</v>
      </c>
      <c r="E356" s="56">
        <v>18.23</v>
      </c>
      <c r="F356" s="18">
        <f>TRUNC(F357,2)</f>
        <v>13.69</v>
      </c>
      <c r="G356" s="18">
        <f>TRUNC(F356*1.2882,2)</f>
        <v>17.63</v>
      </c>
      <c r="H356" s="18">
        <f>TRUNC(F356*E356,2)</f>
        <v>249.56</v>
      </c>
      <c r="I356" s="56">
        <f>TRUNC(E356*G356,2)</f>
        <v>321.39</v>
      </c>
    </row>
    <row r="357" spans="1:9" ht="30">
      <c r="A357" s="74" t="s">
        <v>1602</v>
      </c>
      <c r="B357" s="75" t="s">
        <v>1566</v>
      </c>
      <c r="C357" s="76" t="s">
        <v>1567</v>
      </c>
      <c r="D357" s="77" t="s">
        <v>23</v>
      </c>
      <c r="E357" s="64">
        <v>1</v>
      </c>
      <c r="F357" s="64">
        <f>G361</f>
        <v>13.69</v>
      </c>
      <c r="G357" s="63">
        <f>TRUNC(E357*F357,2)</f>
        <v>13.69</v>
      </c>
      <c r="H357" s="63"/>
      <c r="I357" s="63"/>
    </row>
    <row r="358" spans="1:9" ht="30">
      <c r="A358" s="74"/>
      <c r="B358" s="75" t="s">
        <v>1568</v>
      </c>
      <c r="C358" s="76" t="s">
        <v>1569</v>
      </c>
      <c r="D358" s="77" t="s">
        <v>23</v>
      </c>
      <c r="E358" s="64">
        <v>1.0029999999999999</v>
      </c>
      <c r="F358" s="64">
        <v>13.19</v>
      </c>
      <c r="G358" s="63">
        <f>TRUNC(E358*F358,2)</f>
        <v>13.22</v>
      </c>
      <c r="H358" s="63"/>
      <c r="I358" s="63"/>
    </row>
    <row r="359" spans="1:9" ht="15">
      <c r="A359" s="74"/>
      <c r="B359" s="75" t="s">
        <v>56</v>
      </c>
      <c r="C359" s="76" t="s">
        <v>57</v>
      </c>
      <c r="D359" s="77" t="s">
        <v>51</v>
      </c>
      <c r="E359" s="64">
        <v>1.4800000000000001E-2</v>
      </c>
      <c r="F359" s="64">
        <f>TRUNC(22.72,2)</f>
        <v>22.72</v>
      </c>
      <c r="G359" s="63">
        <f>TRUNC(E359*F359,2)</f>
        <v>0.33</v>
      </c>
      <c r="H359" s="63"/>
      <c r="I359" s="63"/>
    </row>
    <row r="360" spans="1:9" ht="15">
      <c r="A360" s="74"/>
      <c r="B360" s="75" t="s">
        <v>58</v>
      </c>
      <c r="C360" s="76" t="s">
        <v>59</v>
      </c>
      <c r="D360" s="77" t="s">
        <v>51</v>
      </c>
      <c r="E360" s="64">
        <v>4.8999999999999998E-3</v>
      </c>
      <c r="F360" s="64">
        <f>TRUNC(29.57,2)</f>
        <v>29.57</v>
      </c>
      <c r="G360" s="63">
        <f>TRUNC(E360*F360,2)</f>
        <v>0.14000000000000001</v>
      </c>
      <c r="H360" s="63"/>
      <c r="I360" s="63"/>
    </row>
    <row r="361" spans="1:9" ht="15">
      <c r="A361" s="74"/>
      <c r="B361" s="75"/>
      <c r="C361" s="76"/>
      <c r="D361" s="77"/>
      <c r="E361" s="64" t="s">
        <v>33</v>
      </c>
      <c r="F361" s="64"/>
      <c r="G361" s="63">
        <f>TRUNC(SUM(G358:G360),2)</f>
        <v>13.69</v>
      </c>
      <c r="H361" s="63"/>
      <c r="I361" s="63"/>
    </row>
    <row r="362" spans="1:9" ht="30">
      <c r="A362" s="68" t="s">
        <v>1575</v>
      </c>
      <c r="B362" s="72" t="s">
        <v>1570</v>
      </c>
      <c r="C362" s="73" t="s">
        <v>1571</v>
      </c>
      <c r="D362" s="19" t="s">
        <v>23</v>
      </c>
      <c r="E362" s="56">
        <v>18.23</v>
      </c>
      <c r="F362" s="18">
        <f>TRUNC(F363,2)</f>
        <v>46.95</v>
      </c>
      <c r="G362" s="18">
        <f>TRUNC(F362*1.2882,2)</f>
        <v>60.48</v>
      </c>
      <c r="H362" s="18">
        <f>TRUNC(F362*E362,2)</f>
        <v>855.89</v>
      </c>
      <c r="I362" s="56">
        <f>TRUNC(E362*G362,2)</f>
        <v>1102.55</v>
      </c>
    </row>
    <row r="363" spans="1:9" ht="30">
      <c r="A363" s="74"/>
      <c r="B363" s="80" t="s">
        <v>1570</v>
      </c>
      <c r="C363" s="81" t="s">
        <v>1571</v>
      </c>
      <c r="D363" s="74" t="s">
        <v>23</v>
      </c>
      <c r="E363" s="78">
        <v>1</v>
      </c>
      <c r="F363" s="64">
        <f>G368</f>
        <v>46.95</v>
      </c>
      <c r="G363" s="63">
        <f>TRUNC(E363*F363,2)</f>
        <v>46.95</v>
      </c>
      <c r="H363" s="63"/>
      <c r="I363" s="64"/>
    </row>
    <row r="364" spans="1:9" ht="30">
      <c r="A364" s="74"/>
      <c r="B364" s="80" t="s">
        <v>1572</v>
      </c>
      <c r="C364" s="81" t="s">
        <v>1573</v>
      </c>
      <c r="D364" s="74" t="s">
        <v>23</v>
      </c>
      <c r="E364" s="78">
        <v>1.03</v>
      </c>
      <c r="F364" s="64">
        <v>30.21</v>
      </c>
      <c r="G364" s="63">
        <f>TRUNC(E364*F364,2)</f>
        <v>31.11</v>
      </c>
      <c r="H364" s="63"/>
      <c r="I364" s="64"/>
    </row>
    <row r="365" spans="1:9" ht="15">
      <c r="A365" s="74"/>
      <c r="B365" s="80" t="s">
        <v>56</v>
      </c>
      <c r="C365" s="81" t="s">
        <v>57</v>
      </c>
      <c r="D365" s="74" t="s">
        <v>51</v>
      </c>
      <c r="E365" s="78">
        <v>0.28120000000000001</v>
      </c>
      <c r="F365" s="64">
        <f>TRUNC(22.72,2)</f>
        <v>22.72</v>
      </c>
      <c r="G365" s="63">
        <f>TRUNC(E365*F365,2)</f>
        <v>6.38</v>
      </c>
      <c r="H365" s="63"/>
      <c r="I365" s="64"/>
    </row>
    <row r="366" spans="1:9" ht="15">
      <c r="A366" s="74"/>
      <c r="B366" s="80" t="s">
        <v>58</v>
      </c>
      <c r="C366" s="81" t="s">
        <v>59</v>
      </c>
      <c r="D366" s="74" t="s">
        <v>51</v>
      </c>
      <c r="E366" s="78">
        <v>0.28120000000000001</v>
      </c>
      <c r="F366" s="64">
        <f>TRUNC(29.57,2)</f>
        <v>29.57</v>
      </c>
      <c r="G366" s="63">
        <f>TRUNC(E366*F366,2)</f>
        <v>8.31</v>
      </c>
      <c r="H366" s="63"/>
      <c r="I366" s="64"/>
    </row>
    <row r="367" spans="1:9" ht="30">
      <c r="A367" s="74"/>
      <c r="B367" s="80" t="s">
        <v>1574</v>
      </c>
      <c r="C367" s="81" t="s">
        <v>1636</v>
      </c>
      <c r="D367" s="74" t="s">
        <v>55</v>
      </c>
      <c r="E367" s="78">
        <v>2E-3</v>
      </c>
      <c r="F367" s="64">
        <f>TRUNC(579.7164,2)</f>
        <v>579.71</v>
      </c>
      <c r="G367" s="63">
        <f>TRUNC(E367*F367,2)</f>
        <v>1.1499999999999999</v>
      </c>
      <c r="H367" s="63"/>
      <c r="I367" s="64"/>
    </row>
    <row r="368" spans="1:9" ht="15">
      <c r="A368" s="74"/>
      <c r="B368" s="80"/>
      <c r="C368" s="81"/>
      <c r="D368" s="74"/>
      <c r="E368" s="78" t="s">
        <v>33</v>
      </c>
      <c r="F368" s="64"/>
      <c r="G368" s="63">
        <f>TRUNC(SUM(G364:G367),2)</f>
        <v>46.95</v>
      </c>
      <c r="H368" s="63"/>
      <c r="I368" s="64"/>
    </row>
    <row r="369" spans="1:9" ht="30">
      <c r="A369" s="68" t="s">
        <v>1588</v>
      </c>
      <c r="B369" s="72" t="s">
        <v>1576</v>
      </c>
      <c r="C369" s="73" t="s">
        <v>1577</v>
      </c>
      <c r="D369" s="19" t="s">
        <v>7</v>
      </c>
      <c r="E369" s="56">
        <v>2</v>
      </c>
      <c r="F369" s="18">
        <f>TRUNC(F370,2)</f>
        <v>61.77</v>
      </c>
      <c r="G369" s="18">
        <f>TRUNC(F369*1.2882,2)</f>
        <v>79.569999999999993</v>
      </c>
      <c r="H369" s="18">
        <f>TRUNC(F369*E369,2)</f>
        <v>123.54</v>
      </c>
      <c r="I369" s="56">
        <f>TRUNC(E369*G369,2)</f>
        <v>159.13999999999999</v>
      </c>
    </row>
    <row r="370" spans="1:9" ht="30">
      <c r="A370" s="74"/>
      <c r="B370" s="80" t="s">
        <v>1576</v>
      </c>
      <c r="C370" s="81" t="s">
        <v>1577</v>
      </c>
      <c r="D370" s="74" t="s">
        <v>7</v>
      </c>
      <c r="E370" s="78">
        <v>1</v>
      </c>
      <c r="F370" s="64">
        <f>G377</f>
        <v>61.77</v>
      </c>
      <c r="G370" s="63">
        <f t="shared" ref="G370:G376" si="18">TRUNC(E370*F370,2)</f>
        <v>61.77</v>
      </c>
      <c r="H370" s="63"/>
      <c r="I370" s="64"/>
    </row>
    <row r="371" spans="1:9" ht="30">
      <c r="A371" s="74"/>
      <c r="B371" s="80" t="s">
        <v>1578</v>
      </c>
      <c r="C371" s="81" t="s">
        <v>1579</v>
      </c>
      <c r="D371" s="74" t="s">
        <v>7</v>
      </c>
      <c r="E371" s="78">
        <v>1</v>
      </c>
      <c r="F371" s="64">
        <v>34.409999999999997</v>
      </c>
      <c r="G371" s="63">
        <f t="shared" si="18"/>
        <v>34.409999999999997</v>
      </c>
      <c r="H371" s="63"/>
      <c r="I371" s="64"/>
    </row>
    <row r="372" spans="1:9" ht="30">
      <c r="A372" s="74"/>
      <c r="B372" s="80" t="s">
        <v>1287</v>
      </c>
      <c r="C372" s="81" t="s">
        <v>1288</v>
      </c>
      <c r="D372" s="74" t="s">
        <v>7</v>
      </c>
      <c r="E372" s="78">
        <v>0.115</v>
      </c>
      <c r="F372" s="64">
        <v>31.44</v>
      </c>
      <c r="G372" s="63">
        <f t="shared" si="18"/>
        <v>3.61</v>
      </c>
      <c r="H372" s="63"/>
      <c r="I372" s="64"/>
    </row>
    <row r="373" spans="1:9" ht="15">
      <c r="A373" s="74"/>
      <c r="B373" s="80" t="s">
        <v>1291</v>
      </c>
      <c r="C373" s="81" t="s">
        <v>1292</v>
      </c>
      <c r="D373" s="74" t="s">
        <v>7</v>
      </c>
      <c r="E373" s="78">
        <v>2</v>
      </c>
      <c r="F373" s="64">
        <v>3.9</v>
      </c>
      <c r="G373" s="63">
        <f t="shared" si="18"/>
        <v>7.8</v>
      </c>
      <c r="H373" s="63"/>
      <c r="I373" s="64"/>
    </row>
    <row r="374" spans="1:9" ht="15">
      <c r="A374" s="74"/>
      <c r="B374" s="80" t="s">
        <v>1372</v>
      </c>
      <c r="C374" s="81" t="s">
        <v>1373</v>
      </c>
      <c r="D374" s="74" t="s">
        <v>7</v>
      </c>
      <c r="E374" s="78">
        <v>2</v>
      </c>
      <c r="F374" s="64">
        <v>4.57</v>
      </c>
      <c r="G374" s="63">
        <f t="shared" si="18"/>
        <v>9.14</v>
      </c>
      <c r="H374" s="63"/>
      <c r="I374" s="64"/>
    </row>
    <row r="375" spans="1:9" ht="15">
      <c r="A375" s="74"/>
      <c r="B375" s="80" t="s">
        <v>146</v>
      </c>
      <c r="C375" s="81" t="s">
        <v>147</v>
      </c>
      <c r="D375" s="74" t="s">
        <v>51</v>
      </c>
      <c r="E375" s="78">
        <v>0.1288</v>
      </c>
      <c r="F375" s="64">
        <f>TRUNC(29.09,2)</f>
        <v>29.09</v>
      </c>
      <c r="G375" s="63">
        <f t="shared" si="18"/>
        <v>3.74</v>
      </c>
      <c r="H375" s="63"/>
      <c r="I375" s="64"/>
    </row>
    <row r="376" spans="1:9" ht="30">
      <c r="A376" s="74"/>
      <c r="B376" s="80" t="s">
        <v>1105</v>
      </c>
      <c r="C376" s="81" t="s">
        <v>1106</v>
      </c>
      <c r="D376" s="74" t="s">
        <v>51</v>
      </c>
      <c r="E376" s="78">
        <v>0.1288</v>
      </c>
      <c r="F376" s="64">
        <f>TRUNC(23.85,2)</f>
        <v>23.85</v>
      </c>
      <c r="G376" s="63">
        <f t="shared" si="18"/>
        <v>3.07</v>
      </c>
      <c r="H376" s="63"/>
      <c r="I376" s="64"/>
    </row>
    <row r="377" spans="1:9" ht="15">
      <c r="A377" s="74"/>
      <c r="B377" s="80"/>
      <c r="C377" s="81"/>
      <c r="D377" s="74"/>
      <c r="E377" s="78" t="s">
        <v>33</v>
      </c>
      <c r="F377" s="64"/>
      <c r="G377" s="63">
        <f>TRUNC(SUM(G371:G376),2)</f>
        <v>61.77</v>
      </c>
      <c r="H377" s="63"/>
      <c r="I377" s="64"/>
    </row>
    <row r="378" spans="1:9" ht="45">
      <c r="A378" s="68" t="s">
        <v>1597</v>
      </c>
      <c r="B378" s="72" t="s">
        <v>1589</v>
      </c>
      <c r="C378" s="73" t="s">
        <v>1590</v>
      </c>
      <c r="D378" s="19" t="s">
        <v>17</v>
      </c>
      <c r="E378" s="56">
        <v>55.93</v>
      </c>
      <c r="F378" s="18">
        <f>TRUNC(F379,2)</f>
        <v>62.57</v>
      </c>
      <c r="G378" s="18">
        <f>TRUNC(F378*1.2882,2)</f>
        <v>80.599999999999994</v>
      </c>
      <c r="H378" s="18">
        <f>TRUNC(F378*E378,2)</f>
        <v>3499.54</v>
      </c>
      <c r="I378" s="56">
        <f>TRUNC(E378*G378,2)</f>
        <v>4507.95</v>
      </c>
    </row>
    <row r="379" spans="1:9" ht="45">
      <c r="A379" s="74"/>
      <c r="B379" s="80" t="s">
        <v>1589</v>
      </c>
      <c r="C379" s="81" t="s">
        <v>1590</v>
      </c>
      <c r="D379" s="74" t="s">
        <v>17</v>
      </c>
      <c r="E379" s="78">
        <v>1</v>
      </c>
      <c r="F379" s="64">
        <f>G387</f>
        <v>62.57</v>
      </c>
      <c r="G379" s="63">
        <f t="shared" ref="G379:G386" si="19">TRUNC(E379*F379,2)</f>
        <v>62.57</v>
      </c>
      <c r="H379" s="63"/>
      <c r="I379" s="64"/>
    </row>
    <row r="380" spans="1:9" ht="30">
      <c r="A380" s="74"/>
      <c r="B380" s="80" t="s">
        <v>44</v>
      </c>
      <c r="C380" s="81" t="s">
        <v>45</v>
      </c>
      <c r="D380" s="74" t="s">
        <v>46</v>
      </c>
      <c r="E380" s="78">
        <v>0.1</v>
      </c>
      <c r="F380" s="64">
        <f>TRUNC(18.81,2)</f>
        <v>18.809999999999999</v>
      </c>
      <c r="G380" s="63">
        <f t="shared" si="19"/>
        <v>1.88</v>
      </c>
      <c r="H380" s="63"/>
      <c r="I380" s="64"/>
    </row>
    <row r="381" spans="1:9" ht="15">
      <c r="A381" s="74"/>
      <c r="B381" s="80" t="s">
        <v>47</v>
      </c>
      <c r="C381" s="81" t="s">
        <v>48</v>
      </c>
      <c r="D381" s="74" t="s">
        <v>23</v>
      </c>
      <c r="E381" s="78">
        <v>0.4</v>
      </c>
      <c r="F381" s="64">
        <f>TRUNC(7.16,2)</f>
        <v>7.16</v>
      </c>
      <c r="G381" s="63">
        <f t="shared" si="19"/>
        <v>2.86</v>
      </c>
      <c r="H381" s="63"/>
      <c r="I381" s="64"/>
    </row>
    <row r="382" spans="1:9" ht="15">
      <c r="A382" s="74"/>
      <c r="B382" s="80" t="s">
        <v>1471</v>
      </c>
      <c r="C382" s="81" t="s">
        <v>1472</v>
      </c>
      <c r="D382" s="74" t="s">
        <v>23</v>
      </c>
      <c r="E382" s="78">
        <v>0.7</v>
      </c>
      <c r="F382" s="64">
        <f>TRUNC(11.67,2)</f>
        <v>11.67</v>
      </c>
      <c r="G382" s="63">
        <f t="shared" si="19"/>
        <v>8.16</v>
      </c>
      <c r="H382" s="63"/>
      <c r="I382" s="64"/>
    </row>
    <row r="383" spans="1:9" ht="30">
      <c r="A383" s="74"/>
      <c r="B383" s="80" t="s">
        <v>49</v>
      </c>
      <c r="C383" s="81" t="s">
        <v>50</v>
      </c>
      <c r="D383" s="74" t="s">
        <v>51</v>
      </c>
      <c r="E383" s="78">
        <v>1.0815000000000001</v>
      </c>
      <c r="F383" s="64">
        <f>TRUNC(15.2,2)</f>
        <v>15.2</v>
      </c>
      <c r="G383" s="63">
        <f t="shared" si="19"/>
        <v>16.43</v>
      </c>
      <c r="H383" s="63"/>
      <c r="I383" s="64"/>
    </row>
    <row r="384" spans="1:9" ht="30">
      <c r="A384" s="74"/>
      <c r="B384" s="80" t="s">
        <v>138</v>
      </c>
      <c r="C384" s="81" t="s">
        <v>139</v>
      </c>
      <c r="D384" s="74" t="s">
        <v>51</v>
      </c>
      <c r="E384" s="78">
        <v>1.0815000000000001</v>
      </c>
      <c r="F384" s="64">
        <f>TRUNC(21,2)</f>
        <v>21</v>
      </c>
      <c r="G384" s="63">
        <f t="shared" si="19"/>
        <v>22.71</v>
      </c>
      <c r="H384" s="63"/>
      <c r="I384" s="64"/>
    </row>
    <row r="385" spans="1:9" ht="15">
      <c r="A385" s="74"/>
      <c r="B385" s="80" t="s">
        <v>1591</v>
      </c>
      <c r="C385" s="81" t="s">
        <v>1592</v>
      </c>
      <c r="D385" s="74" t="s">
        <v>23</v>
      </c>
      <c r="E385" s="78">
        <v>0.93</v>
      </c>
      <c r="F385" s="64">
        <f>TRUNC(7.932,2)</f>
        <v>7.93</v>
      </c>
      <c r="G385" s="63">
        <f t="shared" si="19"/>
        <v>7.37</v>
      </c>
      <c r="H385" s="63"/>
      <c r="I385" s="64"/>
    </row>
    <row r="386" spans="1:9" ht="15">
      <c r="A386" s="74"/>
      <c r="B386" s="80" t="s">
        <v>1593</v>
      </c>
      <c r="C386" s="81" t="s">
        <v>1594</v>
      </c>
      <c r="D386" s="74" t="s">
        <v>17</v>
      </c>
      <c r="E386" s="78">
        <v>1</v>
      </c>
      <c r="F386" s="64">
        <f>TRUNC(3.1645,2)</f>
        <v>3.16</v>
      </c>
      <c r="G386" s="63">
        <f t="shared" si="19"/>
        <v>3.16</v>
      </c>
      <c r="H386" s="63"/>
      <c r="I386" s="64"/>
    </row>
    <row r="387" spans="1:9" ht="15">
      <c r="A387" s="74"/>
      <c r="B387" s="80"/>
      <c r="C387" s="81"/>
      <c r="D387" s="74"/>
      <c r="E387" s="78" t="s">
        <v>33</v>
      </c>
      <c r="F387" s="64"/>
      <c r="G387" s="63">
        <f>TRUNC(SUM(G380:G386),2)</f>
        <v>62.57</v>
      </c>
      <c r="H387" s="63"/>
      <c r="I387" s="64"/>
    </row>
    <row r="388" spans="1:9" ht="61.5">
      <c r="A388" s="68" t="s">
        <v>1809</v>
      </c>
      <c r="B388" s="98" t="s">
        <v>812</v>
      </c>
      <c r="C388" s="23" t="s">
        <v>1674</v>
      </c>
      <c r="D388" s="68" t="s">
        <v>17</v>
      </c>
      <c r="E388" s="24">
        <v>45</v>
      </c>
      <c r="F388" s="24">
        <f>TRUNC(F389,2)</f>
        <v>18.670000000000002</v>
      </c>
      <c r="G388" s="24">
        <f>TRUNC(F388*1.2882,2)</f>
        <v>24.05</v>
      </c>
      <c r="H388" s="24">
        <f>TRUNC(F388*E388,2)</f>
        <v>840.15</v>
      </c>
      <c r="I388" s="24">
        <f>TRUNC(E388*G388,2)</f>
        <v>1082.25</v>
      </c>
    </row>
    <row r="389" spans="1:9" ht="45">
      <c r="A389" s="74"/>
      <c r="B389" s="80" t="s">
        <v>812</v>
      </c>
      <c r="C389" s="81" t="s">
        <v>813</v>
      </c>
      <c r="D389" s="74" t="s">
        <v>17</v>
      </c>
      <c r="E389" s="78">
        <v>1</v>
      </c>
      <c r="F389" s="64">
        <f>G394</f>
        <v>18.670000000000002</v>
      </c>
      <c r="G389" s="64">
        <f>TRUNC(E389*F389,2)</f>
        <v>18.670000000000002</v>
      </c>
      <c r="H389" s="64"/>
      <c r="I389" s="78"/>
    </row>
    <row r="390" spans="1:9" ht="30">
      <c r="A390" s="74"/>
      <c r="B390" s="80" t="s">
        <v>814</v>
      </c>
      <c r="C390" s="81" t="s">
        <v>815</v>
      </c>
      <c r="D390" s="74" t="s">
        <v>816</v>
      </c>
      <c r="E390" s="78">
        <v>0.13</v>
      </c>
      <c r="F390" s="64">
        <v>9.3947000000000003</v>
      </c>
      <c r="G390" s="64">
        <f>TRUNC(E390*F390,2)</f>
        <v>1.22</v>
      </c>
      <c r="H390" s="64"/>
      <c r="I390" s="78"/>
    </row>
    <row r="391" spans="1:9" ht="15">
      <c r="A391" s="74"/>
      <c r="B391" s="80" t="s">
        <v>817</v>
      </c>
      <c r="C391" s="81" t="s">
        <v>818</v>
      </c>
      <c r="D391" s="74" t="s">
        <v>46</v>
      </c>
      <c r="E391" s="78">
        <v>0.65</v>
      </c>
      <c r="F391" s="64">
        <v>13.2898</v>
      </c>
      <c r="G391" s="64">
        <f>TRUNC(E391*F391,2)</f>
        <v>8.6300000000000008</v>
      </c>
      <c r="H391" s="64"/>
      <c r="I391" s="78"/>
    </row>
    <row r="392" spans="1:9" ht="30">
      <c r="A392" s="74"/>
      <c r="B392" s="80" t="s">
        <v>49</v>
      </c>
      <c r="C392" s="81" t="s">
        <v>50</v>
      </c>
      <c r="D392" s="74" t="s">
        <v>51</v>
      </c>
      <c r="E392" s="78">
        <v>0.1545</v>
      </c>
      <c r="F392" s="64">
        <f>TRUNC(15.2,2)</f>
        <v>15.2</v>
      </c>
      <c r="G392" s="64">
        <f>TRUNC(E392*F392,2)</f>
        <v>2.34</v>
      </c>
      <c r="H392" s="64"/>
      <c r="I392" s="78"/>
    </row>
    <row r="393" spans="1:9" ht="15">
      <c r="A393" s="74"/>
      <c r="B393" s="80" t="s">
        <v>782</v>
      </c>
      <c r="C393" s="81" t="s">
        <v>783</v>
      </c>
      <c r="D393" s="74" t="s">
        <v>51</v>
      </c>
      <c r="E393" s="78">
        <v>0.309</v>
      </c>
      <c r="F393" s="64">
        <f>TRUNC(21,2)</f>
        <v>21</v>
      </c>
      <c r="G393" s="64">
        <f>TRUNC(E393*F393,2)</f>
        <v>6.48</v>
      </c>
      <c r="H393" s="64"/>
      <c r="I393" s="78"/>
    </row>
    <row r="394" spans="1:9" ht="15">
      <c r="A394" s="74"/>
      <c r="B394" s="80"/>
      <c r="C394" s="81"/>
      <c r="D394" s="74"/>
      <c r="E394" s="78" t="s">
        <v>33</v>
      </c>
      <c r="F394" s="64"/>
      <c r="G394" s="64">
        <f>TRUNC(SUM(G390:G393),2)</f>
        <v>18.670000000000002</v>
      </c>
      <c r="H394" s="64"/>
      <c r="I394" s="78"/>
    </row>
    <row r="395" spans="1:9" ht="61.5">
      <c r="A395" s="68" t="s">
        <v>1860</v>
      </c>
      <c r="B395" s="98" t="s">
        <v>1861</v>
      </c>
      <c r="C395" s="23" t="s">
        <v>1867</v>
      </c>
      <c r="D395" s="68" t="s">
        <v>17</v>
      </c>
      <c r="E395" s="24">
        <v>4.4000000000000004</v>
      </c>
      <c r="F395" s="24">
        <f>TRUNC(F396,2)</f>
        <v>185.31</v>
      </c>
      <c r="G395" s="24">
        <f>TRUNC(F395*1.2882,2)</f>
        <v>238.71</v>
      </c>
      <c r="H395" s="24">
        <f>TRUNC(F395*E395,2)</f>
        <v>815.36</v>
      </c>
      <c r="I395" s="24">
        <f>TRUNC(E395*G395,2)</f>
        <v>1050.32</v>
      </c>
    </row>
    <row r="396" spans="1:9" ht="45">
      <c r="A396" s="74"/>
      <c r="B396" s="80" t="s">
        <v>1861</v>
      </c>
      <c r="C396" s="81" t="s">
        <v>1862</v>
      </c>
      <c r="D396" s="74" t="s">
        <v>17</v>
      </c>
      <c r="E396" s="78">
        <v>1</v>
      </c>
      <c r="F396" s="64">
        <f>G405</f>
        <v>185.31</v>
      </c>
      <c r="G396" s="64">
        <f t="shared" ref="G396:G404" si="20">TRUNC(E396*F396,2)</f>
        <v>185.31</v>
      </c>
      <c r="H396" s="64"/>
      <c r="I396" s="78"/>
    </row>
    <row r="397" spans="1:9" ht="15">
      <c r="A397" s="74"/>
      <c r="B397" s="80" t="s">
        <v>1522</v>
      </c>
      <c r="C397" s="81" t="s">
        <v>1523</v>
      </c>
      <c r="D397" s="74" t="s">
        <v>46</v>
      </c>
      <c r="E397" s="78">
        <v>0.04</v>
      </c>
      <c r="F397" s="64">
        <f>TRUNC(32.9,2)</f>
        <v>32.9</v>
      </c>
      <c r="G397" s="64">
        <f t="shared" si="20"/>
        <v>1.31</v>
      </c>
      <c r="H397" s="64"/>
      <c r="I397" s="78"/>
    </row>
    <row r="398" spans="1:9" ht="30">
      <c r="A398" s="74"/>
      <c r="B398" s="80" t="s">
        <v>1413</v>
      </c>
      <c r="C398" s="81" t="s">
        <v>1414</v>
      </c>
      <c r="D398" s="74" t="s">
        <v>23</v>
      </c>
      <c r="E398" s="78">
        <v>1.87</v>
      </c>
      <c r="F398" s="64">
        <f>TRUNC(25.43,2)</f>
        <v>25.43</v>
      </c>
      <c r="G398" s="64">
        <f t="shared" si="20"/>
        <v>47.55</v>
      </c>
      <c r="H398" s="64"/>
      <c r="I398" s="78"/>
    </row>
    <row r="399" spans="1:9" ht="45">
      <c r="A399" s="74"/>
      <c r="B399" s="80" t="s">
        <v>1863</v>
      </c>
      <c r="C399" s="81" t="s">
        <v>1864</v>
      </c>
      <c r="D399" s="74" t="s">
        <v>17</v>
      </c>
      <c r="E399" s="78">
        <v>1</v>
      </c>
      <c r="F399" s="64">
        <f>TRUNC(56,2)</f>
        <v>56</v>
      </c>
      <c r="G399" s="64">
        <f t="shared" si="20"/>
        <v>56</v>
      </c>
      <c r="H399" s="64"/>
      <c r="I399" s="78"/>
    </row>
    <row r="400" spans="1:9" ht="15">
      <c r="A400" s="74"/>
      <c r="B400" s="80" t="s">
        <v>56</v>
      </c>
      <c r="C400" s="81" t="s">
        <v>57</v>
      </c>
      <c r="D400" s="74" t="s">
        <v>51</v>
      </c>
      <c r="E400" s="78">
        <v>0.35399999999999998</v>
      </c>
      <c r="F400" s="64">
        <f>TRUNC(22.72,2)</f>
        <v>22.72</v>
      </c>
      <c r="G400" s="64">
        <f t="shared" si="20"/>
        <v>8.0399999999999991</v>
      </c>
      <c r="H400" s="64"/>
      <c r="I400" s="78"/>
    </row>
    <row r="401" spans="1:9" ht="15">
      <c r="A401" s="74"/>
      <c r="B401" s="80" t="s">
        <v>240</v>
      </c>
      <c r="C401" s="81" t="s">
        <v>241</v>
      </c>
      <c r="D401" s="74" t="s">
        <v>51</v>
      </c>
      <c r="E401" s="78">
        <v>0.501</v>
      </c>
      <c r="F401" s="64">
        <f>TRUNC(29.28,2)</f>
        <v>29.28</v>
      </c>
      <c r="G401" s="64">
        <f t="shared" si="20"/>
        <v>14.66</v>
      </c>
      <c r="H401" s="64"/>
      <c r="I401" s="78"/>
    </row>
    <row r="402" spans="1:9" ht="45">
      <c r="A402" s="74"/>
      <c r="B402" s="80" t="s">
        <v>1526</v>
      </c>
      <c r="C402" s="81" t="s">
        <v>1865</v>
      </c>
      <c r="D402" s="74" t="s">
        <v>55</v>
      </c>
      <c r="E402" s="78">
        <v>4.3999999999999997E-2</v>
      </c>
      <c r="F402" s="64">
        <f>TRUNC(545.14,2)</f>
        <v>545.14</v>
      </c>
      <c r="G402" s="64">
        <f t="shared" si="20"/>
        <v>23.98</v>
      </c>
      <c r="H402" s="64"/>
      <c r="I402" s="78"/>
    </row>
    <row r="403" spans="1:9" ht="30">
      <c r="A403" s="74"/>
      <c r="B403" s="80" t="s">
        <v>1461</v>
      </c>
      <c r="C403" s="81" t="s">
        <v>1462</v>
      </c>
      <c r="D403" s="74" t="s">
        <v>46</v>
      </c>
      <c r="E403" s="78">
        <v>0.99099999999999999</v>
      </c>
      <c r="F403" s="64">
        <f>TRUNC(18.14,2)</f>
        <v>18.14</v>
      </c>
      <c r="G403" s="64">
        <f t="shared" si="20"/>
        <v>17.97</v>
      </c>
      <c r="H403" s="64"/>
      <c r="I403" s="78"/>
    </row>
    <row r="404" spans="1:9" ht="30">
      <c r="A404" s="74"/>
      <c r="B404" s="80" t="s">
        <v>1527</v>
      </c>
      <c r="C404" s="81" t="s">
        <v>1866</v>
      </c>
      <c r="D404" s="74" t="s">
        <v>23</v>
      </c>
      <c r="E404" s="78">
        <v>0.97</v>
      </c>
      <c r="F404" s="64">
        <f>TRUNC(16.29,2)</f>
        <v>16.29</v>
      </c>
      <c r="G404" s="64">
        <f t="shared" si="20"/>
        <v>15.8</v>
      </c>
      <c r="H404" s="64"/>
      <c r="I404" s="78"/>
    </row>
    <row r="405" spans="1:9" ht="15">
      <c r="A405" s="74"/>
      <c r="B405" s="80"/>
      <c r="C405" s="81"/>
      <c r="D405" s="74"/>
      <c r="E405" s="78" t="s">
        <v>33</v>
      </c>
      <c r="F405" s="64"/>
      <c r="G405" s="64">
        <f>TRUNC(SUM(G397:G404),2)</f>
        <v>185.31</v>
      </c>
      <c r="H405" s="64"/>
      <c r="I405" s="78"/>
    </row>
    <row r="406" spans="1:9" s="169" customFormat="1" ht="15.75">
      <c r="A406" s="240" t="s">
        <v>18</v>
      </c>
      <c r="B406" s="241"/>
      <c r="C406" s="242"/>
      <c r="D406" s="240"/>
      <c r="E406" s="243"/>
      <c r="F406" s="244"/>
      <c r="G406" s="335" t="s">
        <v>356</v>
      </c>
      <c r="H406" s="336"/>
      <c r="I406" s="244">
        <f>I203+I215+I223+I231+I243+I254+I262+I270+I278+I289+I299+I307+I315+I323+I331+I338+I344+I350+I356+I362+I369+I378+I388+I395</f>
        <v>268473.21000000002</v>
      </c>
    </row>
    <row r="407" spans="1:9" ht="14.25" customHeight="1">
      <c r="A407" s="53" t="s">
        <v>20</v>
      </c>
      <c r="B407" s="54"/>
      <c r="C407" s="334" t="s">
        <v>186</v>
      </c>
      <c r="D407" s="334"/>
      <c r="E407" s="334"/>
      <c r="F407" s="334"/>
      <c r="G407" s="334"/>
      <c r="H407" s="334"/>
      <c r="I407" s="334"/>
    </row>
    <row r="408" spans="1:9" s="57" customFormat="1" ht="75">
      <c r="A408" s="13" t="s">
        <v>197</v>
      </c>
      <c r="B408" s="14" t="s">
        <v>187</v>
      </c>
      <c r="C408" s="326" t="s">
        <v>188</v>
      </c>
      <c r="D408" s="239" t="s">
        <v>17</v>
      </c>
      <c r="E408" s="239">
        <v>57</v>
      </c>
      <c r="F408" s="18">
        <f>TRUNC(F409,2)</f>
        <v>99.27</v>
      </c>
      <c r="G408" s="18">
        <f>TRUNC(F408*1.2882,2)</f>
        <v>127.87</v>
      </c>
      <c r="H408" s="18">
        <f>TRUNC(F408*E408,2)</f>
        <v>5658.39</v>
      </c>
      <c r="I408" s="56">
        <f>TRUNC(E408*G408,2)</f>
        <v>7288.59</v>
      </c>
    </row>
    <row r="409" spans="1:9" ht="75">
      <c r="A409" s="92"/>
      <c r="B409" s="93" t="s">
        <v>187</v>
      </c>
      <c r="C409" s="94" t="s">
        <v>188</v>
      </c>
      <c r="D409" s="92" t="s">
        <v>17</v>
      </c>
      <c r="E409" s="95">
        <v>1</v>
      </c>
      <c r="F409" s="96">
        <f>G415</f>
        <v>99.27</v>
      </c>
      <c r="G409" s="97">
        <f t="shared" ref="G409:G414" si="21">TRUNC(E409*F409,2)</f>
        <v>99.27</v>
      </c>
      <c r="H409" s="97"/>
      <c r="I409" s="96"/>
    </row>
    <row r="410" spans="1:9" ht="15">
      <c r="A410" s="92"/>
      <c r="B410" s="93" t="s">
        <v>189</v>
      </c>
      <c r="C410" s="94" t="s">
        <v>190</v>
      </c>
      <c r="D410" s="92" t="s">
        <v>7</v>
      </c>
      <c r="E410" s="95">
        <v>31</v>
      </c>
      <c r="F410" s="96">
        <f>TRUNC(1.15,2)</f>
        <v>1.1499999999999999</v>
      </c>
      <c r="G410" s="97">
        <f t="shared" si="21"/>
        <v>35.65</v>
      </c>
      <c r="H410" s="97"/>
      <c r="I410" s="96"/>
    </row>
    <row r="411" spans="1:9" ht="15">
      <c r="A411" s="92"/>
      <c r="B411" s="93" t="s">
        <v>191</v>
      </c>
      <c r="C411" s="94" t="s">
        <v>192</v>
      </c>
      <c r="D411" s="92" t="s">
        <v>7</v>
      </c>
      <c r="E411" s="95">
        <v>6</v>
      </c>
      <c r="F411" s="96">
        <f>TRUNC(0.72,2)</f>
        <v>0.72</v>
      </c>
      <c r="G411" s="97">
        <f t="shared" si="21"/>
        <v>4.32</v>
      </c>
      <c r="H411" s="97"/>
      <c r="I411" s="96"/>
    </row>
    <row r="412" spans="1:9" ht="30">
      <c r="A412" s="92"/>
      <c r="B412" s="93" t="s">
        <v>49</v>
      </c>
      <c r="C412" s="94" t="s">
        <v>50</v>
      </c>
      <c r="D412" s="92" t="s">
        <v>51</v>
      </c>
      <c r="E412" s="95">
        <v>0.77249999999999996</v>
      </c>
      <c r="F412" s="96">
        <f>TRUNC(15.2,2)</f>
        <v>15.2</v>
      </c>
      <c r="G412" s="97">
        <f t="shared" si="21"/>
        <v>11.74</v>
      </c>
      <c r="H412" s="97"/>
      <c r="I412" s="96"/>
    </row>
    <row r="413" spans="1:9" ht="15">
      <c r="A413" s="92"/>
      <c r="B413" s="93" t="s">
        <v>76</v>
      </c>
      <c r="C413" s="94" t="s">
        <v>77</v>
      </c>
      <c r="D413" s="92" t="s">
        <v>51</v>
      </c>
      <c r="E413" s="95">
        <v>1.5449999999999999</v>
      </c>
      <c r="F413" s="96">
        <f>TRUNC(21,2)</f>
        <v>21</v>
      </c>
      <c r="G413" s="97">
        <f t="shared" si="21"/>
        <v>32.44</v>
      </c>
      <c r="H413" s="97"/>
      <c r="I413" s="96"/>
    </row>
    <row r="414" spans="1:9" ht="30">
      <c r="A414" s="92"/>
      <c r="B414" s="93" t="s">
        <v>193</v>
      </c>
      <c r="C414" s="94" t="s">
        <v>194</v>
      </c>
      <c r="D414" s="92" t="s">
        <v>55</v>
      </c>
      <c r="E414" s="95">
        <v>3.2500000000000001E-2</v>
      </c>
      <c r="F414" s="96">
        <f>TRUNC(465.4953,2)</f>
        <v>465.49</v>
      </c>
      <c r="G414" s="97">
        <f t="shared" si="21"/>
        <v>15.12</v>
      </c>
      <c r="H414" s="97"/>
      <c r="I414" s="96"/>
    </row>
    <row r="415" spans="1:9" ht="15">
      <c r="A415" s="92"/>
      <c r="B415" s="93"/>
      <c r="C415" s="94"/>
      <c r="D415" s="92"/>
      <c r="E415" s="95" t="s">
        <v>33</v>
      </c>
      <c r="F415" s="96"/>
      <c r="G415" s="97">
        <f>TRUNC(SUM(G410:G414),2)</f>
        <v>99.27</v>
      </c>
      <c r="H415" s="97"/>
      <c r="I415" s="96"/>
    </row>
    <row r="416" spans="1:9" ht="90" customHeight="1">
      <c r="A416" s="68" t="s">
        <v>198</v>
      </c>
      <c r="B416" s="72" t="s">
        <v>195</v>
      </c>
      <c r="C416" s="73" t="s">
        <v>196</v>
      </c>
      <c r="D416" s="19" t="s">
        <v>17</v>
      </c>
      <c r="E416" s="56">
        <v>595</v>
      </c>
      <c r="F416" s="18">
        <f>TRUNC(F417,2)</f>
        <v>48.7</v>
      </c>
      <c r="G416" s="18">
        <f>TRUNC(F416*1.2882,2)</f>
        <v>62.73</v>
      </c>
      <c r="H416" s="18">
        <f>TRUNC(F416*E416,2)</f>
        <v>28976.5</v>
      </c>
      <c r="I416" s="56">
        <f>TRUNC(E416*G416,2)</f>
        <v>37324.35</v>
      </c>
    </row>
    <row r="417" spans="1:9" ht="75">
      <c r="A417" s="92"/>
      <c r="B417" s="93" t="s">
        <v>195</v>
      </c>
      <c r="C417" s="94" t="s">
        <v>196</v>
      </c>
      <c r="D417" s="92" t="s">
        <v>17</v>
      </c>
      <c r="E417" s="95">
        <v>1</v>
      </c>
      <c r="F417" s="96">
        <f>G423</f>
        <v>48.7</v>
      </c>
      <c r="G417" s="97">
        <f t="shared" ref="G417:G422" si="22">TRUNC(E417*F417,2)</f>
        <v>48.7</v>
      </c>
      <c r="H417" s="97"/>
      <c r="I417" s="96"/>
    </row>
    <row r="418" spans="1:9" ht="15">
      <c r="A418" s="92"/>
      <c r="B418" s="93" t="s">
        <v>189</v>
      </c>
      <c r="C418" s="94" t="s">
        <v>190</v>
      </c>
      <c r="D418" s="92" t="s">
        <v>7</v>
      </c>
      <c r="E418" s="95">
        <v>17</v>
      </c>
      <c r="F418" s="96">
        <f>TRUNC(1.15,2)</f>
        <v>1.1499999999999999</v>
      </c>
      <c r="G418" s="97">
        <f t="shared" si="22"/>
        <v>19.55</v>
      </c>
      <c r="H418" s="97"/>
      <c r="I418" s="96"/>
    </row>
    <row r="419" spans="1:9" ht="15">
      <c r="A419" s="92"/>
      <c r="B419" s="93" t="s">
        <v>191</v>
      </c>
      <c r="C419" s="94" t="s">
        <v>192</v>
      </c>
      <c r="D419" s="92" t="s">
        <v>7</v>
      </c>
      <c r="E419" s="95">
        <v>1</v>
      </c>
      <c r="F419" s="96">
        <f>TRUNC(0.72,2)</f>
        <v>0.72</v>
      </c>
      <c r="G419" s="97">
        <f t="shared" si="22"/>
        <v>0.72</v>
      </c>
      <c r="H419" s="97"/>
      <c r="I419" s="96"/>
    </row>
    <row r="420" spans="1:9" ht="30">
      <c r="A420" s="92"/>
      <c r="B420" s="93" t="s">
        <v>49</v>
      </c>
      <c r="C420" s="94" t="s">
        <v>50</v>
      </c>
      <c r="D420" s="92" t="s">
        <v>51</v>
      </c>
      <c r="E420" s="95">
        <v>0.41200000000000003</v>
      </c>
      <c r="F420" s="96">
        <f>TRUNC(15.2,2)</f>
        <v>15.2</v>
      </c>
      <c r="G420" s="97">
        <f t="shared" si="22"/>
        <v>6.26</v>
      </c>
      <c r="H420" s="97"/>
      <c r="I420" s="96"/>
    </row>
    <row r="421" spans="1:9" ht="15">
      <c r="A421" s="92"/>
      <c r="B421" s="93" t="s">
        <v>76</v>
      </c>
      <c r="C421" s="94" t="s">
        <v>77</v>
      </c>
      <c r="D421" s="92" t="s">
        <v>51</v>
      </c>
      <c r="E421" s="95">
        <v>0.83430000000000004</v>
      </c>
      <c r="F421" s="96">
        <f>TRUNC(21,2)</f>
        <v>21</v>
      </c>
      <c r="G421" s="97">
        <f t="shared" si="22"/>
        <v>17.52</v>
      </c>
      <c r="H421" s="97"/>
      <c r="I421" s="96"/>
    </row>
    <row r="422" spans="1:9" ht="30">
      <c r="A422" s="92"/>
      <c r="B422" s="93" t="s">
        <v>193</v>
      </c>
      <c r="C422" s="94" t="s">
        <v>194</v>
      </c>
      <c r="D422" s="92" t="s">
        <v>55</v>
      </c>
      <c r="E422" s="95">
        <v>0.01</v>
      </c>
      <c r="F422" s="96">
        <f>TRUNC(465.4953,2)</f>
        <v>465.49</v>
      </c>
      <c r="G422" s="97">
        <f t="shared" si="22"/>
        <v>4.6500000000000004</v>
      </c>
      <c r="H422" s="97"/>
      <c r="I422" s="96"/>
    </row>
    <row r="423" spans="1:9" ht="15">
      <c r="A423" s="92"/>
      <c r="B423" s="93"/>
      <c r="C423" s="94"/>
      <c r="D423" s="92"/>
      <c r="E423" s="95" t="s">
        <v>33</v>
      </c>
      <c r="F423" s="96"/>
      <c r="G423" s="97">
        <f>TRUNC(SUM(G418:G422),2)</f>
        <v>48.7</v>
      </c>
      <c r="H423" s="97"/>
      <c r="I423" s="96"/>
    </row>
    <row r="424" spans="1:9" ht="60">
      <c r="A424" s="68" t="s">
        <v>199</v>
      </c>
      <c r="B424" s="72" t="s">
        <v>2023</v>
      </c>
      <c r="C424" s="23" t="s">
        <v>2022</v>
      </c>
      <c r="D424" s="19" t="s">
        <v>17</v>
      </c>
      <c r="E424" s="56">
        <v>1.9</v>
      </c>
      <c r="F424" s="18">
        <f>TRUNC(F425,2)</f>
        <v>55.43</v>
      </c>
      <c r="G424" s="18">
        <f>TRUNC(F424*1.2882,2)</f>
        <v>71.400000000000006</v>
      </c>
      <c r="H424" s="18">
        <f>TRUNC(F424*E424,2)</f>
        <v>105.31</v>
      </c>
      <c r="I424" s="56">
        <f>TRUNC(E424*G424,2)</f>
        <v>135.66</v>
      </c>
    </row>
    <row r="425" spans="1:9" ht="60">
      <c r="A425" s="92"/>
      <c r="B425" s="93" t="s">
        <v>1922</v>
      </c>
      <c r="C425" s="94" t="s">
        <v>1923</v>
      </c>
      <c r="D425" s="92" t="s">
        <v>17</v>
      </c>
      <c r="E425" s="95">
        <v>1</v>
      </c>
      <c r="F425" s="96">
        <f>G430</f>
        <v>55.43</v>
      </c>
      <c r="G425" s="97">
        <f>TRUNC(E425*F425,2)</f>
        <v>55.43</v>
      </c>
      <c r="H425" s="97"/>
      <c r="I425" s="96"/>
    </row>
    <row r="426" spans="1:9" ht="15">
      <c r="A426" s="92"/>
      <c r="B426" s="93" t="s">
        <v>1924</v>
      </c>
      <c r="C426" s="94" t="s">
        <v>1925</v>
      </c>
      <c r="D426" s="92" t="s">
        <v>7</v>
      </c>
      <c r="E426" s="95">
        <v>13</v>
      </c>
      <c r="F426" s="96">
        <f>TRUNC(1.96,2)</f>
        <v>1.96</v>
      </c>
      <c r="G426" s="97">
        <f>TRUNC(E426*F426,2)</f>
        <v>25.48</v>
      </c>
      <c r="H426" s="97"/>
      <c r="I426" s="96"/>
    </row>
    <row r="427" spans="1:9" ht="30">
      <c r="A427" s="92"/>
      <c r="B427" s="93" t="s">
        <v>49</v>
      </c>
      <c r="C427" s="94" t="s">
        <v>50</v>
      </c>
      <c r="D427" s="92" t="s">
        <v>51</v>
      </c>
      <c r="E427" s="95">
        <v>0.72099999999999997</v>
      </c>
      <c r="F427" s="96">
        <f>TRUNC(15.2,2)</f>
        <v>15.2</v>
      </c>
      <c r="G427" s="97">
        <f>TRUNC(E427*F427,2)</f>
        <v>10.95</v>
      </c>
      <c r="H427" s="97"/>
      <c r="I427" s="96"/>
    </row>
    <row r="428" spans="1:9" ht="15">
      <c r="A428" s="92"/>
      <c r="B428" s="93" t="s">
        <v>76</v>
      </c>
      <c r="C428" s="94" t="s">
        <v>77</v>
      </c>
      <c r="D428" s="92" t="s">
        <v>51</v>
      </c>
      <c r="E428" s="95">
        <v>0.72099999999999997</v>
      </c>
      <c r="F428" s="96">
        <f>TRUNC(21,2)</f>
        <v>21</v>
      </c>
      <c r="G428" s="97">
        <f>TRUNC(E428*F428,2)</f>
        <v>15.14</v>
      </c>
      <c r="H428" s="97"/>
      <c r="I428" s="96"/>
    </row>
    <row r="429" spans="1:9" ht="15">
      <c r="A429" s="92"/>
      <c r="B429" s="93" t="s">
        <v>1926</v>
      </c>
      <c r="C429" s="94" t="s">
        <v>1927</v>
      </c>
      <c r="D429" s="92" t="s">
        <v>55</v>
      </c>
      <c r="E429" s="95">
        <v>0.01</v>
      </c>
      <c r="F429" s="96">
        <f>TRUNC(386.7687,2)</f>
        <v>386.76</v>
      </c>
      <c r="G429" s="97">
        <f>TRUNC(E429*F429,2)</f>
        <v>3.86</v>
      </c>
      <c r="H429" s="97"/>
      <c r="I429" s="96"/>
    </row>
    <row r="430" spans="1:9" ht="15">
      <c r="A430" s="92"/>
      <c r="B430" s="93"/>
      <c r="C430" s="94"/>
      <c r="D430" s="92"/>
      <c r="E430" s="95" t="s">
        <v>33</v>
      </c>
      <c r="F430" s="96"/>
      <c r="G430" s="97">
        <f>TRUNC(SUM(G426:G429),2)</f>
        <v>55.43</v>
      </c>
      <c r="H430" s="97"/>
      <c r="I430" s="96"/>
    </row>
    <row r="431" spans="1:9" ht="60">
      <c r="A431" s="68" t="s">
        <v>206</v>
      </c>
      <c r="B431" s="72" t="s">
        <v>1935</v>
      </c>
      <c r="C431" s="73" t="s">
        <v>1934</v>
      </c>
      <c r="D431" s="19" t="s">
        <v>17</v>
      </c>
      <c r="E431" s="56">
        <v>1.9</v>
      </c>
      <c r="F431" s="18">
        <f>TRUNC(F432+F437,2)</f>
        <v>67.650000000000006</v>
      </c>
      <c r="G431" s="18">
        <f>TRUNC(F431*1.2882,2)</f>
        <v>87.14</v>
      </c>
      <c r="H431" s="18">
        <f>TRUNC(F431*E431,2)</f>
        <v>128.53</v>
      </c>
      <c r="I431" s="56">
        <f>TRUNC(E431*G431,2)</f>
        <v>165.56</v>
      </c>
    </row>
    <row r="432" spans="1:9" ht="45">
      <c r="A432" s="92"/>
      <c r="B432" s="93" t="s">
        <v>1928</v>
      </c>
      <c r="C432" s="94" t="s">
        <v>1929</v>
      </c>
      <c r="D432" s="92" t="s">
        <v>17</v>
      </c>
      <c r="E432" s="95">
        <v>1</v>
      </c>
      <c r="F432" s="96">
        <f>G436</f>
        <v>51.6</v>
      </c>
      <c r="G432" s="97">
        <f>TRUNC(E432*F432,2)</f>
        <v>51.6</v>
      </c>
      <c r="H432" s="97"/>
      <c r="I432" s="96"/>
    </row>
    <row r="433" spans="1:9" ht="30">
      <c r="A433" s="92"/>
      <c r="B433" s="93" t="s">
        <v>49</v>
      </c>
      <c r="C433" s="94" t="s">
        <v>50</v>
      </c>
      <c r="D433" s="92" t="s">
        <v>51</v>
      </c>
      <c r="E433" s="95">
        <v>0.82400000000000007</v>
      </c>
      <c r="F433" s="96">
        <f>TRUNC(15.2,2)</f>
        <v>15.2</v>
      </c>
      <c r="G433" s="97">
        <f>TRUNC(E433*F433,2)</f>
        <v>12.52</v>
      </c>
      <c r="H433" s="97"/>
      <c r="I433" s="96"/>
    </row>
    <row r="434" spans="1:9" ht="15">
      <c r="A434" s="92"/>
      <c r="B434" s="93" t="s">
        <v>76</v>
      </c>
      <c r="C434" s="94" t="s">
        <v>77</v>
      </c>
      <c r="D434" s="92" t="s">
        <v>51</v>
      </c>
      <c r="E434" s="95">
        <v>0.82400000000000007</v>
      </c>
      <c r="F434" s="96">
        <f>TRUNC(21,2)</f>
        <v>21</v>
      </c>
      <c r="G434" s="97">
        <f>TRUNC(E434*F434,2)</f>
        <v>17.3</v>
      </c>
      <c r="H434" s="97"/>
      <c r="I434" s="96"/>
    </row>
    <row r="435" spans="1:9" ht="15">
      <c r="A435" s="92"/>
      <c r="B435" s="93" t="s">
        <v>215</v>
      </c>
      <c r="C435" s="94" t="s">
        <v>216</v>
      </c>
      <c r="D435" s="92" t="s">
        <v>55</v>
      </c>
      <c r="E435" s="95">
        <v>5.5E-2</v>
      </c>
      <c r="F435" s="96">
        <f>TRUNC(396.0435,2)</f>
        <v>396.04</v>
      </c>
      <c r="G435" s="97">
        <f>TRUNC(E435*F435,2)</f>
        <v>21.78</v>
      </c>
      <c r="H435" s="97"/>
      <c r="I435" s="96"/>
    </row>
    <row r="436" spans="1:9" ht="15">
      <c r="A436" s="92"/>
      <c r="B436" s="93"/>
      <c r="C436" s="94"/>
      <c r="D436" s="92"/>
      <c r="E436" s="95" t="s">
        <v>33</v>
      </c>
      <c r="F436" s="96"/>
      <c r="G436" s="97">
        <f>TRUNC(SUM(G433:G435),2)</f>
        <v>51.6</v>
      </c>
      <c r="H436" s="97"/>
      <c r="I436" s="96"/>
    </row>
    <row r="437" spans="1:9" ht="30">
      <c r="A437" s="92"/>
      <c r="B437" s="93" t="s">
        <v>1930</v>
      </c>
      <c r="C437" s="94" t="s">
        <v>1931</v>
      </c>
      <c r="D437" s="92" t="s">
        <v>46</v>
      </c>
      <c r="E437" s="95">
        <v>1</v>
      </c>
      <c r="F437" s="96">
        <f>G443</f>
        <v>16.05</v>
      </c>
      <c r="G437" s="97">
        <f t="shared" ref="G437:G442" si="23">TRUNC(E437*F437,2)</f>
        <v>16.05</v>
      </c>
      <c r="H437" s="97"/>
      <c r="I437" s="96"/>
    </row>
    <row r="438" spans="1:9" ht="30">
      <c r="A438" s="92"/>
      <c r="B438" s="93" t="s">
        <v>1012</v>
      </c>
      <c r="C438" s="94" t="s">
        <v>1013</v>
      </c>
      <c r="D438" s="92" t="s">
        <v>46</v>
      </c>
      <c r="E438" s="95">
        <v>2.5000000000000001E-2</v>
      </c>
      <c r="F438" s="96">
        <f>TRUNC(26.5,2)</f>
        <v>26.5</v>
      </c>
      <c r="G438" s="97">
        <f t="shared" si="23"/>
        <v>0.66</v>
      </c>
      <c r="H438" s="97"/>
      <c r="I438" s="96"/>
    </row>
    <row r="439" spans="1:9" ht="30">
      <c r="A439" s="92"/>
      <c r="B439" s="93" t="s">
        <v>1534</v>
      </c>
      <c r="C439" s="94" t="s">
        <v>1535</v>
      </c>
      <c r="D439" s="92" t="s">
        <v>7</v>
      </c>
      <c r="E439" s="95">
        <v>0.97</v>
      </c>
      <c r="F439" s="96">
        <f>TRUNC(0.22,2)</f>
        <v>0.22</v>
      </c>
      <c r="G439" s="97">
        <f t="shared" si="23"/>
        <v>0.21</v>
      </c>
      <c r="H439" s="97"/>
      <c r="I439" s="96"/>
    </row>
    <row r="440" spans="1:9" ht="15">
      <c r="A440" s="92"/>
      <c r="B440" s="93" t="s">
        <v>1528</v>
      </c>
      <c r="C440" s="94" t="s">
        <v>1529</v>
      </c>
      <c r="D440" s="92" t="s">
        <v>51</v>
      </c>
      <c r="E440" s="95">
        <v>7.9000000000000001E-2</v>
      </c>
      <c r="F440" s="96">
        <f>TRUNC(28.78,2)</f>
        <v>28.78</v>
      </c>
      <c r="G440" s="97">
        <f t="shared" si="23"/>
        <v>2.27</v>
      </c>
      <c r="H440" s="97"/>
      <c r="I440" s="96"/>
    </row>
    <row r="441" spans="1:9" ht="15">
      <c r="A441" s="92"/>
      <c r="B441" s="93" t="s">
        <v>1530</v>
      </c>
      <c r="C441" s="94" t="s">
        <v>1531</v>
      </c>
      <c r="D441" s="92" t="s">
        <v>51</v>
      </c>
      <c r="E441" s="95">
        <v>1.29E-2</v>
      </c>
      <c r="F441" s="96">
        <f>TRUNC(23.03,2)</f>
        <v>23.03</v>
      </c>
      <c r="G441" s="97">
        <f t="shared" si="23"/>
        <v>0.28999999999999998</v>
      </c>
      <c r="H441" s="97"/>
      <c r="I441" s="96"/>
    </row>
    <row r="442" spans="1:9" ht="15">
      <c r="A442" s="92"/>
      <c r="B442" s="93" t="s">
        <v>1932</v>
      </c>
      <c r="C442" s="94" t="s">
        <v>1933</v>
      </c>
      <c r="D442" s="92" t="s">
        <v>46</v>
      </c>
      <c r="E442" s="95">
        <v>1</v>
      </c>
      <c r="F442" s="96">
        <f>TRUNC(12.62,2)</f>
        <v>12.62</v>
      </c>
      <c r="G442" s="97">
        <f t="shared" si="23"/>
        <v>12.62</v>
      </c>
      <c r="H442" s="97"/>
      <c r="I442" s="96"/>
    </row>
    <row r="443" spans="1:9" ht="15">
      <c r="A443" s="92"/>
      <c r="B443" s="93"/>
      <c r="C443" s="94"/>
      <c r="D443" s="92"/>
      <c r="E443" s="95" t="s">
        <v>33</v>
      </c>
      <c r="F443" s="96"/>
      <c r="G443" s="97">
        <f>TRUNC(SUM(G438:G442),2)</f>
        <v>16.05</v>
      </c>
      <c r="H443" s="97"/>
      <c r="I443" s="96"/>
    </row>
    <row r="444" spans="1:9" ht="30">
      <c r="A444" s="68" t="s">
        <v>217</v>
      </c>
      <c r="B444" s="72" t="s">
        <v>207</v>
      </c>
      <c r="C444" s="73" t="s">
        <v>208</v>
      </c>
      <c r="D444" s="19" t="s">
        <v>17</v>
      </c>
      <c r="E444" s="56">
        <v>40</v>
      </c>
      <c r="F444" s="18">
        <f>TRUNC(F445,2)</f>
        <v>148.38</v>
      </c>
      <c r="G444" s="18">
        <f>TRUNC(F444*1.2882,2)</f>
        <v>191.14</v>
      </c>
      <c r="H444" s="18">
        <f>TRUNC(F444*E444,2)</f>
        <v>5935.2</v>
      </c>
      <c r="I444" s="56">
        <f>TRUNC(E444*G444,2)</f>
        <v>7645.6</v>
      </c>
    </row>
    <row r="445" spans="1:9" ht="30">
      <c r="A445" s="92"/>
      <c r="B445" s="93" t="s">
        <v>207</v>
      </c>
      <c r="C445" s="94" t="s">
        <v>208</v>
      </c>
      <c r="D445" s="92" t="s">
        <v>17</v>
      </c>
      <c r="E445" s="95">
        <v>1</v>
      </c>
      <c r="F445" s="96">
        <f>G451</f>
        <v>148.38</v>
      </c>
      <c r="G445" s="97">
        <f t="shared" ref="G445:G450" si="24">TRUNC(E445*F445,2)</f>
        <v>148.38</v>
      </c>
      <c r="H445" s="97"/>
      <c r="I445" s="96"/>
    </row>
    <row r="446" spans="1:9" ht="15">
      <c r="A446" s="92"/>
      <c r="B446" s="93" t="s">
        <v>209</v>
      </c>
      <c r="C446" s="94" t="s">
        <v>210</v>
      </c>
      <c r="D446" s="92" t="s">
        <v>7</v>
      </c>
      <c r="E446" s="95">
        <v>7</v>
      </c>
      <c r="F446" s="96">
        <v>17.8</v>
      </c>
      <c r="G446" s="97">
        <f t="shared" si="24"/>
        <v>124.6</v>
      </c>
      <c r="H446" s="97"/>
      <c r="I446" s="96"/>
    </row>
    <row r="447" spans="1:9" ht="15">
      <c r="A447" s="92"/>
      <c r="B447" s="93" t="s">
        <v>211</v>
      </c>
      <c r="C447" s="94" t="s">
        <v>212</v>
      </c>
      <c r="D447" s="92" t="s">
        <v>46</v>
      </c>
      <c r="E447" s="95">
        <v>0.52</v>
      </c>
      <c r="F447" s="96">
        <v>10.465400000000001</v>
      </c>
      <c r="G447" s="97">
        <f t="shared" si="24"/>
        <v>5.44</v>
      </c>
      <c r="H447" s="97"/>
      <c r="I447" s="96"/>
    </row>
    <row r="448" spans="1:9" ht="30">
      <c r="A448" s="92"/>
      <c r="B448" s="93" t="s">
        <v>49</v>
      </c>
      <c r="C448" s="94" t="s">
        <v>50</v>
      </c>
      <c r="D448" s="92" t="s">
        <v>51</v>
      </c>
      <c r="E448" s="95">
        <v>0.41200000000000003</v>
      </c>
      <c r="F448" s="96">
        <f>TRUNC(15.2,2)</f>
        <v>15.2</v>
      </c>
      <c r="G448" s="97">
        <f t="shared" si="24"/>
        <v>6.26</v>
      </c>
      <c r="H448" s="97"/>
      <c r="I448" s="96"/>
    </row>
    <row r="449" spans="1:9" ht="15">
      <c r="A449" s="92"/>
      <c r="B449" s="93" t="s">
        <v>76</v>
      </c>
      <c r="C449" s="94" t="s">
        <v>77</v>
      </c>
      <c r="D449" s="92" t="s">
        <v>51</v>
      </c>
      <c r="E449" s="95">
        <v>0.41200000000000003</v>
      </c>
      <c r="F449" s="96">
        <f>TRUNC(21,2)</f>
        <v>21</v>
      </c>
      <c r="G449" s="97">
        <f t="shared" si="24"/>
        <v>8.65</v>
      </c>
      <c r="H449" s="97"/>
      <c r="I449" s="96"/>
    </row>
    <row r="450" spans="1:9" ht="15">
      <c r="A450" s="92"/>
      <c r="B450" s="93" t="s">
        <v>213</v>
      </c>
      <c r="C450" s="94" t="s">
        <v>214</v>
      </c>
      <c r="D450" s="92" t="s">
        <v>55</v>
      </c>
      <c r="E450" s="95">
        <v>8.0000000000000002E-3</v>
      </c>
      <c r="F450" s="96">
        <v>428.80079999999998</v>
      </c>
      <c r="G450" s="97">
        <f t="shared" si="24"/>
        <v>3.43</v>
      </c>
      <c r="H450" s="97"/>
      <c r="I450" s="96"/>
    </row>
    <row r="451" spans="1:9" ht="15">
      <c r="A451" s="92"/>
      <c r="B451" s="93"/>
      <c r="C451" s="94"/>
      <c r="D451" s="92"/>
      <c r="E451" s="95" t="s">
        <v>33</v>
      </c>
      <c r="F451" s="96"/>
      <c r="G451" s="97">
        <f>TRUNC(SUM(G446:G450),2)</f>
        <v>148.38</v>
      </c>
      <c r="H451" s="97"/>
      <c r="I451" s="96"/>
    </row>
    <row r="452" spans="1:9" ht="75">
      <c r="A452" s="68" t="s">
        <v>218</v>
      </c>
      <c r="B452" s="98" t="s">
        <v>226</v>
      </c>
      <c r="C452" s="73" t="s">
        <v>225</v>
      </c>
      <c r="D452" s="19" t="s">
        <v>17</v>
      </c>
      <c r="E452" s="56">
        <v>2073.4499999999998</v>
      </c>
      <c r="F452" s="18">
        <f>TRUNC(F453+F458,2)</f>
        <v>34.380000000000003</v>
      </c>
      <c r="G452" s="18">
        <f>TRUNC(F452*1.2882,2)</f>
        <v>44.28</v>
      </c>
      <c r="H452" s="18">
        <f>TRUNC(F452*E452,2)</f>
        <v>71285.210000000006</v>
      </c>
      <c r="I452" s="56">
        <f>TRUNC(E452*G452,2)</f>
        <v>91812.36</v>
      </c>
    </row>
    <row r="453" spans="1:9" ht="60">
      <c r="A453" s="92"/>
      <c r="B453" s="93" t="s">
        <v>219</v>
      </c>
      <c r="C453" s="94" t="s">
        <v>220</v>
      </c>
      <c r="D453" s="92" t="s">
        <v>17</v>
      </c>
      <c r="E453" s="95">
        <v>1</v>
      </c>
      <c r="F453" s="96">
        <f>G457</f>
        <v>28.4</v>
      </c>
      <c r="G453" s="97">
        <f>TRUNC(E453*F453,2)</f>
        <v>28.4</v>
      </c>
      <c r="H453" s="97"/>
      <c r="I453" s="96"/>
    </row>
    <row r="454" spans="1:9" ht="30">
      <c r="A454" s="92"/>
      <c r="B454" s="93" t="s">
        <v>49</v>
      </c>
      <c r="C454" s="94" t="s">
        <v>50</v>
      </c>
      <c r="D454" s="92" t="s">
        <v>51</v>
      </c>
      <c r="E454" s="95">
        <v>0.51500000000000001</v>
      </c>
      <c r="F454" s="96">
        <f>TRUNC(15.2,2)</f>
        <v>15.2</v>
      </c>
      <c r="G454" s="97">
        <f>TRUNC(E454*F454,2)</f>
        <v>7.82</v>
      </c>
      <c r="H454" s="97"/>
      <c r="I454" s="96"/>
    </row>
    <row r="455" spans="1:9" ht="15">
      <c r="A455" s="92"/>
      <c r="B455" s="93" t="s">
        <v>76</v>
      </c>
      <c r="C455" s="94" t="s">
        <v>77</v>
      </c>
      <c r="D455" s="92" t="s">
        <v>51</v>
      </c>
      <c r="E455" s="95">
        <v>0.51500000000000001</v>
      </c>
      <c r="F455" s="96">
        <f>TRUNC(21,2)</f>
        <v>21</v>
      </c>
      <c r="G455" s="97">
        <f>TRUNC(E455*F455,2)</f>
        <v>10.81</v>
      </c>
      <c r="H455" s="97"/>
      <c r="I455" s="96"/>
    </row>
    <row r="456" spans="1:9" ht="30">
      <c r="A456" s="92"/>
      <c r="B456" s="93" t="s">
        <v>193</v>
      </c>
      <c r="C456" s="94" t="s">
        <v>194</v>
      </c>
      <c r="D456" s="92" t="s">
        <v>55</v>
      </c>
      <c r="E456" s="95">
        <v>2.1000000000000001E-2</v>
      </c>
      <c r="F456" s="96">
        <v>465.49529999999999</v>
      </c>
      <c r="G456" s="97">
        <f>TRUNC(E456*F456,2)</f>
        <v>9.77</v>
      </c>
      <c r="H456" s="97"/>
      <c r="I456" s="96"/>
    </row>
    <row r="457" spans="1:9" ht="15">
      <c r="A457" s="92"/>
      <c r="B457" s="93"/>
      <c r="C457" s="94"/>
      <c r="D457" s="92"/>
      <c r="E457" s="95" t="s">
        <v>33</v>
      </c>
      <c r="F457" s="96"/>
      <c r="G457" s="97">
        <f>TRUNC(SUM(G454:G456),2)</f>
        <v>28.4</v>
      </c>
      <c r="H457" s="97"/>
      <c r="I457" s="96"/>
    </row>
    <row r="458" spans="1:9" ht="30">
      <c r="A458" s="92"/>
      <c r="B458" s="93" t="s">
        <v>221</v>
      </c>
      <c r="C458" s="94" t="s">
        <v>222</v>
      </c>
      <c r="D458" s="92" t="s">
        <v>17</v>
      </c>
      <c r="E458" s="95">
        <v>1</v>
      </c>
      <c r="F458" s="96">
        <f>G462</f>
        <v>5.98</v>
      </c>
      <c r="G458" s="97">
        <f>TRUNC(E458*F458,2)</f>
        <v>5.98</v>
      </c>
      <c r="H458" s="97"/>
      <c r="I458" s="96"/>
    </row>
    <row r="459" spans="1:9" ht="30">
      <c r="A459" s="92"/>
      <c r="B459" s="93" t="s">
        <v>49</v>
      </c>
      <c r="C459" s="94" t="s">
        <v>50</v>
      </c>
      <c r="D459" s="92" t="s">
        <v>51</v>
      </c>
      <c r="E459" s="95">
        <v>0.10300000000000001</v>
      </c>
      <c r="F459" s="96">
        <f>TRUNC(15.2,2)</f>
        <v>15.2</v>
      </c>
      <c r="G459" s="97">
        <f>TRUNC(E459*F459,2)</f>
        <v>1.56</v>
      </c>
      <c r="H459" s="97"/>
      <c r="I459" s="96"/>
    </row>
    <row r="460" spans="1:9" ht="15">
      <c r="A460" s="92"/>
      <c r="B460" s="93" t="s">
        <v>76</v>
      </c>
      <c r="C460" s="94" t="s">
        <v>77</v>
      </c>
      <c r="D460" s="92" t="s">
        <v>51</v>
      </c>
      <c r="E460" s="95">
        <v>0.10300000000000001</v>
      </c>
      <c r="F460" s="96">
        <f>TRUNC(21,2)</f>
        <v>21</v>
      </c>
      <c r="G460" s="97">
        <f>TRUNC(E460*F460,2)</f>
        <v>2.16</v>
      </c>
      <c r="H460" s="97"/>
      <c r="I460" s="96"/>
    </row>
    <row r="461" spans="1:9" ht="15">
      <c r="A461" s="92"/>
      <c r="B461" s="93" t="s">
        <v>223</v>
      </c>
      <c r="C461" s="94" t="s">
        <v>224</v>
      </c>
      <c r="D461" s="92" t="s">
        <v>55</v>
      </c>
      <c r="E461" s="95">
        <v>5.0000000000000001E-3</v>
      </c>
      <c r="F461" s="96">
        <v>452.36</v>
      </c>
      <c r="G461" s="97">
        <f>TRUNC(E461*F461,2)</f>
        <v>2.2599999999999998</v>
      </c>
      <c r="H461" s="97"/>
      <c r="I461" s="96"/>
    </row>
    <row r="462" spans="1:9" ht="15">
      <c r="A462" s="92"/>
      <c r="B462" s="93"/>
      <c r="C462" s="94"/>
      <c r="D462" s="92"/>
      <c r="E462" s="95" t="s">
        <v>33</v>
      </c>
      <c r="F462" s="96"/>
      <c r="G462" s="97">
        <f>TRUNC(SUM(G459:G461),2)</f>
        <v>5.98</v>
      </c>
      <c r="H462" s="97"/>
      <c r="I462" s="96"/>
    </row>
    <row r="463" spans="1:9" ht="45">
      <c r="A463" s="68" t="s">
        <v>227</v>
      </c>
      <c r="B463" s="72" t="s">
        <v>228</v>
      </c>
      <c r="C463" s="73" t="s">
        <v>1868</v>
      </c>
      <c r="D463" s="19" t="s">
        <v>17</v>
      </c>
      <c r="E463" s="56">
        <v>165.41</v>
      </c>
      <c r="F463" s="18">
        <f>TRUNC(F464,2)</f>
        <v>115.08</v>
      </c>
      <c r="G463" s="18">
        <f>TRUNC(F463*1.2882,2)</f>
        <v>148.24</v>
      </c>
      <c r="H463" s="18">
        <f>TRUNC(F463*E463,2)</f>
        <v>19035.38</v>
      </c>
      <c r="I463" s="56">
        <f>TRUNC(E463*G463,2)</f>
        <v>24520.37</v>
      </c>
    </row>
    <row r="464" spans="1:9" ht="45">
      <c r="A464" s="92"/>
      <c r="B464" s="93" t="s">
        <v>228</v>
      </c>
      <c r="C464" s="94" t="s">
        <v>229</v>
      </c>
      <c r="D464" s="92" t="s">
        <v>17</v>
      </c>
      <c r="E464" s="95">
        <v>1</v>
      </c>
      <c r="F464" s="96">
        <f>G473</f>
        <v>115.08</v>
      </c>
      <c r="G464" s="97">
        <f t="shared" ref="G464:G472" si="25">TRUNC(E464*F464,2)</f>
        <v>115.08</v>
      </c>
      <c r="H464" s="97"/>
      <c r="I464" s="96"/>
    </row>
    <row r="465" spans="1:9" ht="30">
      <c r="A465" s="92"/>
      <c r="B465" s="93" t="s">
        <v>232</v>
      </c>
      <c r="C465" s="94" t="s">
        <v>233</v>
      </c>
      <c r="D465" s="92" t="s">
        <v>17</v>
      </c>
      <c r="E465" s="95">
        <v>1.1224000000000001</v>
      </c>
      <c r="F465" s="96">
        <f>TRUNC(38.42,2)</f>
        <v>38.42</v>
      </c>
      <c r="G465" s="97">
        <f t="shared" si="25"/>
        <v>43.12</v>
      </c>
      <c r="H465" s="97"/>
      <c r="I465" s="96"/>
    </row>
    <row r="466" spans="1:9" ht="15">
      <c r="A466" s="92"/>
      <c r="B466" s="93" t="s">
        <v>234</v>
      </c>
      <c r="C466" s="94" t="s">
        <v>235</v>
      </c>
      <c r="D466" s="92" t="s">
        <v>23</v>
      </c>
      <c r="E466" s="95">
        <v>0.2</v>
      </c>
      <c r="F466" s="96">
        <f>TRUNC(3.02,2)</f>
        <v>3.02</v>
      </c>
      <c r="G466" s="97">
        <f t="shared" si="25"/>
        <v>0.6</v>
      </c>
      <c r="H466" s="97"/>
      <c r="I466" s="96"/>
    </row>
    <row r="467" spans="1:9" ht="30">
      <c r="A467" s="92"/>
      <c r="B467" s="93" t="s">
        <v>236</v>
      </c>
      <c r="C467" s="94" t="s">
        <v>237</v>
      </c>
      <c r="D467" s="92" t="s">
        <v>23</v>
      </c>
      <c r="E467" s="95">
        <v>0.25</v>
      </c>
      <c r="F467" s="96">
        <f>TRUNC(12.7,2)</f>
        <v>12.7</v>
      </c>
      <c r="G467" s="97">
        <f t="shared" si="25"/>
        <v>3.17</v>
      </c>
      <c r="H467" s="97"/>
      <c r="I467" s="96"/>
    </row>
    <row r="468" spans="1:9" ht="15">
      <c r="A468" s="92"/>
      <c r="B468" s="93" t="s">
        <v>238</v>
      </c>
      <c r="C468" s="94" t="s">
        <v>239</v>
      </c>
      <c r="D468" s="92" t="s">
        <v>17</v>
      </c>
      <c r="E468" s="95">
        <v>1.1279999999999999</v>
      </c>
      <c r="F468" s="96">
        <f>TRUNC(0.75,2)</f>
        <v>0.75</v>
      </c>
      <c r="G468" s="97">
        <f t="shared" si="25"/>
        <v>0.84</v>
      </c>
      <c r="H468" s="97"/>
      <c r="I468" s="96"/>
    </row>
    <row r="469" spans="1:9" ht="30">
      <c r="A469" s="92"/>
      <c r="B469" s="93" t="s">
        <v>230</v>
      </c>
      <c r="C469" s="94" t="s">
        <v>231</v>
      </c>
      <c r="D469" s="92" t="s">
        <v>55</v>
      </c>
      <c r="E469" s="95">
        <v>0.12130000000000001</v>
      </c>
      <c r="F469" s="96">
        <f>TRUNC(390,2)</f>
        <v>390</v>
      </c>
      <c r="G469" s="97">
        <f t="shared" si="25"/>
        <v>47.3</v>
      </c>
      <c r="H469" s="97"/>
      <c r="I469" s="96"/>
    </row>
    <row r="470" spans="1:9" ht="15">
      <c r="A470" s="92"/>
      <c r="B470" s="93" t="s">
        <v>56</v>
      </c>
      <c r="C470" s="94" t="s">
        <v>57</v>
      </c>
      <c r="D470" s="92" t="s">
        <v>51</v>
      </c>
      <c r="E470" s="95">
        <v>0.38500000000000001</v>
      </c>
      <c r="F470" s="96">
        <f>TRUNC(22.72,2)</f>
        <v>22.72</v>
      </c>
      <c r="G470" s="97">
        <f t="shared" si="25"/>
        <v>8.74</v>
      </c>
      <c r="H470" s="97"/>
      <c r="I470" s="96"/>
    </row>
    <row r="471" spans="1:9" ht="15">
      <c r="A471" s="92"/>
      <c r="B471" s="93" t="s">
        <v>58</v>
      </c>
      <c r="C471" s="94" t="s">
        <v>59</v>
      </c>
      <c r="D471" s="92" t="s">
        <v>51</v>
      </c>
      <c r="E471" s="95">
        <v>0.15939999999999999</v>
      </c>
      <c r="F471" s="96">
        <f>TRUNC(29.57,2)</f>
        <v>29.57</v>
      </c>
      <c r="G471" s="97">
        <f t="shared" si="25"/>
        <v>4.71</v>
      </c>
      <c r="H471" s="97"/>
      <c r="I471" s="96"/>
    </row>
    <row r="472" spans="1:9" ht="15">
      <c r="A472" s="92"/>
      <c r="B472" s="93" t="s">
        <v>240</v>
      </c>
      <c r="C472" s="94" t="s">
        <v>241</v>
      </c>
      <c r="D472" s="92" t="s">
        <v>51</v>
      </c>
      <c r="E472" s="95">
        <v>0.22559999999999999</v>
      </c>
      <c r="F472" s="96">
        <f>TRUNC(29.28,2)</f>
        <v>29.28</v>
      </c>
      <c r="G472" s="97">
        <f t="shared" si="25"/>
        <v>6.6</v>
      </c>
      <c r="H472" s="97"/>
      <c r="I472" s="96"/>
    </row>
    <row r="473" spans="1:9" ht="15">
      <c r="A473" s="92"/>
      <c r="B473" s="93"/>
      <c r="C473" s="94"/>
      <c r="D473" s="92"/>
      <c r="E473" s="95" t="s">
        <v>33</v>
      </c>
      <c r="F473" s="96"/>
      <c r="G473" s="97">
        <f>TRUNC(SUM(G465:G472),2)</f>
        <v>115.08</v>
      </c>
      <c r="H473" s="97"/>
      <c r="I473" s="96"/>
    </row>
    <row r="474" spans="1:9" s="57" customFormat="1" ht="45">
      <c r="A474" s="133" t="s">
        <v>242</v>
      </c>
      <c r="B474" s="134" t="s">
        <v>243</v>
      </c>
      <c r="C474" s="310" t="s">
        <v>1869</v>
      </c>
      <c r="D474" s="239" t="s">
        <v>17</v>
      </c>
      <c r="E474" s="239">
        <v>582.04999999999995</v>
      </c>
      <c r="F474" s="18">
        <f>TRUNC(F475,2)</f>
        <v>37.89</v>
      </c>
      <c r="G474" s="18">
        <f>TRUNC(F474*1.2882,2)</f>
        <v>48.8</v>
      </c>
      <c r="H474" s="18">
        <f>TRUNC(F474*E474,2)</f>
        <v>22053.87</v>
      </c>
      <c r="I474" s="56">
        <f>TRUNC(E474*G474,2)</f>
        <v>28404.04</v>
      </c>
    </row>
    <row r="475" spans="1:9" ht="45">
      <c r="A475" s="181"/>
      <c r="B475" s="182" t="s">
        <v>243</v>
      </c>
      <c r="C475" s="217" t="s">
        <v>244</v>
      </c>
      <c r="D475" s="218" t="s">
        <v>17</v>
      </c>
      <c r="E475" s="218">
        <v>1</v>
      </c>
      <c r="F475" s="218">
        <f>G479</f>
        <v>37.89</v>
      </c>
      <c r="G475" s="218">
        <f>TRUNC(E475*F475,2)</f>
        <v>37.89</v>
      </c>
      <c r="H475" s="218"/>
      <c r="I475" s="219"/>
    </row>
    <row r="476" spans="1:9" ht="15">
      <c r="A476" s="177"/>
      <c r="B476" s="178" t="s">
        <v>56</v>
      </c>
      <c r="C476" s="215" t="s">
        <v>57</v>
      </c>
      <c r="D476" s="216" t="s">
        <v>51</v>
      </c>
      <c r="E476" s="216">
        <v>0.124</v>
      </c>
      <c r="F476" s="216">
        <f>TRUNC(22.72,2)</f>
        <v>22.72</v>
      </c>
      <c r="G476" s="216">
        <f>TRUNC(E476*F476,2)</f>
        <v>2.81</v>
      </c>
      <c r="H476" s="216"/>
      <c r="I476" s="245"/>
    </row>
    <row r="477" spans="1:9" ht="15">
      <c r="A477" s="177"/>
      <c r="B477" s="178" t="s">
        <v>58</v>
      </c>
      <c r="C477" s="215" t="s">
        <v>59</v>
      </c>
      <c r="D477" s="216" t="s">
        <v>51</v>
      </c>
      <c r="E477" s="216">
        <v>0.248</v>
      </c>
      <c r="F477" s="216">
        <f>TRUNC(29.57,2)</f>
        <v>29.57</v>
      </c>
      <c r="G477" s="216">
        <f>TRUNC(E477*F477,2)</f>
        <v>7.33</v>
      </c>
      <c r="H477" s="216"/>
      <c r="I477" s="245"/>
    </row>
    <row r="478" spans="1:9" ht="30">
      <c r="A478" s="177"/>
      <c r="B478" s="178" t="s">
        <v>245</v>
      </c>
      <c r="C478" s="215" t="s">
        <v>1637</v>
      </c>
      <c r="D478" s="216" t="s">
        <v>55</v>
      </c>
      <c r="E478" s="216">
        <v>5.2999999999999999E-2</v>
      </c>
      <c r="F478" s="216">
        <f>TRUNC(523.6907,2)</f>
        <v>523.69000000000005</v>
      </c>
      <c r="G478" s="216">
        <f>TRUNC(E478*F478,2)</f>
        <v>27.75</v>
      </c>
      <c r="H478" s="216"/>
      <c r="I478" s="245"/>
    </row>
    <row r="479" spans="1:9" ht="15">
      <c r="A479" s="185"/>
      <c r="B479" s="186"/>
      <c r="C479" s="221"/>
      <c r="D479" s="246"/>
      <c r="E479" s="246" t="s">
        <v>33</v>
      </c>
      <c r="F479" s="246"/>
      <c r="G479" s="246">
        <f>TRUNC(SUM(G476:G478),2)</f>
        <v>37.89</v>
      </c>
      <c r="H479" s="246"/>
      <c r="I479" s="247"/>
    </row>
    <row r="480" spans="1:9" ht="45.75">
      <c r="A480" s="170" t="s">
        <v>246</v>
      </c>
      <c r="B480" s="248" t="s">
        <v>1676</v>
      </c>
      <c r="C480" s="249" t="s">
        <v>1870</v>
      </c>
      <c r="D480" s="170" t="s">
        <v>17</v>
      </c>
      <c r="E480" s="250">
        <v>4.75</v>
      </c>
      <c r="F480" s="18">
        <f>TRUNC(G481,2)</f>
        <v>75.78</v>
      </c>
      <c r="G480" s="18">
        <f>TRUNC(F480*1.2882,2)</f>
        <v>97.61</v>
      </c>
      <c r="H480" s="18">
        <f>TRUNC(F480*E480,2)</f>
        <v>359.95</v>
      </c>
      <c r="I480" s="56">
        <f>TRUNC(E480*G480,2)</f>
        <v>463.64</v>
      </c>
    </row>
    <row r="481" spans="1:9" ht="45">
      <c r="A481" s="74"/>
      <c r="B481" s="80" t="s">
        <v>243</v>
      </c>
      <c r="C481" s="81" t="s">
        <v>244</v>
      </c>
      <c r="D481" s="74" t="s">
        <v>17</v>
      </c>
      <c r="E481" s="78">
        <v>2</v>
      </c>
      <c r="F481" s="64">
        <f>G485</f>
        <v>37.89</v>
      </c>
      <c r="G481" s="64">
        <f>TRUNC(E481*F481,2)</f>
        <v>75.78</v>
      </c>
      <c r="H481" s="64"/>
      <c r="I481" s="78"/>
    </row>
    <row r="482" spans="1:9" ht="15">
      <c r="A482" s="74"/>
      <c r="B482" s="80" t="s">
        <v>56</v>
      </c>
      <c r="C482" s="81" t="s">
        <v>57</v>
      </c>
      <c r="D482" s="74" t="s">
        <v>51</v>
      </c>
      <c r="E482" s="78">
        <v>0.124</v>
      </c>
      <c r="F482" s="64">
        <f>TRUNC(22.72,2)</f>
        <v>22.72</v>
      </c>
      <c r="G482" s="64">
        <f>TRUNC(E482*F482,2)</f>
        <v>2.81</v>
      </c>
      <c r="H482" s="64"/>
      <c r="I482" s="78"/>
    </row>
    <row r="483" spans="1:9" ht="15">
      <c r="A483" s="74"/>
      <c r="B483" s="80" t="s">
        <v>58</v>
      </c>
      <c r="C483" s="81" t="s">
        <v>59</v>
      </c>
      <c r="D483" s="74" t="s">
        <v>51</v>
      </c>
      <c r="E483" s="78">
        <v>0.248</v>
      </c>
      <c r="F483" s="64">
        <f>TRUNC(29.57,2)</f>
        <v>29.57</v>
      </c>
      <c r="G483" s="64">
        <f>TRUNC(E483*F483,2)</f>
        <v>7.33</v>
      </c>
      <c r="H483" s="64"/>
      <c r="I483" s="78"/>
    </row>
    <row r="484" spans="1:9" ht="45">
      <c r="A484" s="74"/>
      <c r="B484" s="80" t="s">
        <v>245</v>
      </c>
      <c r="C484" s="81" t="s">
        <v>1675</v>
      </c>
      <c r="D484" s="74" t="s">
        <v>55</v>
      </c>
      <c r="E484" s="78">
        <v>5.2999999999999999E-2</v>
      </c>
      <c r="F484" s="64">
        <f>TRUNC(523.68,2)</f>
        <v>523.67999999999995</v>
      </c>
      <c r="G484" s="64">
        <f>TRUNC(E484*F484,2)</f>
        <v>27.75</v>
      </c>
      <c r="H484" s="64"/>
      <c r="I484" s="78"/>
    </row>
    <row r="485" spans="1:9" ht="15">
      <c r="A485" s="74"/>
      <c r="B485" s="80"/>
      <c r="C485" s="81"/>
      <c r="D485" s="74"/>
      <c r="E485" s="78" t="s">
        <v>33</v>
      </c>
      <c r="F485" s="64"/>
      <c r="G485" s="64">
        <f>TRUNC(SUM(G482:G484),2)</f>
        <v>37.89</v>
      </c>
      <c r="H485" s="64"/>
      <c r="I485" s="78"/>
    </row>
    <row r="486" spans="1:9" s="57" customFormat="1" ht="75">
      <c r="A486" s="13" t="s">
        <v>247</v>
      </c>
      <c r="B486" s="14" t="s">
        <v>1876</v>
      </c>
      <c r="C486" s="326" t="s">
        <v>1875</v>
      </c>
      <c r="D486" s="16" t="s">
        <v>17</v>
      </c>
      <c r="E486" s="17">
        <v>512.04999999999995</v>
      </c>
      <c r="F486" s="18">
        <f>TRUNC(F487+G498,2)</f>
        <v>102.4</v>
      </c>
      <c r="G486" s="18">
        <f>TRUNC(F486*1.2882,2)</f>
        <v>131.91</v>
      </c>
      <c r="H486" s="18">
        <f>TRUNC(F486*E486,2)</f>
        <v>52433.919999999998</v>
      </c>
      <c r="I486" s="56">
        <f>TRUNC(E486*G486,2)</f>
        <v>67544.509999999995</v>
      </c>
    </row>
    <row r="487" spans="1:9" ht="75">
      <c r="A487" s="92"/>
      <c r="B487" s="93" t="s">
        <v>248</v>
      </c>
      <c r="C487" s="94" t="s">
        <v>249</v>
      </c>
      <c r="D487" s="92" t="s">
        <v>17</v>
      </c>
      <c r="E487" s="95">
        <v>1</v>
      </c>
      <c r="F487" s="255">
        <f>G497</f>
        <v>79.45</v>
      </c>
      <c r="G487" s="97">
        <f t="shared" ref="G487:G496" si="26">TRUNC(E487*F487,2)</f>
        <v>79.45</v>
      </c>
      <c r="H487" s="97"/>
      <c r="I487" s="96"/>
    </row>
    <row r="488" spans="1:9" ht="15">
      <c r="A488" s="92"/>
      <c r="B488" s="93" t="s">
        <v>250</v>
      </c>
      <c r="C488" s="94" t="s">
        <v>251</v>
      </c>
      <c r="D488" s="92" t="s">
        <v>46</v>
      </c>
      <c r="E488" s="95">
        <v>15.68</v>
      </c>
      <c r="F488" s="96">
        <v>0.73</v>
      </c>
      <c r="G488" s="97">
        <f t="shared" si="26"/>
        <v>11.44</v>
      </c>
      <c r="H488" s="97"/>
      <c r="I488" s="96"/>
    </row>
    <row r="489" spans="1:9" ht="15">
      <c r="A489" s="92"/>
      <c r="B489" s="93" t="s">
        <v>252</v>
      </c>
      <c r="C489" s="94" t="s">
        <v>253</v>
      </c>
      <c r="D489" s="92" t="s">
        <v>46</v>
      </c>
      <c r="E489" s="95">
        <v>28.22</v>
      </c>
      <c r="F489" s="96">
        <v>0.57999999999999996</v>
      </c>
      <c r="G489" s="97">
        <f t="shared" si="26"/>
        <v>16.36</v>
      </c>
      <c r="H489" s="97"/>
      <c r="I489" s="96"/>
    </row>
    <row r="490" spans="1:9" ht="15">
      <c r="A490" s="92"/>
      <c r="B490" s="93" t="s">
        <v>254</v>
      </c>
      <c r="C490" s="94" t="s">
        <v>255</v>
      </c>
      <c r="D490" s="92" t="s">
        <v>55</v>
      </c>
      <c r="E490" s="95">
        <v>4.9200000000000001E-2</v>
      </c>
      <c r="F490" s="96">
        <v>113.75</v>
      </c>
      <c r="G490" s="97">
        <f t="shared" si="26"/>
        <v>5.59</v>
      </c>
      <c r="H490" s="97"/>
      <c r="I490" s="96"/>
    </row>
    <row r="491" spans="1:9" ht="30">
      <c r="A491" s="92"/>
      <c r="B491" s="93" t="s">
        <v>49</v>
      </c>
      <c r="C491" s="94" t="s">
        <v>50</v>
      </c>
      <c r="D491" s="92" t="s">
        <v>51</v>
      </c>
      <c r="E491" s="95">
        <v>0.77249999999999996</v>
      </c>
      <c r="F491" s="96">
        <f>TRUNC(15.2,2)</f>
        <v>15.2</v>
      </c>
      <c r="G491" s="97">
        <f t="shared" si="26"/>
        <v>11.74</v>
      </c>
      <c r="H491" s="97"/>
      <c r="I491" s="96"/>
    </row>
    <row r="492" spans="1:9" ht="30">
      <c r="A492" s="92"/>
      <c r="B492" s="93" t="s">
        <v>256</v>
      </c>
      <c r="C492" s="94" t="s">
        <v>257</v>
      </c>
      <c r="D492" s="92" t="s">
        <v>51</v>
      </c>
      <c r="E492" s="95">
        <v>1.1844999999999999</v>
      </c>
      <c r="F492" s="96">
        <f>TRUNC(21,2)</f>
        <v>21</v>
      </c>
      <c r="G492" s="97">
        <f t="shared" si="26"/>
        <v>24.87</v>
      </c>
      <c r="H492" s="97"/>
      <c r="I492" s="96"/>
    </row>
    <row r="493" spans="1:9" ht="15">
      <c r="A493" s="92"/>
      <c r="B493" s="93" t="s">
        <v>258</v>
      </c>
      <c r="C493" s="94" t="s">
        <v>259</v>
      </c>
      <c r="D493" s="92" t="s">
        <v>7</v>
      </c>
      <c r="E493" s="95">
        <v>0.08</v>
      </c>
      <c r="F493" s="96">
        <v>31.36</v>
      </c>
      <c r="G493" s="97">
        <f t="shared" si="26"/>
        <v>2.5</v>
      </c>
      <c r="H493" s="97"/>
      <c r="I493" s="96"/>
    </row>
    <row r="494" spans="1:9" ht="15">
      <c r="A494" s="92"/>
      <c r="B494" s="93" t="s">
        <v>260</v>
      </c>
      <c r="C494" s="94" t="s">
        <v>261</v>
      </c>
      <c r="D494" s="92" t="s">
        <v>7</v>
      </c>
      <c r="E494" s="95">
        <v>0.1</v>
      </c>
      <c r="F494" s="96">
        <v>31.36</v>
      </c>
      <c r="G494" s="97">
        <f t="shared" si="26"/>
        <v>3.13</v>
      </c>
      <c r="H494" s="97"/>
      <c r="I494" s="96"/>
    </row>
    <row r="495" spans="1:9" ht="15">
      <c r="A495" s="92"/>
      <c r="B495" s="93" t="s">
        <v>262</v>
      </c>
      <c r="C495" s="94" t="s">
        <v>263</v>
      </c>
      <c r="D495" s="92" t="s">
        <v>51</v>
      </c>
      <c r="E495" s="95">
        <v>0.65</v>
      </c>
      <c r="F495" s="96">
        <v>1.4136</v>
      </c>
      <c r="G495" s="97">
        <f t="shared" si="26"/>
        <v>0.91</v>
      </c>
      <c r="H495" s="97"/>
      <c r="I495" s="96"/>
    </row>
    <row r="496" spans="1:9" ht="15">
      <c r="A496" s="92"/>
      <c r="B496" s="93" t="s">
        <v>264</v>
      </c>
      <c r="C496" s="94" t="s">
        <v>265</v>
      </c>
      <c r="D496" s="92" t="s">
        <v>51</v>
      </c>
      <c r="E496" s="95">
        <v>0.5</v>
      </c>
      <c r="F496" s="96">
        <v>5.8387000000000002</v>
      </c>
      <c r="G496" s="97">
        <f t="shared" si="26"/>
        <v>2.91</v>
      </c>
      <c r="H496" s="97"/>
      <c r="I496" s="96"/>
    </row>
    <row r="497" spans="1:9" ht="15">
      <c r="A497" s="92"/>
      <c r="B497" s="93"/>
      <c r="C497" s="94"/>
      <c r="D497" s="92"/>
      <c r="E497" s="95" t="s">
        <v>33</v>
      </c>
      <c r="F497" s="96"/>
      <c r="G497" s="97">
        <f>TRUNC(SUM(G488:G496),2)</f>
        <v>79.45</v>
      </c>
      <c r="H497" s="97"/>
      <c r="I497" s="96"/>
    </row>
    <row r="498" spans="1:9" ht="30">
      <c r="A498" s="92"/>
      <c r="B498" s="93" t="s">
        <v>1871</v>
      </c>
      <c r="C498" s="94" t="s">
        <v>1872</v>
      </c>
      <c r="D498" s="92" t="s">
        <v>23</v>
      </c>
      <c r="E498" s="95">
        <v>3</v>
      </c>
      <c r="F498" s="96">
        <f>G504</f>
        <v>7.65</v>
      </c>
      <c r="G498" s="99">
        <f t="shared" ref="G498:G503" si="27">TRUNC(E498*F498,2)</f>
        <v>22.95</v>
      </c>
      <c r="H498" s="97"/>
      <c r="I498" s="96"/>
    </row>
    <row r="499" spans="1:9" ht="15">
      <c r="A499" s="92"/>
      <c r="B499" s="93" t="s">
        <v>1873</v>
      </c>
      <c r="C499" s="94" t="s">
        <v>1874</v>
      </c>
      <c r="D499" s="92" t="s">
        <v>23</v>
      </c>
      <c r="E499" s="95">
        <v>1</v>
      </c>
      <c r="F499" s="96">
        <f>TRUNC(0.8,2)</f>
        <v>0.8</v>
      </c>
      <c r="G499" s="97">
        <f t="shared" si="27"/>
        <v>0.8</v>
      </c>
      <c r="H499" s="97"/>
      <c r="I499" s="96"/>
    </row>
    <row r="500" spans="1:9" ht="15">
      <c r="A500" s="92"/>
      <c r="B500" s="93" t="s">
        <v>252</v>
      </c>
      <c r="C500" s="94" t="s">
        <v>253</v>
      </c>
      <c r="D500" s="92" t="s">
        <v>46</v>
      </c>
      <c r="E500" s="95">
        <v>1.2</v>
      </c>
      <c r="F500" s="96">
        <f>TRUNC(0.58,2)</f>
        <v>0.57999999999999996</v>
      </c>
      <c r="G500" s="97">
        <f t="shared" si="27"/>
        <v>0.69</v>
      </c>
      <c r="H500" s="97"/>
      <c r="I500" s="96"/>
    </row>
    <row r="501" spans="1:9" ht="15">
      <c r="A501" s="92"/>
      <c r="B501" s="93" t="s">
        <v>254</v>
      </c>
      <c r="C501" s="94" t="s">
        <v>255</v>
      </c>
      <c r="D501" s="92" t="s">
        <v>55</v>
      </c>
      <c r="E501" s="95">
        <v>2.5000000000000001E-3</v>
      </c>
      <c r="F501" s="96">
        <f>TRUNC(113.75,2)</f>
        <v>113.75</v>
      </c>
      <c r="G501" s="97">
        <f t="shared" si="27"/>
        <v>0.28000000000000003</v>
      </c>
      <c r="H501" s="97"/>
      <c r="I501" s="96"/>
    </row>
    <row r="502" spans="1:9" ht="30">
      <c r="A502" s="92"/>
      <c r="B502" s="93" t="s">
        <v>49</v>
      </c>
      <c r="C502" s="94" t="s">
        <v>50</v>
      </c>
      <c r="D502" s="92" t="s">
        <v>51</v>
      </c>
      <c r="E502" s="95">
        <v>0.10300000000000001</v>
      </c>
      <c r="F502" s="96">
        <f>TRUNC(15.2,2)</f>
        <v>15.2</v>
      </c>
      <c r="G502" s="97">
        <f t="shared" si="27"/>
        <v>1.56</v>
      </c>
      <c r="H502" s="97"/>
      <c r="I502" s="96"/>
    </row>
    <row r="503" spans="1:9" ht="15">
      <c r="A503" s="92"/>
      <c r="B503" s="93" t="s">
        <v>76</v>
      </c>
      <c r="C503" s="94" t="s">
        <v>77</v>
      </c>
      <c r="D503" s="92" t="s">
        <v>51</v>
      </c>
      <c r="E503" s="95">
        <v>0.20600000000000002</v>
      </c>
      <c r="F503" s="96">
        <f>TRUNC(21,2)</f>
        <v>21</v>
      </c>
      <c r="G503" s="97">
        <f t="shared" si="27"/>
        <v>4.32</v>
      </c>
      <c r="H503" s="97"/>
      <c r="I503" s="96"/>
    </row>
    <row r="504" spans="1:9" ht="15">
      <c r="A504" s="92"/>
      <c r="B504" s="93"/>
      <c r="C504" s="94"/>
      <c r="D504" s="92"/>
      <c r="E504" s="95" t="s">
        <v>33</v>
      </c>
      <c r="F504" s="96"/>
      <c r="G504" s="97">
        <f>TRUNC(SUM(G499:G503),2)</f>
        <v>7.65</v>
      </c>
      <c r="H504" s="97"/>
      <c r="I504" s="96"/>
    </row>
    <row r="505" spans="1:9" ht="60">
      <c r="A505" s="68" t="s">
        <v>266</v>
      </c>
      <c r="B505" s="72" t="s">
        <v>267</v>
      </c>
      <c r="C505" s="73" t="s">
        <v>268</v>
      </c>
      <c r="D505" s="19" t="s">
        <v>23</v>
      </c>
      <c r="E505" s="56">
        <v>432</v>
      </c>
      <c r="F505" s="18">
        <f>TRUNC(F506,2)</f>
        <v>22.85</v>
      </c>
      <c r="G505" s="18">
        <f>TRUNC(F505*1.2882,2)</f>
        <v>29.43</v>
      </c>
      <c r="H505" s="18">
        <f>TRUNC(F505*E505,2)</f>
        <v>9871.2000000000007</v>
      </c>
      <c r="I505" s="56">
        <f>TRUNC(E505*G505,2)</f>
        <v>12713.76</v>
      </c>
    </row>
    <row r="506" spans="1:9" ht="60">
      <c r="A506" s="92"/>
      <c r="B506" s="93" t="s">
        <v>267</v>
      </c>
      <c r="C506" s="94" t="s">
        <v>268</v>
      </c>
      <c r="D506" s="92" t="s">
        <v>23</v>
      </c>
      <c r="E506" s="95">
        <v>1</v>
      </c>
      <c r="F506" s="96">
        <f>G513</f>
        <v>22.85</v>
      </c>
      <c r="G506" s="97">
        <f t="shared" ref="G506:G512" si="28">TRUNC(E506*F506,2)</f>
        <v>22.85</v>
      </c>
      <c r="H506" s="97"/>
      <c r="I506" s="96"/>
    </row>
    <row r="507" spans="1:9" ht="15">
      <c r="A507" s="92"/>
      <c r="B507" s="93" t="s">
        <v>269</v>
      </c>
      <c r="C507" s="94" t="s">
        <v>270</v>
      </c>
      <c r="D507" s="92" t="s">
        <v>46</v>
      </c>
      <c r="E507" s="95">
        <v>1.5</v>
      </c>
      <c r="F507" s="96">
        <v>0.66</v>
      </c>
      <c r="G507" s="97">
        <f t="shared" si="28"/>
        <v>0.99</v>
      </c>
      <c r="H507" s="97"/>
      <c r="I507" s="96"/>
    </row>
    <row r="508" spans="1:9" ht="15">
      <c r="A508" s="92"/>
      <c r="B508" s="93" t="s">
        <v>252</v>
      </c>
      <c r="C508" s="94" t="s">
        <v>253</v>
      </c>
      <c r="D508" s="92" t="s">
        <v>46</v>
      </c>
      <c r="E508" s="95">
        <v>1.5</v>
      </c>
      <c r="F508" s="96">
        <v>0.57999999999999996</v>
      </c>
      <c r="G508" s="97">
        <f t="shared" si="28"/>
        <v>0.87</v>
      </c>
      <c r="H508" s="97"/>
      <c r="I508" s="96"/>
    </row>
    <row r="509" spans="1:9" ht="30">
      <c r="A509" s="92"/>
      <c r="B509" s="93" t="s">
        <v>49</v>
      </c>
      <c r="C509" s="94" t="s">
        <v>50</v>
      </c>
      <c r="D509" s="92" t="s">
        <v>51</v>
      </c>
      <c r="E509" s="95">
        <v>0.41200000000000003</v>
      </c>
      <c r="F509" s="96">
        <f>TRUNC(15.2,2)</f>
        <v>15.2</v>
      </c>
      <c r="G509" s="97">
        <f t="shared" si="28"/>
        <v>6.26</v>
      </c>
      <c r="H509" s="97"/>
      <c r="I509" s="96"/>
    </row>
    <row r="510" spans="1:9" ht="30">
      <c r="A510" s="92"/>
      <c r="B510" s="93" t="s">
        <v>256</v>
      </c>
      <c r="C510" s="94" t="s">
        <v>257</v>
      </c>
      <c r="D510" s="92" t="s">
        <v>51</v>
      </c>
      <c r="E510" s="95">
        <v>0.6695000000000001</v>
      </c>
      <c r="F510" s="96">
        <f>TRUNC(21,2)</f>
        <v>21</v>
      </c>
      <c r="G510" s="97">
        <f t="shared" si="28"/>
        <v>14.05</v>
      </c>
      <c r="H510" s="97"/>
      <c r="I510" s="96"/>
    </row>
    <row r="511" spans="1:9" ht="15">
      <c r="A511" s="92"/>
      <c r="B511" s="93" t="s">
        <v>258</v>
      </c>
      <c r="C511" s="94" t="s">
        <v>259</v>
      </c>
      <c r="D511" s="92" t="s">
        <v>7</v>
      </c>
      <c r="E511" s="95">
        <v>0.01</v>
      </c>
      <c r="F511" s="96">
        <v>31.36</v>
      </c>
      <c r="G511" s="97">
        <f t="shared" si="28"/>
        <v>0.31</v>
      </c>
      <c r="H511" s="97"/>
      <c r="I511" s="96"/>
    </row>
    <row r="512" spans="1:9" ht="15">
      <c r="A512" s="92"/>
      <c r="B512" s="93" t="s">
        <v>260</v>
      </c>
      <c r="C512" s="94" t="s">
        <v>261</v>
      </c>
      <c r="D512" s="92" t="s">
        <v>7</v>
      </c>
      <c r="E512" s="95">
        <v>1.2E-2</v>
      </c>
      <c r="F512" s="96">
        <v>31.36</v>
      </c>
      <c r="G512" s="97">
        <f t="shared" si="28"/>
        <v>0.37</v>
      </c>
      <c r="H512" s="97"/>
      <c r="I512" s="96"/>
    </row>
    <row r="513" spans="1:9" ht="15">
      <c r="A513" s="92"/>
      <c r="B513" s="93"/>
      <c r="C513" s="94"/>
      <c r="D513" s="92"/>
      <c r="E513" s="95" t="s">
        <v>33</v>
      </c>
      <c r="F513" s="96"/>
      <c r="G513" s="97">
        <f>TRUNC(SUM(G507:G512),2)</f>
        <v>22.85</v>
      </c>
      <c r="H513" s="97"/>
      <c r="I513" s="96"/>
    </row>
    <row r="514" spans="1:9" s="57" customFormat="1" ht="60.75">
      <c r="A514" s="133" t="s">
        <v>271</v>
      </c>
      <c r="B514" s="134" t="s">
        <v>1881</v>
      </c>
      <c r="C514" s="310" t="s">
        <v>1882</v>
      </c>
      <c r="D514" s="285" t="s">
        <v>17</v>
      </c>
      <c r="E514" s="138">
        <v>10.4</v>
      </c>
      <c r="F514" s="138">
        <f>TRUNC(F515+G519,2)</f>
        <v>113.85</v>
      </c>
      <c r="G514" s="138">
        <f>TRUNC(F514*1.2882,2)</f>
        <v>146.66</v>
      </c>
      <c r="H514" s="138">
        <f>TRUNC(F514*E514,2)</f>
        <v>1184.04</v>
      </c>
      <c r="I514" s="139">
        <f>TRUNC(E514*G514,2)</f>
        <v>1525.26</v>
      </c>
    </row>
    <row r="515" spans="1:9" s="147" customFormat="1" ht="60">
      <c r="A515" s="181"/>
      <c r="B515" s="182" t="s">
        <v>1612</v>
      </c>
      <c r="C515" s="217" t="s">
        <v>1613</v>
      </c>
      <c r="D515" s="218" t="s">
        <v>17</v>
      </c>
      <c r="E515" s="218">
        <v>1</v>
      </c>
      <c r="F515" s="218">
        <f>G518</f>
        <v>76.709999999999994</v>
      </c>
      <c r="G515" s="218">
        <f>TRUNC(E515*F515,2)</f>
        <v>76.709999999999994</v>
      </c>
      <c r="H515" s="218"/>
      <c r="I515" s="219"/>
    </row>
    <row r="516" spans="1:9" s="147" customFormat="1" ht="30">
      <c r="A516" s="177"/>
      <c r="B516" s="178" t="s">
        <v>49</v>
      </c>
      <c r="C516" s="215" t="s">
        <v>50</v>
      </c>
      <c r="D516" s="216" t="s">
        <v>51</v>
      </c>
      <c r="E516" s="216">
        <v>0.89610000000000001</v>
      </c>
      <c r="F516" s="216">
        <f>TRUNC(14.34,2)</f>
        <v>14.34</v>
      </c>
      <c r="G516" s="216">
        <f>TRUNC(E516*F516,2)</f>
        <v>12.85</v>
      </c>
      <c r="H516" s="216"/>
      <c r="I516" s="245"/>
    </row>
    <row r="517" spans="1:9" s="147" customFormat="1" ht="30">
      <c r="A517" s="177"/>
      <c r="B517" s="178" t="s">
        <v>256</v>
      </c>
      <c r="C517" s="215" t="s">
        <v>257</v>
      </c>
      <c r="D517" s="216" t="s">
        <v>51</v>
      </c>
      <c r="E517" s="216">
        <v>3.2239</v>
      </c>
      <c r="F517" s="216">
        <f>TRUNC(19.81,2)</f>
        <v>19.809999999999999</v>
      </c>
      <c r="G517" s="216">
        <f>TRUNC(E517*F517,2)</f>
        <v>63.86</v>
      </c>
      <c r="H517" s="216"/>
      <c r="I517" s="245"/>
    </row>
    <row r="518" spans="1:9" s="147" customFormat="1" ht="15">
      <c r="A518" s="177"/>
      <c r="B518" s="178"/>
      <c r="C518" s="215"/>
      <c r="D518" s="216"/>
      <c r="E518" s="216" t="s">
        <v>33</v>
      </c>
      <c r="F518" s="216"/>
      <c r="G518" s="216">
        <f>TRUNC(SUM(G516:G517),2)</f>
        <v>76.709999999999994</v>
      </c>
      <c r="H518" s="216"/>
      <c r="I518" s="245"/>
    </row>
    <row r="519" spans="1:9" s="147" customFormat="1" ht="30">
      <c r="A519" s="177"/>
      <c r="B519" s="178" t="s">
        <v>1877</v>
      </c>
      <c r="C519" s="215" t="s">
        <v>1878</v>
      </c>
      <c r="D519" s="216" t="s">
        <v>17</v>
      </c>
      <c r="E519" s="216">
        <v>1</v>
      </c>
      <c r="F519" s="216">
        <f>G529</f>
        <v>37.14</v>
      </c>
      <c r="G519" s="216">
        <f t="shared" ref="G519:G528" si="29">TRUNC(E519*F519,2)</f>
        <v>37.14</v>
      </c>
      <c r="H519" s="216"/>
      <c r="I519" s="245"/>
    </row>
    <row r="520" spans="1:9" s="147" customFormat="1" ht="30">
      <c r="A520" s="177"/>
      <c r="B520" s="178" t="s">
        <v>814</v>
      </c>
      <c r="C520" s="215" t="s">
        <v>815</v>
      </c>
      <c r="D520" s="216" t="s">
        <v>816</v>
      </c>
      <c r="E520" s="216">
        <v>0.4</v>
      </c>
      <c r="F520" s="216">
        <f>TRUNC(9.3947,2)</f>
        <v>9.39</v>
      </c>
      <c r="G520" s="216">
        <f t="shared" si="29"/>
        <v>3.75</v>
      </c>
      <c r="H520" s="216"/>
      <c r="I520" s="245"/>
    </row>
    <row r="521" spans="1:9" s="147" customFormat="1" ht="15">
      <c r="A521" s="177"/>
      <c r="B521" s="178" t="s">
        <v>296</v>
      </c>
      <c r="C521" s="215" t="s">
        <v>297</v>
      </c>
      <c r="D521" s="216" t="s">
        <v>46</v>
      </c>
      <c r="E521" s="216">
        <v>2.5000000000000001E-2</v>
      </c>
      <c r="F521" s="216">
        <f>TRUNC(36.05,2)</f>
        <v>36.049999999999997</v>
      </c>
      <c r="G521" s="216">
        <f t="shared" si="29"/>
        <v>0.9</v>
      </c>
      <c r="H521" s="216"/>
      <c r="I521" s="245"/>
    </row>
    <row r="522" spans="1:9" s="147" customFormat="1" ht="15">
      <c r="A522" s="177"/>
      <c r="B522" s="178" t="s">
        <v>298</v>
      </c>
      <c r="C522" s="215" t="s">
        <v>299</v>
      </c>
      <c r="D522" s="216" t="s">
        <v>46</v>
      </c>
      <c r="E522" s="216">
        <v>0.1</v>
      </c>
      <c r="F522" s="216">
        <f>TRUNC(1.82,2)</f>
        <v>1.82</v>
      </c>
      <c r="G522" s="216">
        <f t="shared" si="29"/>
        <v>0.18</v>
      </c>
      <c r="H522" s="216"/>
      <c r="I522" s="245"/>
    </row>
    <row r="523" spans="1:9" s="147" customFormat="1" ht="30">
      <c r="A523" s="177"/>
      <c r="B523" s="178" t="s">
        <v>49</v>
      </c>
      <c r="C523" s="215" t="s">
        <v>50</v>
      </c>
      <c r="D523" s="216" t="s">
        <v>51</v>
      </c>
      <c r="E523" s="216">
        <v>0.51500000000000001</v>
      </c>
      <c r="F523" s="216">
        <f>TRUNC(15.2,2)</f>
        <v>15.2</v>
      </c>
      <c r="G523" s="216">
        <f t="shared" si="29"/>
        <v>7.82</v>
      </c>
      <c r="H523" s="216"/>
      <c r="I523" s="245"/>
    </row>
    <row r="524" spans="1:9" s="147" customFormat="1" ht="30">
      <c r="A524" s="177"/>
      <c r="B524" s="178" t="s">
        <v>321</v>
      </c>
      <c r="C524" s="215" t="s">
        <v>322</v>
      </c>
      <c r="D524" s="216" t="s">
        <v>51</v>
      </c>
      <c r="E524" s="216">
        <v>0.72099999999999997</v>
      </c>
      <c r="F524" s="216">
        <f>TRUNC(21,2)</f>
        <v>21</v>
      </c>
      <c r="G524" s="216">
        <f t="shared" si="29"/>
        <v>15.14</v>
      </c>
      <c r="H524" s="216"/>
      <c r="I524" s="245"/>
    </row>
    <row r="525" spans="1:9" s="147" customFormat="1" ht="15">
      <c r="A525" s="177"/>
      <c r="B525" s="178" t="s">
        <v>1879</v>
      </c>
      <c r="C525" s="215" t="s">
        <v>1880</v>
      </c>
      <c r="D525" s="216" t="s">
        <v>7</v>
      </c>
      <c r="E525" s="216">
        <v>0.128</v>
      </c>
      <c r="F525" s="216">
        <f>TRUNC(31.36,2)</f>
        <v>31.36</v>
      </c>
      <c r="G525" s="216">
        <f t="shared" si="29"/>
        <v>4.01</v>
      </c>
      <c r="H525" s="216"/>
      <c r="I525" s="245"/>
    </row>
    <row r="526" spans="1:9" s="147" customFormat="1" ht="15">
      <c r="A526" s="177"/>
      <c r="B526" s="178" t="s">
        <v>258</v>
      </c>
      <c r="C526" s="215" t="s">
        <v>259</v>
      </c>
      <c r="D526" s="216" t="s">
        <v>7</v>
      </c>
      <c r="E526" s="216">
        <v>0.128</v>
      </c>
      <c r="F526" s="216">
        <f>TRUNC(31.36,2)</f>
        <v>31.36</v>
      </c>
      <c r="G526" s="216">
        <f t="shared" si="29"/>
        <v>4.01</v>
      </c>
      <c r="H526" s="216"/>
      <c r="I526" s="245"/>
    </row>
    <row r="527" spans="1:9" s="147" customFormat="1" ht="15">
      <c r="A527" s="177"/>
      <c r="B527" s="178" t="s">
        <v>262</v>
      </c>
      <c r="C527" s="215" t="s">
        <v>263</v>
      </c>
      <c r="D527" s="216" t="s">
        <v>51</v>
      </c>
      <c r="E527" s="216">
        <v>0.312</v>
      </c>
      <c r="F527" s="216">
        <f>TRUNC(1.4136,2)</f>
        <v>1.41</v>
      </c>
      <c r="G527" s="216">
        <f t="shared" si="29"/>
        <v>0.43</v>
      </c>
      <c r="H527" s="216"/>
      <c r="I527" s="245"/>
    </row>
    <row r="528" spans="1:9" s="147" customFormat="1" ht="15">
      <c r="A528" s="177"/>
      <c r="B528" s="178" t="s">
        <v>264</v>
      </c>
      <c r="C528" s="215" t="s">
        <v>265</v>
      </c>
      <c r="D528" s="216" t="s">
        <v>51</v>
      </c>
      <c r="E528" s="216">
        <v>0.156</v>
      </c>
      <c r="F528" s="216">
        <f>TRUNC(5.8387,2)</f>
        <v>5.83</v>
      </c>
      <c r="G528" s="216">
        <f t="shared" si="29"/>
        <v>0.9</v>
      </c>
      <c r="H528" s="216"/>
      <c r="I528" s="245"/>
    </row>
    <row r="529" spans="1:9" s="147" customFormat="1" ht="15">
      <c r="A529" s="185"/>
      <c r="B529" s="186"/>
      <c r="C529" s="221"/>
      <c r="D529" s="246"/>
      <c r="E529" s="246" t="s">
        <v>33</v>
      </c>
      <c r="F529" s="246"/>
      <c r="G529" s="246">
        <f>TRUNC(SUM(G520:G528),2)</f>
        <v>37.14</v>
      </c>
      <c r="H529" s="246"/>
      <c r="I529" s="247"/>
    </row>
    <row r="530" spans="1:9" ht="45">
      <c r="A530" s="170" t="s">
        <v>272</v>
      </c>
      <c r="B530" s="248" t="s">
        <v>279</v>
      </c>
      <c r="C530" s="249" t="s">
        <v>1883</v>
      </c>
      <c r="D530" s="170" t="s">
        <v>17</v>
      </c>
      <c r="E530" s="250">
        <v>70</v>
      </c>
      <c r="F530" s="140">
        <f>TRUNC(F531,2)</f>
        <v>156.99</v>
      </c>
      <c r="G530" s="140">
        <f>TRUNC(F530*1.2882,2)</f>
        <v>202.23</v>
      </c>
      <c r="H530" s="140">
        <f>TRUNC(F530*E530,2)</f>
        <v>10989.3</v>
      </c>
      <c r="I530" s="141">
        <f>TRUNC(E530*G530,2)</f>
        <v>14156.1</v>
      </c>
    </row>
    <row r="531" spans="1:9" ht="45">
      <c r="A531" s="74"/>
      <c r="B531" s="80" t="s">
        <v>279</v>
      </c>
      <c r="C531" s="81" t="s">
        <v>280</v>
      </c>
      <c r="D531" s="74" t="s">
        <v>17</v>
      </c>
      <c r="E531" s="78">
        <v>1</v>
      </c>
      <c r="F531" s="64">
        <f>TRUNC(156.9983,2)</f>
        <v>156.99</v>
      </c>
      <c r="G531" s="64">
        <f t="shared" ref="G531:G536" si="30">TRUNC(E531*F531,2)</f>
        <v>156.99</v>
      </c>
      <c r="H531" s="64"/>
      <c r="I531" s="78"/>
    </row>
    <row r="532" spans="1:9" ht="15">
      <c r="A532" s="74"/>
      <c r="B532" s="80" t="s">
        <v>281</v>
      </c>
      <c r="C532" s="81" t="s">
        <v>282</v>
      </c>
      <c r="D532" s="74" t="s">
        <v>17</v>
      </c>
      <c r="E532" s="78">
        <v>1.07</v>
      </c>
      <c r="F532" s="64">
        <v>116.32</v>
      </c>
      <c r="G532" s="64">
        <f t="shared" si="30"/>
        <v>124.46</v>
      </c>
      <c r="H532" s="64"/>
      <c r="I532" s="78"/>
    </row>
    <row r="533" spans="1:9" ht="15">
      <c r="A533" s="74"/>
      <c r="B533" s="80" t="s">
        <v>283</v>
      </c>
      <c r="C533" s="81" t="s">
        <v>284</v>
      </c>
      <c r="D533" s="74" t="s">
        <v>46</v>
      </c>
      <c r="E533" s="78">
        <v>8.6199999999999992</v>
      </c>
      <c r="F533" s="64">
        <v>2.1800000000000002</v>
      </c>
      <c r="G533" s="64">
        <f t="shared" si="30"/>
        <v>18.79</v>
      </c>
      <c r="H533" s="64"/>
      <c r="I533" s="78"/>
    </row>
    <row r="534" spans="1:9" ht="15">
      <c r="A534" s="74"/>
      <c r="B534" s="80" t="s">
        <v>285</v>
      </c>
      <c r="C534" s="81" t="s">
        <v>286</v>
      </c>
      <c r="D534" s="74" t="s">
        <v>46</v>
      </c>
      <c r="E534" s="78">
        <v>0.14000000000000001</v>
      </c>
      <c r="F534" s="64">
        <v>4.16</v>
      </c>
      <c r="G534" s="64">
        <f t="shared" si="30"/>
        <v>0.57999999999999996</v>
      </c>
      <c r="H534" s="64"/>
      <c r="I534" s="78"/>
    </row>
    <row r="535" spans="1:9" ht="15">
      <c r="A535" s="74"/>
      <c r="B535" s="80" t="s">
        <v>56</v>
      </c>
      <c r="C535" s="81" t="s">
        <v>57</v>
      </c>
      <c r="D535" s="74" t="s">
        <v>51</v>
      </c>
      <c r="E535" s="78">
        <v>0.2</v>
      </c>
      <c r="F535" s="64">
        <f>TRUNC(22.72,2)</f>
        <v>22.72</v>
      </c>
      <c r="G535" s="64">
        <f t="shared" si="30"/>
        <v>4.54</v>
      </c>
      <c r="H535" s="64"/>
      <c r="I535" s="78"/>
    </row>
    <row r="536" spans="1:9" ht="15">
      <c r="A536" s="74"/>
      <c r="B536" s="80" t="s">
        <v>87</v>
      </c>
      <c r="C536" s="81" t="s">
        <v>88</v>
      </c>
      <c r="D536" s="74" t="s">
        <v>51</v>
      </c>
      <c r="E536" s="78">
        <v>0.44</v>
      </c>
      <c r="F536" s="64">
        <f>TRUNC(31.2,2)</f>
        <v>31.2</v>
      </c>
      <c r="G536" s="64">
        <f t="shared" si="30"/>
        <v>13.72</v>
      </c>
      <c r="H536" s="64"/>
      <c r="I536" s="78"/>
    </row>
    <row r="537" spans="1:9" ht="15">
      <c r="A537" s="74"/>
      <c r="B537" s="80"/>
      <c r="C537" s="81"/>
      <c r="D537" s="74"/>
      <c r="E537" s="78" t="s">
        <v>33</v>
      </c>
      <c r="F537" s="64"/>
      <c r="G537" s="64">
        <f>TRUNC(SUM(G532:G536),2)</f>
        <v>162.09</v>
      </c>
      <c r="H537" s="64"/>
      <c r="I537" s="78"/>
    </row>
    <row r="538" spans="1:9" ht="45">
      <c r="A538" s="68" t="s">
        <v>287</v>
      </c>
      <c r="B538" s="72" t="s">
        <v>1614</v>
      </c>
      <c r="C538" s="73" t="s">
        <v>1884</v>
      </c>
      <c r="D538" s="19" t="s">
        <v>17</v>
      </c>
      <c r="E538" s="56">
        <v>377.95</v>
      </c>
      <c r="F538" s="18">
        <f>TRUNC(F539,2)</f>
        <v>83.02</v>
      </c>
      <c r="G538" s="18">
        <f>TRUNC(F538*1.2882,2)</f>
        <v>106.94</v>
      </c>
      <c r="H538" s="18">
        <f>TRUNC(F538*E538,2)</f>
        <v>31377.4</v>
      </c>
      <c r="I538" s="56">
        <f>TRUNC(E538*G538,2)</f>
        <v>40417.97</v>
      </c>
    </row>
    <row r="539" spans="1:9" ht="30">
      <c r="A539" s="92"/>
      <c r="B539" s="93" t="s">
        <v>288</v>
      </c>
      <c r="C539" s="94" t="s">
        <v>289</v>
      </c>
      <c r="D539" s="92" t="s">
        <v>17</v>
      </c>
      <c r="E539" s="95">
        <v>1</v>
      </c>
      <c r="F539" s="96">
        <f>G547</f>
        <v>83.02</v>
      </c>
      <c r="G539" s="97">
        <f t="shared" ref="G539:G546" si="31">TRUNC(E539*F539,2)</f>
        <v>83.02</v>
      </c>
      <c r="H539" s="97"/>
      <c r="I539" s="96"/>
    </row>
    <row r="540" spans="1:9" ht="15">
      <c r="A540" s="92"/>
      <c r="B540" s="93" t="s">
        <v>290</v>
      </c>
      <c r="C540" s="94" t="s">
        <v>291</v>
      </c>
      <c r="D540" s="92" t="s">
        <v>17</v>
      </c>
      <c r="E540" s="95">
        <v>1.1000000000000001</v>
      </c>
      <c r="F540" s="96">
        <v>29.56</v>
      </c>
      <c r="G540" s="97">
        <f t="shared" si="31"/>
        <v>32.51</v>
      </c>
      <c r="H540" s="97"/>
      <c r="I540" s="96"/>
    </row>
    <row r="541" spans="1:9" ht="15">
      <c r="A541" s="92"/>
      <c r="B541" s="93" t="s">
        <v>273</v>
      </c>
      <c r="C541" s="94" t="s">
        <v>274</v>
      </c>
      <c r="D541" s="92" t="s">
        <v>7</v>
      </c>
      <c r="E541" s="95">
        <v>0.32</v>
      </c>
      <c r="F541" s="96">
        <v>19.73</v>
      </c>
      <c r="G541" s="97">
        <f t="shared" si="31"/>
        <v>6.31</v>
      </c>
      <c r="H541" s="97"/>
      <c r="I541" s="96"/>
    </row>
    <row r="542" spans="1:9" ht="15">
      <c r="A542" s="92"/>
      <c r="B542" s="93" t="s">
        <v>275</v>
      </c>
      <c r="C542" s="94" t="s">
        <v>276</v>
      </c>
      <c r="D542" s="92" t="s">
        <v>7</v>
      </c>
      <c r="E542" s="95">
        <v>0.2</v>
      </c>
      <c r="F542" s="96">
        <v>26.4</v>
      </c>
      <c r="G542" s="97">
        <f t="shared" si="31"/>
        <v>5.28</v>
      </c>
      <c r="H542" s="97"/>
      <c r="I542" s="96"/>
    </row>
    <row r="543" spans="1:9" s="169" customFormat="1" ht="31.5">
      <c r="A543" s="251"/>
      <c r="B543" s="252" t="s">
        <v>292</v>
      </c>
      <c r="C543" s="253" t="s">
        <v>293</v>
      </c>
      <c r="D543" s="251" t="s">
        <v>46</v>
      </c>
      <c r="E543" s="254"/>
      <c r="F543" s="255">
        <v>0.59740000000000004</v>
      </c>
      <c r="G543" s="99">
        <f t="shared" si="31"/>
        <v>0</v>
      </c>
      <c r="H543" s="99"/>
      <c r="I543" s="255"/>
    </row>
    <row r="544" spans="1:9" ht="30">
      <c r="A544" s="92"/>
      <c r="B544" s="93" t="s">
        <v>49</v>
      </c>
      <c r="C544" s="94" t="s">
        <v>50</v>
      </c>
      <c r="D544" s="92" t="s">
        <v>51</v>
      </c>
      <c r="E544" s="95">
        <v>1.03</v>
      </c>
      <c r="F544" s="96">
        <f>TRUNC(15.2,2)</f>
        <v>15.2</v>
      </c>
      <c r="G544" s="97">
        <f t="shared" si="31"/>
        <v>15.65</v>
      </c>
      <c r="H544" s="97"/>
      <c r="I544" s="96"/>
    </row>
    <row r="545" spans="1:9" ht="15">
      <c r="A545" s="92"/>
      <c r="B545" s="93" t="s">
        <v>277</v>
      </c>
      <c r="C545" s="94" t="s">
        <v>278</v>
      </c>
      <c r="D545" s="92" t="s">
        <v>51</v>
      </c>
      <c r="E545" s="95">
        <v>1.03</v>
      </c>
      <c r="F545" s="96">
        <v>22.6</v>
      </c>
      <c r="G545" s="97">
        <f t="shared" si="31"/>
        <v>23.27</v>
      </c>
      <c r="H545" s="97"/>
      <c r="I545" s="96"/>
    </row>
    <row r="546" spans="1:9" s="169" customFormat="1" ht="31.5">
      <c r="A546" s="251"/>
      <c r="B546" s="252" t="s">
        <v>294</v>
      </c>
      <c r="C546" s="253" t="s">
        <v>295</v>
      </c>
      <c r="D546" s="251" t="s">
        <v>17</v>
      </c>
      <c r="E546" s="254"/>
      <c r="F546" s="255">
        <v>5.9904000000000002</v>
      </c>
      <c r="G546" s="99">
        <f t="shared" si="31"/>
        <v>0</v>
      </c>
      <c r="H546" s="99"/>
      <c r="I546" s="255"/>
    </row>
    <row r="547" spans="1:9" ht="15">
      <c r="A547" s="92"/>
      <c r="B547" s="93"/>
      <c r="C547" s="94"/>
      <c r="D547" s="92"/>
      <c r="E547" s="95" t="s">
        <v>33</v>
      </c>
      <c r="F547" s="96"/>
      <c r="G547" s="97">
        <f>TRUNC(SUM(G540:G546),2)</f>
        <v>83.02</v>
      </c>
      <c r="H547" s="97"/>
      <c r="I547" s="96"/>
    </row>
    <row r="548" spans="1:9" s="57" customFormat="1" ht="75.75">
      <c r="A548" s="133" t="s">
        <v>302</v>
      </c>
      <c r="B548" s="134" t="s">
        <v>303</v>
      </c>
      <c r="C548" s="310" t="s">
        <v>1677</v>
      </c>
      <c r="D548" s="239" t="s">
        <v>17</v>
      </c>
      <c r="E548" s="239">
        <v>501.15</v>
      </c>
      <c r="F548" s="138">
        <f>TRUNC(F549,2)</f>
        <v>104.35</v>
      </c>
      <c r="G548" s="138">
        <f>TRUNC(F548*1.2882,2)</f>
        <v>134.41999999999999</v>
      </c>
      <c r="H548" s="138">
        <f>TRUNC(F548*E548,2)</f>
        <v>52295</v>
      </c>
      <c r="I548" s="139">
        <f>TRUNC(E548*G548,2)</f>
        <v>67364.58</v>
      </c>
    </row>
    <row r="549" spans="1:9" ht="90">
      <c r="A549" s="181"/>
      <c r="B549" s="182" t="s">
        <v>303</v>
      </c>
      <c r="C549" s="217" t="s">
        <v>304</v>
      </c>
      <c r="D549" s="218" t="s">
        <v>17</v>
      </c>
      <c r="E549" s="218">
        <v>1</v>
      </c>
      <c r="F549" s="218">
        <f>G555</f>
        <v>104.35</v>
      </c>
      <c r="G549" s="218">
        <f t="shared" ref="G549:G554" si="32">TRUNC(E549*F549,2)</f>
        <v>104.35</v>
      </c>
      <c r="H549" s="218"/>
      <c r="I549" s="219"/>
    </row>
    <row r="550" spans="1:9" ht="15">
      <c r="A550" s="177"/>
      <c r="B550" s="178" t="s">
        <v>273</v>
      </c>
      <c r="C550" s="215" t="s">
        <v>274</v>
      </c>
      <c r="D550" s="216" t="s">
        <v>7</v>
      </c>
      <c r="E550" s="216">
        <v>0.32</v>
      </c>
      <c r="F550" s="216">
        <v>19.73</v>
      </c>
      <c r="G550" s="216">
        <f t="shared" si="32"/>
        <v>6.31</v>
      </c>
      <c r="H550" s="216"/>
      <c r="I550" s="245"/>
    </row>
    <row r="551" spans="1:9" ht="15">
      <c r="A551" s="177"/>
      <c r="B551" s="178" t="s">
        <v>275</v>
      </c>
      <c r="C551" s="215" t="s">
        <v>276</v>
      </c>
      <c r="D551" s="216" t="s">
        <v>7</v>
      </c>
      <c r="E551" s="216">
        <v>0.2</v>
      </c>
      <c r="F551" s="216">
        <v>26.4</v>
      </c>
      <c r="G551" s="216">
        <f t="shared" si="32"/>
        <v>5.28</v>
      </c>
      <c r="H551" s="216"/>
      <c r="I551" s="245"/>
    </row>
    <row r="552" spans="1:9" ht="45">
      <c r="A552" s="177"/>
      <c r="B552" s="178" t="s">
        <v>305</v>
      </c>
      <c r="C552" s="215" t="s">
        <v>306</v>
      </c>
      <c r="D552" s="216" t="s">
        <v>17</v>
      </c>
      <c r="E552" s="216">
        <v>1.1000000000000001</v>
      </c>
      <c r="F552" s="216">
        <v>52.48</v>
      </c>
      <c r="G552" s="216">
        <f t="shared" si="32"/>
        <v>57.72</v>
      </c>
      <c r="H552" s="216"/>
      <c r="I552" s="245"/>
    </row>
    <row r="553" spans="1:9" ht="30">
      <c r="A553" s="177"/>
      <c r="B553" s="178" t="s">
        <v>49</v>
      </c>
      <c r="C553" s="215" t="s">
        <v>50</v>
      </c>
      <c r="D553" s="216" t="s">
        <v>51</v>
      </c>
      <c r="E553" s="216">
        <v>0.92700000000000005</v>
      </c>
      <c r="F553" s="216">
        <v>15.2</v>
      </c>
      <c r="G553" s="216">
        <f t="shared" si="32"/>
        <v>14.09</v>
      </c>
      <c r="H553" s="216"/>
      <c r="I553" s="245"/>
    </row>
    <row r="554" spans="1:9" ht="15">
      <c r="A554" s="177"/>
      <c r="B554" s="178" t="s">
        <v>277</v>
      </c>
      <c r="C554" s="215" t="s">
        <v>278</v>
      </c>
      <c r="D554" s="216" t="s">
        <v>51</v>
      </c>
      <c r="E554" s="216">
        <v>0.92700000000000005</v>
      </c>
      <c r="F554" s="216">
        <v>22.6</v>
      </c>
      <c r="G554" s="216">
        <f t="shared" si="32"/>
        <v>20.95</v>
      </c>
      <c r="H554" s="216"/>
      <c r="I554" s="245"/>
    </row>
    <row r="555" spans="1:9" ht="15">
      <c r="A555" s="185"/>
      <c r="B555" s="186"/>
      <c r="C555" s="221"/>
      <c r="D555" s="246"/>
      <c r="E555" s="246" t="s">
        <v>33</v>
      </c>
      <c r="F555" s="246"/>
      <c r="G555" s="246">
        <f>TRUNC(SUM(G550:G554),2)</f>
        <v>104.35</v>
      </c>
      <c r="H555" s="246"/>
      <c r="I555" s="247"/>
    </row>
    <row r="556" spans="1:9" ht="45.75">
      <c r="A556" s="170" t="s">
        <v>307</v>
      </c>
      <c r="B556" s="248" t="s">
        <v>308</v>
      </c>
      <c r="C556" s="249" t="s">
        <v>1678</v>
      </c>
      <c r="D556" s="170" t="s">
        <v>17</v>
      </c>
      <c r="E556" s="24">
        <v>32.81</v>
      </c>
      <c r="F556" s="18">
        <f>TRUNC(F557,2)</f>
        <v>230.05</v>
      </c>
      <c r="G556" s="18">
        <f>TRUNC(F556*1.2882,2)</f>
        <v>296.35000000000002</v>
      </c>
      <c r="H556" s="18">
        <f>TRUNC(F556*E556,2)</f>
        <v>7547.94</v>
      </c>
      <c r="I556" s="56">
        <f>TRUNC(E556*G556,2)</f>
        <v>9723.24</v>
      </c>
    </row>
    <row r="557" spans="1:9" ht="45">
      <c r="A557" s="74"/>
      <c r="B557" s="80" t="s">
        <v>308</v>
      </c>
      <c r="C557" s="81" t="s">
        <v>309</v>
      </c>
      <c r="D557" s="74" t="s">
        <v>17</v>
      </c>
      <c r="E557" s="78">
        <v>1</v>
      </c>
      <c r="F557" s="64">
        <f>G562</f>
        <v>230.05</v>
      </c>
      <c r="G557" s="64">
        <f>TRUNC(E557*F557,2)</f>
        <v>230.05</v>
      </c>
      <c r="H557" s="64"/>
      <c r="I557" s="78"/>
    </row>
    <row r="558" spans="1:9" ht="15">
      <c r="A558" s="74"/>
      <c r="B558" s="80" t="s">
        <v>310</v>
      </c>
      <c r="C558" s="81" t="s">
        <v>311</v>
      </c>
      <c r="D558" s="74" t="s">
        <v>46</v>
      </c>
      <c r="E558" s="78">
        <v>7.69</v>
      </c>
      <c r="F558" s="64">
        <v>2.5</v>
      </c>
      <c r="G558" s="64">
        <f>TRUNC(E558*F558,2)</f>
        <v>19.22</v>
      </c>
      <c r="H558" s="64"/>
      <c r="I558" s="78"/>
    </row>
    <row r="559" spans="1:9" ht="30">
      <c r="A559" s="74"/>
      <c r="B559" s="80" t="s">
        <v>312</v>
      </c>
      <c r="C559" s="81" t="s">
        <v>313</v>
      </c>
      <c r="D559" s="74" t="s">
        <v>17</v>
      </c>
      <c r="E559" s="78">
        <v>1.1599999999999999</v>
      </c>
      <c r="F559" s="64">
        <v>134.34</v>
      </c>
      <c r="G559" s="64">
        <f>TRUNC(E559*F559,2)</f>
        <v>155.83000000000001</v>
      </c>
      <c r="H559" s="64"/>
      <c r="I559" s="78"/>
    </row>
    <row r="560" spans="1:9" ht="15">
      <c r="A560" s="74"/>
      <c r="B560" s="80" t="s">
        <v>56</v>
      </c>
      <c r="C560" s="81" t="s">
        <v>57</v>
      </c>
      <c r="D560" s="74" t="s">
        <v>51</v>
      </c>
      <c r="E560" s="78">
        <v>0.65</v>
      </c>
      <c r="F560" s="64">
        <f>TRUNC(22.72,2)</f>
        <v>22.72</v>
      </c>
      <c r="G560" s="64">
        <f>TRUNC(E560*F560,2)</f>
        <v>14.76</v>
      </c>
      <c r="H560" s="64"/>
      <c r="I560" s="78"/>
    </row>
    <row r="561" spans="1:9" ht="15">
      <c r="A561" s="74"/>
      <c r="B561" s="80" t="s">
        <v>87</v>
      </c>
      <c r="C561" s="81" t="s">
        <v>88</v>
      </c>
      <c r="D561" s="74" t="s">
        <v>51</v>
      </c>
      <c r="E561" s="78">
        <v>1.29</v>
      </c>
      <c r="F561" s="64">
        <f>TRUNC(31.2,2)</f>
        <v>31.2</v>
      </c>
      <c r="G561" s="64">
        <f>TRUNC(E561*F561,2)</f>
        <v>40.24</v>
      </c>
      <c r="H561" s="64"/>
      <c r="I561" s="78"/>
    </row>
    <row r="562" spans="1:9" ht="15">
      <c r="A562" s="74"/>
      <c r="B562" s="80"/>
      <c r="C562" s="81"/>
      <c r="D562" s="74"/>
      <c r="E562" s="78" t="s">
        <v>33</v>
      </c>
      <c r="F562" s="64"/>
      <c r="G562" s="64">
        <f>TRUNC(SUM(G558:G561),2)</f>
        <v>230.05</v>
      </c>
      <c r="H562" s="64"/>
      <c r="I562" s="78"/>
    </row>
    <row r="563" spans="1:9" ht="76.5">
      <c r="A563" s="68" t="s">
        <v>314</v>
      </c>
      <c r="B563" s="98" t="s">
        <v>315</v>
      </c>
      <c r="C563" s="23" t="s">
        <v>1679</v>
      </c>
      <c r="D563" s="68" t="s">
        <v>23</v>
      </c>
      <c r="E563" s="24">
        <v>11.83</v>
      </c>
      <c r="F563" s="18">
        <f>TRUNC(F564,2)</f>
        <v>68.16</v>
      </c>
      <c r="G563" s="18">
        <f>TRUNC(F563*1.2882,2)</f>
        <v>87.8</v>
      </c>
      <c r="H563" s="18">
        <f>TRUNC(F563*E563,2)</f>
        <v>806.33</v>
      </c>
      <c r="I563" s="56">
        <f>TRUNC(E563*G563,2)</f>
        <v>1038.67</v>
      </c>
    </row>
    <row r="564" spans="1:9" ht="60">
      <c r="A564" s="74"/>
      <c r="B564" s="80" t="s">
        <v>315</v>
      </c>
      <c r="C564" s="81" t="s">
        <v>316</v>
      </c>
      <c r="D564" s="74" t="s">
        <v>23</v>
      </c>
      <c r="E564" s="78">
        <v>1</v>
      </c>
      <c r="F564" s="64">
        <f>G571</f>
        <v>68.16</v>
      </c>
      <c r="G564" s="64">
        <f t="shared" ref="G564:G570" si="33">TRUNC(E564*F564,2)</f>
        <v>68.16</v>
      </c>
      <c r="H564" s="64"/>
      <c r="I564" s="78"/>
    </row>
    <row r="565" spans="1:9" ht="15">
      <c r="A565" s="74"/>
      <c r="B565" s="80" t="s">
        <v>325</v>
      </c>
      <c r="C565" s="81" t="s">
        <v>326</v>
      </c>
      <c r="D565" s="74" t="s">
        <v>23</v>
      </c>
      <c r="E565" s="78">
        <v>1.05</v>
      </c>
      <c r="F565" s="64">
        <v>46.74</v>
      </c>
      <c r="G565" s="64">
        <f t="shared" si="33"/>
        <v>49.07</v>
      </c>
      <c r="H565" s="64"/>
      <c r="I565" s="78"/>
    </row>
    <row r="566" spans="1:9" ht="15">
      <c r="A566" s="74"/>
      <c r="B566" s="80" t="s">
        <v>296</v>
      </c>
      <c r="C566" s="81" t="s">
        <v>297</v>
      </c>
      <c r="D566" s="74" t="s">
        <v>46</v>
      </c>
      <c r="E566" s="78">
        <v>2.7499999999999998E-3</v>
      </c>
      <c r="F566" s="64">
        <v>36.049999999999997</v>
      </c>
      <c r="G566" s="64">
        <f t="shared" si="33"/>
        <v>0.09</v>
      </c>
      <c r="H566" s="64"/>
      <c r="I566" s="78"/>
    </row>
    <row r="567" spans="1:9" ht="15">
      <c r="A567" s="74"/>
      <c r="B567" s="80" t="s">
        <v>298</v>
      </c>
      <c r="C567" s="81" t="s">
        <v>299</v>
      </c>
      <c r="D567" s="74" t="s">
        <v>46</v>
      </c>
      <c r="E567" s="78">
        <v>0.57999999999999996</v>
      </c>
      <c r="F567" s="64">
        <v>1.82</v>
      </c>
      <c r="G567" s="64">
        <f t="shared" si="33"/>
        <v>1.05</v>
      </c>
      <c r="H567" s="64"/>
      <c r="I567" s="78"/>
    </row>
    <row r="568" spans="1:9" ht="30">
      <c r="A568" s="74"/>
      <c r="B568" s="80" t="s">
        <v>49</v>
      </c>
      <c r="C568" s="81" t="s">
        <v>50</v>
      </c>
      <c r="D568" s="74" t="s">
        <v>51</v>
      </c>
      <c r="E568" s="78">
        <v>0.46350000000000002</v>
      </c>
      <c r="F568" s="64">
        <f>TRUNC(15.2,2)</f>
        <v>15.2</v>
      </c>
      <c r="G568" s="64">
        <f t="shared" si="33"/>
        <v>7.04</v>
      </c>
      <c r="H568" s="64"/>
      <c r="I568" s="78"/>
    </row>
    <row r="569" spans="1:9" ht="30">
      <c r="A569" s="74"/>
      <c r="B569" s="80" t="s">
        <v>321</v>
      </c>
      <c r="C569" s="81" t="s">
        <v>322</v>
      </c>
      <c r="D569" s="74" t="s">
        <v>51</v>
      </c>
      <c r="E569" s="78">
        <v>0.41200000000000003</v>
      </c>
      <c r="F569" s="64">
        <f>TRUNC(21,2)</f>
        <v>21</v>
      </c>
      <c r="G569" s="64">
        <f t="shared" si="33"/>
        <v>8.65</v>
      </c>
      <c r="H569" s="64"/>
      <c r="I569" s="78"/>
    </row>
    <row r="570" spans="1:9" ht="15">
      <c r="A570" s="74"/>
      <c r="B570" s="80" t="s">
        <v>323</v>
      </c>
      <c r="C570" s="81" t="s">
        <v>324</v>
      </c>
      <c r="D570" s="74" t="s">
        <v>55</v>
      </c>
      <c r="E570" s="78">
        <v>5.7999999999999996E-3</v>
      </c>
      <c r="F570" s="64">
        <v>391.34829999999999</v>
      </c>
      <c r="G570" s="64">
        <f t="shared" si="33"/>
        <v>2.2599999999999998</v>
      </c>
      <c r="H570" s="64"/>
      <c r="I570" s="78"/>
    </row>
    <row r="571" spans="1:9" ht="15">
      <c r="A571" s="74"/>
      <c r="B571" s="80"/>
      <c r="C571" s="81"/>
      <c r="D571" s="74"/>
      <c r="E571" s="78" t="s">
        <v>33</v>
      </c>
      <c r="F571" s="64"/>
      <c r="G571" s="64">
        <f>TRUNC(SUM(G565:G570),2)</f>
        <v>68.16</v>
      </c>
      <c r="H571" s="64"/>
      <c r="I571" s="78"/>
    </row>
    <row r="572" spans="1:9" ht="60">
      <c r="A572" s="68" t="s">
        <v>327</v>
      </c>
      <c r="B572" s="98" t="s">
        <v>315</v>
      </c>
      <c r="C572" s="23" t="s">
        <v>316</v>
      </c>
      <c r="D572" s="68" t="s">
        <v>23</v>
      </c>
      <c r="E572" s="24">
        <v>5.5</v>
      </c>
      <c r="F572" s="18">
        <f>TRUNC(F573,2)</f>
        <v>68.16</v>
      </c>
      <c r="G572" s="18">
        <f>TRUNC(F572*1.2882,2)</f>
        <v>87.8</v>
      </c>
      <c r="H572" s="18">
        <f>TRUNC(F572*E572,2)</f>
        <v>374.88</v>
      </c>
      <c r="I572" s="56">
        <f>TRUNC(E572*G572,2)</f>
        <v>482.9</v>
      </c>
    </row>
    <row r="573" spans="1:9" ht="60">
      <c r="A573" s="74"/>
      <c r="B573" s="80" t="s">
        <v>315</v>
      </c>
      <c r="C573" s="81" t="s">
        <v>316</v>
      </c>
      <c r="D573" s="74" t="s">
        <v>23</v>
      </c>
      <c r="E573" s="78">
        <v>1</v>
      </c>
      <c r="F573" s="64">
        <f>G580</f>
        <v>68.16</v>
      </c>
      <c r="G573" s="64">
        <f t="shared" ref="G573:G579" si="34">TRUNC(E573*F573,2)</f>
        <v>68.16</v>
      </c>
      <c r="H573" s="64"/>
      <c r="I573" s="78"/>
    </row>
    <row r="574" spans="1:9" ht="15">
      <c r="A574" s="74"/>
      <c r="B574" s="80" t="s">
        <v>325</v>
      </c>
      <c r="C574" s="81" t="s">
        <v>326</v>
      </c>
      <c r="D574" s="74" t="s">
        <v>23</v>
      </c>
      <c r="E574" s="78">
        <v>1.05</v>
      </c>
      <c r="F574" s="64">
        <v>46.74</v>
      </c>
      <c r="G574" s="64">
        <f t="shared" si="34"/>
        <v>49.07</v>
      </c>
      <c r="H574" s="64"/>
      <c r="I574" s="78"/>
    </row>
    <row r="575" spans="1:9" ht="15">
      <c r="A575" s="74"/>
      <c r="B575" s="80" t="s">
        <v>296</v>
      </c>
      <c r="C575" s="81" t="s">
        <v>297</v>
      </c>
      <c r="D575" s="74" t="s">
        <v>46</v>
      </c>
      <c r="E575" s="78">
        <v>2.7499999999999998E-3</v>
      </c>
      <c r="F575" s="64">
        <v>36.049999999999997</v>
      </c>
      <c r="G575" s="64">
        <f t="shared" si="34"/>
        <v>0.09</v>
      </c>
      <c r="H575" s="64"/>
      <c r="I575" s="78"/>
    </row>
    <row r="576" spans="1:9" ht="15">
      <c r="A576" s="74"/>
      <c r="B576" s="80" t="s">
        <v>298</v>
      </c>
      <c r="C576" s="81" t="s">
        <v>299</v>
      </c>
      <c r="D576" s="74" t="s">
        <v>46</v>
      </c>
      <c r="E576" s="78">
        <v>0.57999999999999996</v>
      </c>
      <c r="F576" s="64">
        <v>1.82</v>
      </c>
      <c r="G576" s="64">
        <f t="shared" si="34"/>
        <v>1.05</v>
      </c>
      <c r="H576" s="64"/>
      <c r="I576" s="78"/>
    </row>
    <row r="577" spans="1:9" ht="30">
      <c r="A577" s="74"/>
      <c r="B577" s="80" t="s">
        <v>49</v>
      </c>
      <c r="C577" s="81" t="s">
        <v>50</v>
      </c>
      <c r="D577" s="74" t="s">
        <v>51</v>
      </c>
      <c r="E577" s="78">
        <v>0.46350000000000002</v>
      </c>
      <c r="F577" s="64">
        <f>TRUNC(15.2,2)</f>
        <v>15.2</v>
      </c>
      <c r="G577" s="64">
        <f t="shared" si="34"/>
        <v>7.04</v>
      </c>
      <c r="H577" s="64"/>
      <c r="I577" s="78"/>
    </row>
    <row r="578" spans="1:9" ht="30">
      <c r="A578" s="74"/>
      <c r="B578" s="80" t="s">
        <v>321</v>
      </c>
      <c r="C578" s="81" t="s">
        <v>322</v>
      </c>
      <c r="D578" s="74" t="s">
        <v>51</v>
      </c>
      <c r="E578" s="78">
        <v>0.41200000000000003</v>
      </c>
      <c r="F578" s="64">
        <f>TRUNC(21,2)</f>
        <v>21</v>
      </c>
      <c r="G578" s="64">
        <f t="shared" si="34"/>
        <v>8.65</v>
      </c>
      <c r="H578" s="64"/>
      <c r="I578" s="78"/>
    </row>
    <row r="579" spans="1:9" ht="15">
      <c r="A579" s="74"/>
      <c r="B579" s="80" t="s">
        <v>323</v>
      </c>
      <c r="C579" s="81" t="s">
        <v>324</v>
      </c>
      <c r="D579" s="74" t="s">
        <v>55</v>
      </c>
      <c r="E579" s="78">
        <v>5.7999999999999996E-3</v>
      </c>
      <c r="F579" s="64">
        <v>391.34829999999999</v>
      </c>
      <c r="G579" s="64">
        <f t="shared" si="34"/>
        <v>2.2599999999999998</v>
      </c>
      <c r="H579" s="64"/>
      <c r="I579" s="78"/>
    </row>
    <row r="580" spans="1:9" ht="15">
      <c r="A580" s="74"/>
      <c r="B580" s="80"/>
      <c r="C580" s="81"/>
      <c r="D580" s="74"/>
      <c r="E580" s="78" t="s">
        <v>33</v>
      </c>
      <c r="F580" s="64"/>
      <c r="G580" s="64">
        <f>TRUNC(SUM(G574:G579),2)</f>
        <v>68.16</v>
      </c>
      <c r="H580" s="64"/>
      <c r="I580" s="78"/>
    </row>
    <row r="581" spans="1:9" ht="60">
      <c r="A581" s="68" t="s">
        <v>328</v>
      </c>
      <c r="B581" s="98" t="s">
        <v>317</v>
      </c>
      <c r="C581" s="23" t="s">
        <v>318</v>
      </c>
      <c r="D581" s="68" t="s">
        <v>23</v>
      </c>
      <c r="E581" s="24">
        <v>5</v>
      </c>
      <c r="F581" s="18">
        <f>TRUNC(F582,2)</f>
        <v>103.13</v>
      </c>
      <c r="G581" s="18">
        <f>TRUNC(F581*1.2882,2)</f>
        <v>132.85</v>
      </c>
      <c r="H581" s="18">
        <f>TRUNC(F581*E581,2)</f>
        <v>515.65</v>
      </c>
      <c r="I581" s="56">
        <f>TRUNC(E581*G581,2)</f>
        <v>664.25</v>
      </c>
    </row>
    <row r="582" spans="1:9" ht="60">
      <c r="A582" s="74"/>
      <c r="B582" s="80" t="s">
        <v>317</v>
      </c>
      <c r="C582" s="81" t="s">
        <v>318</v>
      </c>
      <c r="D582" s="74" t="s">
        <v>23</v>
      </c>
      <c r="E582" s="78">
        <v>1</v>
      </c>
      <c r="F582" s="64">
        <f>G589</f>
        <v>103.13</v>
      </c>
      <c r="G582" s="64">
        <f t="shared" ref="G582:G588" si="35">TRUNC(E582*F582,2)</f>
        <v>103.13</v>
      </c>
      <c r="H582" s="64"/>
      <c r="I582" s="78"/>
    </row>
    <row r="583" spans="1:9" ht="15">
      <c r="A583" s="74"/>
      <c r="B583" s="80" t="s">
        <v>319</v>
      </c>
      <c r="C583" s="81" t="s">
        <v>320</v>
      </c>
      <c r="D583" s="74" t="s">
        <v>23</v>
      </c>
      <c r="E583" s="78">
        <v>1.05</v>
      </c>
      <c r="F583" s="64">
        <v>77.89</v>
      </c>
      <c r="G583" s="64">
        <f t="shared" si="35"/>
        <v>81.78</v>
      </c>
      <c r="H583" s="64"/>
      <c r="I583" s="78"/>
    </row>
    <row r="584" spans="1:9" ht="15">
      <c r="A584" s="74"/>
      <c r="B584" s="80" t="s">
        <v>296</v>
      </c>
      <c r="C584" s="81" t="s">
        <v>297</v>
      </c>
      <c r="D584" s="74" t="s">
        <v>46</v>
      </c>
      <c r="E584" s="78">
        <v>4.7499999999999999E-3</v>
      </c>
      <c r="F584" s="64">
        <v>36.049999999999997</v>
      </c>
      <c r="G584" s="64">
        <f t="shared" si="35"/>
        <v>0.17</v>
      </c>
      <c r="H584" s="64"/>
      <c r="I584" s="78"/>
    </row>
    <row r="585" spans="1:9" ht="15">
      <c r="A585" s="74"/>
      <c r="B585" s="80" t="s">
        <v>298</v>
      </c>
      <c r="C585" s="81" t="s">
        <v>299</v>
      </c>
      <c r="D585" s="74" t="s">
        <v>46</v>
      </c>
      <c r="E585" s="78">
        <v>0.96</v>
      </c>
      <c r="F585" s="64">
        <v>1.82</v>
      </c>
      <c r="G585" s="64">
        <f t="shared" si="35"/>
        <v>1.74</v>
      </c>
      <c r="H585" s="64"/>
      <c r="I585" s="78"/>
    </row>
    <row r="586" spans="1:9" ht="30">
      <c r="A586" s="74"/>
      <c r="B586" s="80" t="s">
        <v>49</v>
      </c>
      <c r="C586" s="81" t="s">
        <v>50</v>
      </c>
      <c r="D586" s="74" t="s">
        <v>51</v>
      </c>
      <c r="E586" s="78">
        <v>0.46350000000000002</v>
      </c>
      <c r="F586" s="64">
        <f>TRUNC(15.2,2)</f>
        <v>15.2</v>
      </c>
      <c r="G586" s="64">
        <f t="shared" si="35"/>
        <v>7.04</v>
      </c>
      <c r="H586" s="64"/>
      <c r="I586" s="78"/>
    </row>
    <row r="587" spans="1:9" ht="30">
      <c r="A587" s="74"/>
      <c r="B587" s="80" t="s">
        <v>321</v>
      </c>
      <c r="C587" s="81" t="s">
        <v>322</v>
      </c>
      <c r="D587" s="74" t="s">
        <v>51</v>
      </c>
      <c r="E587" s="78">
        <v>0.41200000000000003</v>
      </c>
      <c r="F587" s="64">
        <f>TRUNC(21,2)</f>
        <v>21</v>
      </c>
      <c r="G587" s="64">
        <f t="shared" si="35"/>
        <v>8.65</v>
      </c>
      <c r="H587" s="64"/>
      <c r="I587" s="78"/>
    </row>
    <row r="588" spans="1:9" ht="15">
      <c r="A588" s="74"/>
      <c r="B588" s="80" t="s">
        <v>323</v>
      </c>
      <c r="C588" s="81" t="s">
        <v>324</v>
      </c>
      <c r="D588" s="74" t="s">
        <v>55</v>
      </c>
      <c r="E588" s="78">
        <v>9.5999999999999992E-3</v>
      </c>
      <c r="F588" s="64">
        <v>391.34829999999999</v>
      </c>
      <c r="G588" s="64">
        <f t="shared" si="35"/>
        <v>3.75</v>
      </c>
      <c r="H588" s="64"/>
      <c r="I588" s="78"/>
    </row>
    <row r="589" spans="1:9" ht="15">
      <c r="A589" s="74"/>
      <c r="B589" s="80"/>
      <c r="C589" s="81"/>
      <c r="D589" s="74"/>
      <c r="E589" s="78" t="s">
        <v>33</v>
      </c>
      <c r="F589" s="64"/>
      <c r="G589" s="64">
        <f>TRUNC(SUM(G583:G588),2)</f>
        <v>103.13</v>
      </c>
      <c r="H589" s="64"/>
      <c r="I589" s="78"/>
    </row>
    <row r="590" spans="1:9" ht="62.25">
      <c r="A590" s="68" t="s">
        <v>333</v>
      </c>
      <c r="B590" s="98" t="s">
        <v>329</v>
      </c>
      <c r="C590" s="23" t="s">
        <v>1885</v>
      </c>
      <c r="D590" s="68" t="s">
        <v>17</v>
      </c>
      <c r="E590" s="24">
        <f>73.45*0.17+54.7*0.27</f>
        <v>27.255500000000005</v>
      </c>
      <c r="F590" s="18">
        <f>TRUNC(F591,2)</f>
        <v>523.58000000000004</v>
      </c>
      <c r="G590" s="18">
        <f>TRUNC(F590*1.2882,2)</f>
        <v>674.47</v>
      </c>
      <c r="H590" s="18">
        <f>TRUNC(F590*E590,2)</f>
        <v>14270.43</v>
      </c>
      <c r="I590" s="56">
        <f>TRUNC(E590*G590,2)</f>
        <v>18383.009999999998</v>
      </c>
    </row>
    <row r="591" spans="1:9" ht="45">
      <c r="A591" s="74"/>
      <c r="B591" s="80" t="s">
        <v>329</v>
      </c>
      <c r="C591" s="81" t="s">
        <v>330</v>
      </c>
      <c r="D591" s="74" t="s">
        <v>17</v>
      </c>
      <c r="E591" s="78">
        <v>1</v>
      </c>
      <c r="F591" s="64">
        <f>G596</f>
        <v>523.58000000000004</v>
      </c>
      <c r="G591" s="64">
        <f>TRUNC(E591*F591,2)</f>
        <v>523.58000000000004</v>
      </c>
      <c r="H591" s="64"/>
      <c r="I591" s="78"/>
    </row>
    <row r="592" spans="1:9" s="169" customFormat="1" ht="15.75">
      <c r="A592" s="256"/>
      <c r="B592" s="257" t="s">
        <v>437</v>
      </c>
      <c r="C592" s="258" t="s">
        <v>438</v>
      </c>
      <c r="D592" s="256" t="s">
        <v>17</v>
      </c>
      <c r="E592" s="259">
        <v>1.1000000000000001</v>
      </c>
      <c r="F592" s="260">
        <v>388</v>
      </c>
      <c r="G592" s="260">
        <f>TRUNC(E592*F592,2)</f>
        <v>426.8</v>
      </c>
      <c r="H592" s="260"/>
      <c r="I592" s="259"/>
    </row>
    <row r="593" spans="1:9" ht="30">
      <c r="A593" s="74"/>
      <c r="B593" s="80" t="s">
        <v>331</v>
      </c>
      <c r="C593" s="81" t="s">
        <v>332</v>
      </c>
      <c r="D593" s="74" t="s">
        <v>46</v>
      </c>
      <c r="E593" s="78">
        <v>0.3</v>
      </c>
      <c r="F593" s="64">
        <v>74.065399999999997</v>
      </c>
      <c r="G593" s="64">
        <f>TRUNC(E593*F593,2)</f>
        <v>22.21</v>
      </c>
      <c r="H593" s="64"/>
      <c r="I593" s="78"/>
    </row>
    <row r="594" spans="1:9" ht="30">
      <c r="A594" s="74"/>
      <c r="B594" s="80" t="s">
        <v>49</v>
      </c>
      <c r="C594" s="81" t="s">
        <v>50</v>
      </c>
      <c r="D594" s="74" t="s">
        <v>51</v>
      </c>
      <c r="E594" s="78">
        <v>2.06</v>
      </c>
      <c r="F594" s="64">
        <v>15.2</v>
      </c>
      <c r="G594" s="64">
        <f>TRUNC(E594*F594,2)</f>
        <v>31.31</v>
      </c>
      <c r="H594" s="64"/>
      <c r="I594" s="78"/>
    </row>
    <row r="595" spans="1:9" ht="30">
      <c r="A595" s="74"/>
      <c r="B595" s="80" t="s">
        <v>321</v>
      </c>
      <c r="C595" s="81" t="s">
        <v>322</v>
      </c>
      <c r="D595" s="74" t="s">
        <v>51</v>
      </c>
      <c r="E595" s="78">
        <v>2.06</v>
      </c>
      <c r="F595" s="64">
        <v>21</v>
      </c>
      <c r="G595" s="64">
        <f>TRUNC(E595*F595,2)</f>
        <v>43.26</v>
      </c>
      <c r="H595" s="64"/>
      <c r="I595" s="78"/>
    </row>
    <row r="596" spans="1:9" ht="15">
      <c r="A596" s="74"/>
      <c r="B596" s="80"/>
      <c r="C596" s="81"/>
      <c r="D596" s="74"/>
      <c r="E596" s="78" t="s">
        <v>33</v>
      </c>
      <c r="F596" s="64"/>
      <c r="G596" s="64">
        <f>TRUNC(SUM(G592:G595),2)</f>
        <v>523.58000000000004</v>
      </c>
      <c r="H596" s="64"/>
      <c r="I596" s="78"/>
    </row>
    <row r="597" spans="1:9" s="261" customFormat="1" ht="68.25">
      <c r="A597" s="68" t="s">
        <v>338</v>
      </c>
      <c r="B597" s="98" t="s">
        <v>1615</v>
      </c>
      <c r="C597" s="23" t="s">
        <v>2024</v>
      </c>
      <c r="D597" s="68" t="s">
        <v>23</v>
      </c>
      <c r="E597" s="24">
        <v>24.72</v>
      </c>
      <c r="F597" s="24">
        <f>TRUNC(G598,2)</f>
        <v>162.87</v>
      </c>
      <c r="G597" s="24">
        <f>TRUNC(F597*1.2882,2)</f>
        <v>209.8</v>
      </c>
      <c r="H597" s="24">
        <f>TRUNC(F597*E597,2)</f>
        <v>4026.14</v>
      </c>
      <c r="I597" s="24">
        <f>TRUNC(E597*G597,2)</f>
        <v>5186.25</v>
      </c>
    </row>
    <row r="598" spans="1:9" s="261" customFormat="1" ht="45">
      <c r="A598" s="92"/>
      <c r="B598" s="93" t="s">
        <v>334</v>
      </c>
      <c r="C598" s="94" t="s">
        <v>335</v>
      </c>
      <c r="D598" s="92" t="s">
        <v>23</v>
      </c>
      <c r="E598" s="95">
        <f>30/20</f>
        <v>1.5</v>
      </c>
      <c r="F598" s="96">
        <f>G605</f>
        <v>108.58</v>
      </c>
      <c r="G598" s="96">
        <f t="shared" ref="G598:G604" si="36">TRUNC(E598*F598,2)</f>
        <v>162.87</v>
      </c>
      <c r="H598" s="96"/>
      <c r="I598" s="95"/>
    </row>
    <row r="599" spans="1:9" s="295" customFormat="1" ht="15.75">
      <c r="A599" s="251"/>
      <c r="B599" s="252" t="s">
        <v>437</v>
      </c>
      <c r="C599" s="253" t="s">
        <v>438</v>
      </c>
      <c r="D599" s="251" t="s">
        <v>17</v>
      </c>
      <c r="E599" s="254">
        <v>0.22</v>
      </c>
      <c r="F599" s="255">
        <v>388</v>
      </c>
      <c r="G599" s="255">
        <f t="shared" si="36"/>
        <v>85.36</v>
      </c>
      <c r="H599" s="255"/>
      <c r="I599" s="254"/>
    </row>
    <row r="600" spans="1:9" s="261" customFormat="1" ht="15">
      <c r="A600" s="92"/>
      <c r="B600" s="93" t="s">
        <v>298</v>
      </c>
      <c r="C600" s="94" t="s">
        <v>299</v>
      </c>
      <c r="D600" s="92" t="s">
        <v>46</v>
      </c>
      <c r="E600" s="95">
        <v>0.4</v>
      </c>
      <c r="F600" s="96">
        <v>1.82</v>
      </c>
      <c r="G600" s="96">
        <f t="shared" si="36"/>
        <v>0.72</v>
      </c>
      <c r="H600" s="96"/>
      <c r="I600" s="95"/>
    </row>
    <row r="601" spans="1:9" s="261" customFormat="1" ht="30">
      <c r="A601" s="92"/>
      <c r="B601" s="93" t="s">
        <v>49</v>
      </c>
      <c r="C601" s="94" t="s">
        <v>50</v>
      </c>
      <c r="D601" s="92" t="s">
        <v>51</v>
      </c>
      <c r="E601" s="95">
        <v>0.56650000000000011</v>
      </c>
      <c r="F601" s="96">
        <f>TRUNC(15.2,2)</f>
        <v>15.2</v>
      </c>
      <c r="G601" s="96">
        <f t="shared" si="36"/>
        <v>8.61</v>
      </c>
      <c r="H601" s="96"/>
      <c r="I601" s="95"/>
    </row>
    <row r="602" spans="1:9" s="261" customFormat="1" ht="30">
      <c r="A602" s="92"/>
      <c r="B602" s="93" t="s">
        <v>321</v>
      </c>
      <c r="C602" s="94" t="s">
        <v>322</v>
      </c>
      <c r="D602" s="92" t="s">
        <v>51</v>
      </c>
      <c r="E602" s="95">
        <v>0.46350000000000002</v>
      </c>
      <c r="F602" s="96">
        <f>TRUNC(21,2)</f>
        <v>21</v>
      </c>
      <c r="G602" s="96">
        <f t="shared" si="36"/>
        <v>9.73</v>
      </c>
      <c r="H602" s="96"/>
      <c r="I602" s="95"/>
    </row>
    <row r="603" spans="1:9" s="261" customFormat="1" ht="15">
      <c r="A603" s="92"/>
      <c r="B603" s="93" t="s">
        <v>336</v>
      </c>
      <c r="C603" s="94" t="s">
        <v>337</v>
      </c>
      <c r="D603" s="92" t="s">
        <v>55</v>
      </c>
      <c r="E603" s="95">
        <v>8.0000000000000002E-3</v>
      </c>
      <c r="F603" s="96">
        <v>456.48849999999999</v>
      </c>
      <c r="G603" s="96">
        <f t="shared" si="36"/>
        <v>3.65</v>
      </c>
      <c r="H603" s="96"/>
      <c r="I603" s="95"/>
    </row>
    <row r="604" spans="1:9" s="261" customFormat="1" ht="15">
      <c r="A604" s="92"/>
      <c r="B604" s="93" t="s">
        <v>300</v>
      </c>
      <c r="C604" s="94" t="s">
        <v>301</v>
      </c>
      <c r="D604" s="92" t="s">
        <v>55</v>
      </c>
      <c r="E604" s="95">
        <v>5.9999999999999995E-4</v>
      </c>
      <c r="F604" s="96">
        <v>865.904</v>
      </c>
      <c r="G604" s="96">
        <f t="shared" si="36"/>
        <v>0.51</v>
      </c>
      <c r="H604" s="96"/>
      <c r="I604" s="95"/>
    </row>
    <row r="605" spans="1:9" s="261" customFormat="1" ht="15">
      <c r="A605" s="92"/>
      <c r="B605" s="93"/>
      <c r="C605" s="94"/>
      <c r="D605" s="92"/>
      <c r="E605" s="95" t="s">
        <v>33</v>
      </c>
      <c r="F605" s="96"/>
      <c r="G605" s="96">
        <f>TRUNC(SUM(G599:G604),2)</f>
        <v>108.58</v>
      </c>
      <c r="H605" s="96"/>
      <c r="I605" s="95"/>
    </row>
    <row r="606" spans="1:9" s="261" customFormat="1" ht="70.5">
      <c r="A606" s="68" t="s">
        <v>339</v>
      </c>
      <c r="B606" s="98" t="s">
        <v>1616</v>
      </c>
      <c r="C606" s="23" t="s">
        <v>2025</v>
      </c>
      <c r="D606" s="68" t="s">
        <v>23</v>
      </c>
      <c r="E606" s="24">
        <v>47.82</v>
      </c>
      <c r="F606" s="24">
        <f>TRUNC(F607,2)</f>
        <v>108.58</v>
      </c>
      <c r="G606" s="24">
        <f>TRUNC(F606*1.2882,2)</f>
        <v>139.87</v>
      </c>
      <c r="H606" s="24">
        <f>TRUNC(F606*E606,2)</f>
        <v>5192.29</v>
      </c>
      <c r="I606" s="24">
        <f>TRUNC(E606*G606,2)</f>
        <v>6688.58</v>
      </c>
    </row>
    <row r="607" spans="1:9" s="261" customFormat="1" ht="45">
      <c r="A607" s="92"/>
      <c r="B607" s="93" t="s">
        <v>334</v>
      </c>
      <c r="C607" s="94" t="s">
        <v>335</v>
      </c>
      <c r="D607" s="92" t="s">
        <v>23</v>
      </c>
      <c r="E607" s="95">
        <v>1</v>
      </c>
      <c r="F607" s="96">
        <f>G614</f>
        <v>108.58</v>
      </c>
      <c r="G607" s="96">
        <f t="shared" ref="G607:G613" si="37">TRUNC(E607*F607,2)</f>
        <v>108.58</v>
      </c>
      <c r="H607" s="96"/>
      <c r="I607" s="95"/>
    </row>
    <row r="608" spans="1:9" s="295" customFormat="1" ht="15.75">
      <c r="A608" s="251"/>
      <c r="B608" s="252" t="s">
        <v>437</v>
      </c>
      <c r="C608" s="253" t="s">
        <v>438</v>
      </c>
      <c r="D608" s="251" t="s">
        <v>17</v>
      </c>
      <c r="E608" s="254">
        <v>0.22</v>
      </c>
      <c r="F608" s="255">
        <v>388</v>
      </c>
      <c r="G608" s="255">
        <f t="shared" si="37"/>
        <v>85.36</v>
      </c>
      <c r="H608" s="255"/>
      <c r="I608" s="254"/>
    </row>
    <row r="609" spans="1:9" s="261" customFormat="1" ht="15">
      <c r="A609" s="92"/>
      <c r="B609" s="93" t="s">
        <v>298</v>
      </c>
      <c r="C609" s="94" t="s">
        <v>299</v>
      </c>
      <c r="D609" s="92" t="s">
        <v>46</v>
      </c>
      <c r="E609" s="95">
        <v>0.4</v>
      </c>
      <c r="F609" s="96">
        <v>1.82</v>
      </c>
      <c r="G609" s="96">
        <f t="shared" si="37"/>
        <v>0.72</v>
      </c>
      <c r="H609" s="96"/>
      <c r="I609" s="95"/>
    </row>
    <row r="610" spans="1:9" s="261" customFormat="1" ht="30">
      <c r="A610" s="92"/>
      <c r="B610" s="93" t="s">
        <v>49</v>
      </c>
      <c r="C610" s="94" t="s">
        <v>50</v>
      </c>
      <c r="D610" s="92" t="s">
        <v>51</v>
      </c>
      <c r="E610" s="95">
        <v>0.56650000000000011</v>
      </c>
      <c r="F610" s="96">
        <f>TRUNC(15.2,2)</f>
        <v>15.2</v>
      </c>
      <c r="G610" s="96">
        <f t="shared" si="37"/>
        <v>8.61</v>
      </c>
      <c r="H610" s="96"/>
      <c r="I610" s="95"/>
    </row>
    <row r="611" spans="1:9" s="261" customFormat="1" ht="30">
      <c r="A611" s="92"/>
      <c r="B611" s="93" t="s">
        <v>321</v>
      </c>
      <c r="C611" s="94" t="s">
        <v>322</v>
      </c>
      <c r="D611" s="92" t="s">
        <v>51</v>
      </c>
      <c r="E611" s="95">
        <v>0.46350000000000002</v>
      </c>
      <c r="F611" s="96">
        <f>TRUNC(21,2)</f>
        <v>21</v>
      </c>
      <c r="G611" s="96">
        <f t="shared" si="37"/>
        <v>9.73</v>
      </c>
      <c r="H611" s="96"/>
      <c r="I611" s="95"/>
    </row>
    <row r="612" spans="1:9" s="261" customFormat="1" ht="15">
      <c r="A612" s="92"/>
      <c r="B612" s="93" t="s">
        <v>336</v>
      </c>
      <c r="C612" s="94" t="s">
        <v>337</v>
      </c>
      <c r="D612" s="92" t="s">
        <v>55</v>
      </c>
      <c r="E612" s="95">
        <v>8.0000000000000002E-3</v>
      </c>
      <c r="F612" s="96">
        <v>456.48849999999999</v>
      </c>
      <c r="G612" s="96">
        <f t="shared" si="37"/>
        <v>3.65</v>
      </c>
      <c r="H612" s="96"/>
      <c r="I612" s="95"/>
    </row>
    <row r="613" spans="1:9" s="261" customFormat="1" ht="15">
      <c r="A613" s="92"/>
      <c r="B613" s="93" t="s">
        <v>300</v>
      </c>
      <c r="C613" s="94" t="s">
        <v>301</v>
      </c>
      <c r="D613" s="92" t="s">
        <v>55</v>
      </c>
      <c r="E613" s="95">
        <v>5.9999999999999995E-4</v>
      </c>
      <c r="F613" s="96">
        <v>865.904</v>
      </c>
      <c r="G613" s="96">
        <f t="shared" si="37"/>
        <v>0.51</v>
      </c>
      <c r="H613" s="96"/>
      <c r="I613" s="95"/>
    </row>
    <row r="614" spans="1:9" s="261" customFormat="1" ht="15">
      <c r="A614" s="92"/>
      <c r="B614" s="93"/>
      <c r="C614" s="94"/>
      <c r="D614" s="92"/>
      <c r="E614" s="95" t="s">
        <v>33</v>
      </c>
      <c r="F614" s="96"/>
      <c r="G614" s="96">
        <f>TRUNC(SUM(G608:G613),2)</f>
        <v>108.58</v>
      </c>
      <c r="H614" s="96"/>
      <c r="I614" s="95"/>
    </row>
    <row r="615" spans="1:9" s="261" customFormat="1" ht="30.75">
      <c r="A615" s="68" t="s">
        <v>340</v>
      </c>
      <c r="B615" s="98" t="s">
        <v>1638</v>
      </c>
      <c r="C615" s="23" t="s">
        <v>1686</v>
      </c>
      <c r="D615" s="68" t="s">
        <v>23</v>
      </c>
      <c r="E615" s="24">
        <v>15.4</v>
      </c>
      <c r="F615" s="24">
        <f>TRUNC(F616,2)</f>
        <v>109.61</v>
      </c>
      <c r="G615" s="24">
        <f>TRUNC(F615*1.2882,2)</f>
        <v>141.19</v>
      </c>
      <c r="H615" s="24">
        <f>TRUNC(F615*E615,2)</f>
        <v>1687.99</v>
      </c>
      <c r="I615" s="24">
        <f>TRUNC(E615*G615,2)</f>
        <v>2174.3200000000002</v>
      </c>
    </row>
    <row r="616" spans="1:9" ht="30">
      <c r="A616" s="74"/>
      <c r="B616" s="80" t="s">
        <v>1638</v>
      </c>
      <c r="C616" s="81" t="s">
        <v>343</v>
      </c>
      <c r="D616" s="74" t="s">
        <v>23</v>
      </c>
      <c r="E616" s="78">
        <f>65/28</f>
        <v>2.3214285714285716</v>
      </c>
      <c r="F616" s="64">
        <f>G620</f>
        <v>109.61</v>
      </c>
      <c r="G616" s="64">
        <f>TRUNC(E616*F616,2)</f>
        <v>254.45</v>
      </c>
      <c r="H616" s="64"/>
      <c r="I616" s="78"/>
    </row>
    <row r="617" spans="1:9" ht="15">
      <c r="A617" s="74"/>
      <c r="B617" s="80" t="s">
        <v>344</v>
      </c>
      <c r="C617" s="81" t="s">
        <v>345</v>
      </c>
      <c r="D617" s="74" t="s">
        <v>23</v>
      </c>
      <c r="E617" s="78">
        <v>1.05</v>
      </c>
      <c r="F617" s="64">
        <v>86.93</v>
      </c>
      <c r="G617" s="64">
        <f>TRUNC(E617*F617,2)</f>
        <v>91.27</v>
      </c>
      <c r="H617" s="64"/>
      <c r="I617" s="78"/>
    </row>
    <row r="618" spans="1:9" ht="30">
      <c r="A618" s="74"/>
      <c r="B618" s="80" t="s">
        <v>49</v>
      </c>
      <c r="C618" s="81" t="s">
        <v>50</v>
      </c>
      <c r="D618" s="74" t="s">
        <v>51</v>
      </c>
      <c r="E618" s="78">
        <v>0.56650000000000011</v>
      </c>
      <c r="F618" s="64">
        <v>15.2</v>
      </c>
      <c r="G618" s="64">
        <f>TRUNC(E618*F618,2)</f>
        <v>8.61</v>
      </c>
      <c r="H618" s="64"/>
      <c r="I618" s="78"/>
    </row>
    <row r="619" spans="1:9" ht="30">
      <c r="A619" s="74"/>
      <c r="B619" s="80" t="s">
        <v>321</v>
      </c>
      <c r="C619" s="81" t="s">
        <v>322</v>
      </c>
      <c r="D619" s="74" t="s">
        <v>51</v>
      </c>
      <c r="E619" s="78">
        <v>0.46350000000000002</v>
      </c>
      <c r="F619" s="64">
        <v>21</v>
      </c>
      <c r="G619" s="64">
        <f>TRUNC(E619*F619,2)</f>
        <v>9.73</v>
      </c>
      <c r="H619" s="64"/>
      <c r="I619" s="78"/>
    </row>
    <row r="620" spans="1:9" ht="15">
      <c r="A620" s="74"/>
      <c r="B620" s="80"/>
      <c r="C620" s="81"/>
      <c r="D620" s="74"/>
      <c r="E620" s="78" t="s">
        <v>33</v>
      </c>
      <c r="F620" s="64"/>
      <c r="G620" s="64">
        <f>TRUNC(SUM(G617:G619),2)</f>
        <v>109.61</v>
      </c>
      <c r="H620" s="64"/>
      <c r="I620" s="78"/>
    </row>
    <row r="621" spans="1:9" s="261" customFormat="1" ht="30.75">
      <c r="A621" s="68" t="s">
        <v>341</v>
      </c>
      <c r="B621" s="98" t="s">
        <v>1681</v>
      </c>
      <c r="C621" s="23" t="s">
        <v>1685</v>
      </c>
      <c r="D621" s="68" t="s">
        <v>23</v>
      </c>
      <c r="E621" s="24">
        <v>18.61</v>
      </c>
      <c r="F621" s="24">
        <f>TRUNC(F622,2)</f>
        <v>77.22</v>
      </c>
      <c r="G621" s="24">
        <f>TRUNC(F621*1.2882,2)</f>
        <v>99.47</v>
      </c>
      <c r="H621" s="24">
        <f>TRUNC(F621*E621,2)</f>
        <v>1437.06</v>
      </c>
      <c r="I621" s="24">
        <f>TRUNC(E621*G621,2)</f>
        <v>1851.13</v>
      </c>
    </row>
    <row r="622" spans="1:9" s="261" customFormat="1" ht="30">
      <c r="A622" s="92"/>
      <c r="B622" s="93" t="s">
        <v>1681</v>
      </c>
      <c r="C622" s="94" t="s">
        <v>1682</v>
      </c>
      <c r="D622" s="92" t="s">
        <v>23</v>
      </c>
      <c r="E622" s="95">
        <v>1</v>
      </c>
      <c r="F622" s="96">
        <f>G626</f>
        <v>77.22</v>
      </c>
      <c r="G622" s="96">
        <f>TRUNC(E622*F622,2)</f>
        <v>77.22</v>
      </c>
      <c r="H622" s="96"/>
      <c r="I622" s="95"/>
    </row>
    <row r="623" spans="1:9" s="261" customFormat="1" ht="15">
      <c r="A623" s="92"/>
      <c r="B623" s="93" t="s">
        <v>1683</v>
      </c>
      <c r="C623" s="94" t="s">
        <v>1684</v>
      </c>
      <c r="D623" s="92" t="s">
        <v>23</v>
      </c>
      <c r="E623" s="95">
        <v>1.05</v>
      </c>
      <c r="F623" s="96">
        <f>TRUNC(56.08,2)</f>
        <v>56.08</v>
      </c>
      <c r="G623" s="96">
        <f>TRUNC(E623*F623,2)</f>
        <v>58.88</v>
      </c>
      <c r="H623" s="96"/>
      <c r="I623" s="95"/>
    </row>
    <row r="624" spans="1:9" s="261" customFormat="1" ht="30">
      <c r="A624" s="92"/>
      <c r="B624" s="93" t="s">
        <v>49</v>
      </c>
      <c r="C624" s="94" t="s">
        <v>50</v>
      </c>
      <c r="D624" s="92" t="s">
        <v>51</v>
      </c>
      <c r="E624" s="95">
        <v>0.56650000000000011</v>
      </c>
      <c r="F624" s="96">
        <f>TRUNC(15.2,2)</f>
        <v>15.2</v>
      </c>
      <c r="G624" s="96">
        <f>TRUNC(E624*F624,2)</f>
        <v>8.61</v>
      </c>
      <c r="H624" s="96"/>
      <c r="I624" s="95"/>
    </row>
    <row r="625" spans="1:9" s="261" customFormat="1" ht="30">
      <c r="A625" s="92"/>
      <c r="B625" s="93" t="s">
        <v>321</v>
      </c>
      <c r="C625" s="94" t="s">
        <v>322</v>
      </c>
      <c r="D625" s="92" t="s">
        <v>51</v>
      </c>
      <c r="E625" s="95">
        <v>0.46350000000000002</v>
      </c>
      <c r="F625" s="96">
        <f>TRUNC(21,2)</f>
        <v>21</v>
      </c>
      <c r="G625" s="96">
        <f>TRUNC(E625*F625,2)</f>
        <v>9.73</v>
      </c>
      <c r="H625" s="96"/>
      <c r="I625" s="95"/>
    </row>
    <row r="626" spans="1:9" s="261" customFormat="1" ht="15">
      <c r="A626" s="92"/>
      <c r="B626" s="93"/>
      <c r="C626" s="94"/>
      <c r="D626" s="92"/>
      <c r="E626" s="95" t="s">
        <v>33</v>
      </c>
      <c r="F626" s="96"/>
      <c r="G626" s="96">
        <f>TRUNC(SUM(G623:G625),2)</f>
        <v>77.22</v>
      </c>
      <c r="H626" s="96"/>
      <c r="I626" s="95"/>
    </row>
    <row r="627" spans="1:9" ht="35.25">
      <c r="A627" s="68" t="s">
        <v>348</v>
      </c>
      <c r="B627" s="98" t="s">
        <v>349</v>
      </c>
      <c r="C627" s="23" t="s">
        <v>347</v>
      </c>
      <c r="D627" s="68" t="s">
        <v>23</v>
      </c>
      <c r="E627" s="24">
        <v>2.5499999999999998</v>
      </c>
      <c r="F627" s="24">
        <f>TRUNC(G628,2)</f>
        <v>254.45</v>
      </c>
      <c r="G627" s="24">
        <f>TRUNC(F627*1.2882,2)</f>
        <v>327.78</v>
      </c>
      <c r="H627" s="24">
        <f>TRUNC(F627*E627,2)</f>
        <v>648.84</v>
      </c>
      <c r="I627" s="24">
        <f>TRUNC(E627*G627,2)</f>
        <v>835.83</v>
      </c>
    </row>
    <row r="628" spans="1:9" ht="30">
      <c r="A628" s="74"/>
      <c r="B628" s="80" t="s">
        <v>1638</v>
      </c>
      <c r="C628" s="81" t="s">
        <v>343</v>
      </c>
      <c r="D628" s="74" t="s">
        <v>23</v>
      </c>
      <c r="E628" s="78">
        <f>65/28</f>
        <v>2.3214285714285716</v>
      </c>
      <c r="F628" s="64">
        <f>G632</f>
        <v>109.61</v>
      </c>
      <c r="G628" s="64">
        <f>TRUNC(E628*F628,2)</f>
        <v>254.45</v>
      </c>
      <c r="H628" s="64"/>
      <c r="I628" s="78"/>
    </row>
    <row r="629" spans="1:9" ht="15">
      <c r="A629" s="74"/>
      <c r="B629" s="80" t="s">
        <v>344</v>
      </c>
      <c r="C629" s="81" t="s">
        <v>345</v>
      </c>
      <c r="D629" s="74" t="s">
        <v>23</v>
      </c>
      <c r="E629" s="78">
        <v>1.05</v>
      </c>
      <c r="F629" s="64">
        <v>86.93</v>
      </c>
      <c r="G629" s="64">
        <f>TRUNC(E629*F629,2)</f>
        <v>91.27</v>
      </c>
      <c r="H629" s="64"/>
      <c r="I629" s="78"/>
    </row>
    <row r="630" spans="1:9" ht="30">
      <c r="A630" s="74"/>
      <c r="B630" s="80" t="s">
        <v>49</v>
      </c>
      <c r="C630" s="81" t="s">
        <v>50</v>
      </c>
      <c r="D630" s="74" t="s">
        <v>51</v>
      </c>
      <c r="E630" s="78">
        <v>0.56650000000000011</v>
      </c>
      <c r="F630" s="64">
        <v>15.2</v>
      </c>
      <c r="G630" s="64">
        <f>TRUNC(E630*F630,2)</f>
        <v>8.61</v>
      </c>
      <c r="H630" s="64"/>
      <c r="I630" s="78"/>
    </row>
    <row r="631" spans="1:9" ht="30">
      <c r="A631" s="74"/>
      <c r="B631" s="80" t="s">
        <v>321</v>
      </c>
      <c r="C631" s="81" t="s">
        <v>322</v>
      </c>
      <c r="D631" s="74" t="s">
        <v>51</v>
      </c>
      <c r="E631" s="78">
        <v>0.46350000000000002</v>
      </c>
      <c r="F631" s="64">
        <v>21</v>
      </c>
      <c r="G631" s="64">
        <f>TRUNC(E631*F631,2)</f>
        <v>9.73</v>
      </c>
      <c r="H631" s="64"/>
      <c r="I631" s="78"/>
    </row>
    <row r="632" spans="1:9" ht="15">
      <c r="A632" s="74"/>
      <c r="B632" s="80"/>
      <c r="C632" s="81"/>
      <c r="D632" s="74"/>
      <c r="E632" s="78" t="s">
        <v>33</v>
      </c>
      <c r="F632" s="64"/>
      <c r="G632" s="64">
        <f>TRUNC(SUM(G629:G631),2)</f>
        <v>109.61</v>
      </c>
      <c r="H632" s="64"/>
      <c r="I632" s="78"/>
    </row>
    <row r="633" spans="1:9" ht="35.25">
      <c r="A633" s="68" t="s">
        <v>350</v>
      </c>
      <c r="B633" s="98" t="s">
        <v>349</v>
      </c>
      <c r="C633" s="23" t="s">
        <v>1617</v>
      </c>
      <c r="D633" s="68" t="s">
        <v>23</v>
      </c>
      <c r="E633" s="24">
        <v>2.1</v>
      </c>
      <c r="F633" s="24">
        <f>TRUNC(G634,2)</f>
        <v>137.01</v>
      </c>
      <c r="G633" s="24">
        <f>TRUNC(F633*1.2882,2)</f>
        <v>176.49</v>
      </c>
      <c r="H633" s="24">
        <f>TRUNC(F633*E633,2)</f>
        <v>287.72000000000003</v>
      </c>
      <c r="I633" s="24">
        <f>TRUNC(E633*G633,2)</f>
        <v>370.62</v>
      </c>
    </row>
    <row r="634" spans="1:9" ht="30">
      <c r="A634" s="74"/>
      <c r="B634" s="80" t="s">
        <v>342</v>
      </c>
      <c r="C634" s="81" t="s">
        <v>343</v>
      </c>
      <c r="D634" s="74" t="s">
        <v>23</v>
      </c>
      <c r="E634" s="78">
        <f>35/28</f>
        <v>1.25</v>
      </c>
      <c r="F634" s="64">
        <f>G638</f>
        <v>109.61</v>
      </c>
      <c r="G634" s="64">
        <f>TRUNC(E634*F634,2)</f>
        <v>137.01</v>
      </c>
      <c r="H634" s="64"/>
      <c r="I634" s="78"/>
    </row>
    <row r="635" spans="1:9" ht="15">
      <c r="A635" s="74"/>
      <c r="B635" s="80" t="s">
        <v>344</v>
      </c>
      <c r="C635" s="81" t="s">
        <v>345</v>
      </c>
      <c r="D635" s="74" t="s">
        <v>23</v>
      </c>
      <c r="E635" s="78">
        <v>1.05</v>
      </c>
      <c r="F635" s="64">
        <v>86.93</v>
      </c>
      <c r="G635" s="64">
        <f>TRUNC(E635*F635,2)</f>
        <v>91.27</v>
      </c>
      <c r="H635" s="64"/>
      <c r="I635" s="78"/>
    </row>
    <row r="636" spans="1:9" ht="30">
      <c r="A636" s="74"/>
      <c r="B636" s="80" t="s">
        <v>49</v>
      </c>
      <c r="C636" s="81" t="s">
        <v>66</v>
      </c>
      <c r="D636" s="74" t="s">
        <v>51</v>
      </c>
      <c r="E636" s="78">
        <v>0.56650000000000011</v>
      </c>
      <c r="F636" s="64">
        <v>15.2</v>
      </c>
      <c r="G636" s="64">
        <f>TRUNC(E636*F636,2)</f>
        <v>8.61</v>
      </c>
      <c r="H636" s="64"/>
      <c r="I636" s="78"/>
    </row>
    <row r="637" spans="1:9" ht="30">
      <c r="A637" s="74"/>
      <c r="B637" s="80" t="s">
        <v>321</v>
      </c>
      <c r="C637" s="81" t="s">
        <v>346</v>
      </c>
      <c r="D637" s="74" t="s">
        <v>51</v>
      </c>
      <c r="E637" s="78">
        <v>0.46350000000000002</v>
      </c>
      <c r="F637" s="64">
        <v>21</v>
      </c>
      <c r="G637" s="64">
        <f>TRUNC(E637*F637,2)</f>
        <v>9.73</v>
      </c>
      <c r="H637" s="64"/>
      <c r="I637" s="78"/>
    </row>
    <row r="638" spans="1:9" ht="15">
      <c r="A638" s="74"/>
      <c r="B638" s="80"/>
      <c r="C638" s="81"/>
      <c r="D638" s="74"/>
      <c r="E638" s="78" t="s">
        <v>33</v>
      </c>
      <c r="F638" s="64"/>
      <c r="G638" s="64">
        <f>TRUNC(SUM(G635:G637),2)</f>
        <v>109.61</v>
      </c>
      <c r="H638" s="64"/>
      <c r="I638" s="78"/>
    </row>
    <row r="639" spans="1:9" ht="45.75">
      <c r="A639" s="68" t="s">
        <v>355</v>
      </c>
      <c r="B639" s="98" t="s">
        <v>1687</v>
      </c>
      <c r="C639" s="23" t="s">
        <v>1886</v>
      </c>
      <c r="D639" s="68" t="s">
        <v>17</v>
      </c>
      <c r="E639" s="24">
        <v>14</v>
      </c>
      <c r="F639" s="24">
        <f>TRUNC(F640,2)</f>
        <v>99.55</v>
      </c>
      <c r="G639" s="24">
        <f>TRUNC(F639*1.2882,2)</f>
        <v>128.24</v>
      </c>
      <c r="H639" s="24">
        <f>TRUNC(F639*E639,2)</f>
        <v>1393.7</v>
      </c>
      <c r="I639" s="24">
        <f>TRUNC(E639*G639,2)</f>
        <v>1795.36</v>
      </c>
    </row>
    <row r="640" spans="1:9" ht="45">
      <c r="A640" s="74"/>
      <c r="B640" s="80" t="s">
        <v>1687</v>
      </c>
      <c r="C640" s="81" t="s">
        <v>1688</v>
      </c>
      <c r="D640" s="74" t="s">
        <v>17</v>
      </c>
      <c r="E640" s="78">
        <v>1</v>
      </c>
      <c r="F640" s="64">
        <f>TRUNC(99.55148,2)</f>
        <v>99.55</v>
      </c>
      <c r="G640" s="64">
        <f>TRUNC(E640*F640,2)</f>
        <v>99.55</v>
      </c>
      <c r="H640" s="64"/>
      <c r="I640" s="78"/>
    </row>
    <row r="641" spans="1:9" ht="30">
      <c r="A641" s="74"/>
      <c r="B641" s="80" t="s">
        <v>1689</v>
      </c>
      <c r="C641" s="81" t="s">
        <v>1690</v>
      </c>
      <c r="D641" s="74" t="s">
        <v>17</v>
      </c>
      <c r="E641" s="78">
        <v>1.05</v>
      </c>
      <c r="F641" s="64">
        <f>TRUNC(62.62,2)</f>
        <v>62.62</v>
      </c>
      <c r="G641" s="64">
        <f>TRUNC(E641*F641,2)</f>
        <v>65.75</v>
      </c>
      <c r="H641" s="64"/>
      <c r="I641" s="78"/>
    </row>
    <row r="642" spans="1:9" ht="15">
      <c r="A642" s="74"/>
      <c r="B642" s="80" t="s">
        <v>1691</v>
      </c>
      <c r="C642" s="81" t="s">
        <v>1692</v>
      </c>
      <c r="D642" s="74" t="s">
        <v>477</v>
      </c>
      <c r="E642" s="78">
        <v>0.14199999999999999</v>
      </c>
      <c r="F642" s="64">
        <f>TRUNC(100.94,2)</f>
        <v>100.94</v>
      </c>
      <c r="G642" s="64">
        <f>TRUNC(E642*F642,2)</f>
        <v>14.33</v>
      </c>
      <c r="H642" s="64"/>
      <c r="I642" s="78"/>
    </row>
    <row r="643" spans="1:9" ht="30">
      <c r="A643" s="74"/>
      <c r="B643" s="80" t="s">
        <v>49</v>
      </c>
      <c r="C643" s="81" t="s">
        <v>50</v>
      </c>
      <c r="D643" s="74" t="s">
        <v>51</v>
      </c>
      <c r="E643" s="78">
        <v>0.51500000000000001</v>
      </c>
      <c r="F643" s="64">
        <f>TRUNC(15.2,2)</f>
        <v>15.2</v>
      </c>
      <c r="G643" s="64">
        <f>TRUNC(E643*F643,2)</f>
        <v>7.82</v>
      </c>
      <c r="H643" s="64"/>
      <c r="I643" s="78"/>
    </row>
    <row r="644" spans="1:9" ht="15">
      <c r="A644" s="74"/>
      <c r="B644" s="80" t="s">
        <v>277</v>
      </c>
      <c r="C644" s="81" t="s">
        <v>278</v>
      </c>
      <c r="D644" s="74" t="s">
        <v>51</v>
      </c>
      <c r="E644" s="78">
        <v>0.51500000000000001</v>
      </c>
      <c r="F644" s="64">
        <f>TRUNC(22.6,2)</f>
        <v>22.6</v>
      </c>
      <c r="G644" s="64">
        <f>TRUNC(E644*F644,2)</f>
        <v>11.63</v>
      </c>
      <c r="H644" s="64"/>
      <c r="I644" s="78"/>
    </row>
    <row r="645" spans="1:9" ht="15">
      <c r="A645" s="74"/>
      <c r="B645" s="80"/>
      <c r="C645" s="81"/>
      <c r="D645" s="74"/>
      <c r="E645" s="78" t="s">
        <v>33</v>
      </c>
      <c r="F645" s="64"/>
      <c r="G645" s="64">
        <f>TRUNC(SUM(G641:G644),2)</f>
        <v>99.53</v>
      </c>
      <c r="H645" s="64"/>
      <c r="I645" s="78"/>
    </row>
    <row r="646" spans="1:9" ht="46.5">
      <c r="A646" s="68" t="s">
        <v>1680</v>
      </c>
      <c r="B646" s="98" t="s">
        <v>1693</v>
      </c>
      <c r="C646" s="23" t="s">
        <v>1887</v>
      </c>
      <c r="D646" s="68" t="s">
        <v>17</v>
      </c>
      <c r="E646" s="24">
        <v>13</v>
      </c>
      <c r="F646" s="24">
        <f>TRUNC(F647,2)</f>
        <v>99.55</v>
      </c>
      <c r="G646" s="24">
        <f>TRUNC(F646*1.2882,2)</f>
        <v>128.24</v>
      </c>
      <c r="H646" s="24">
        <f>TRUNC(F646*E646,2)</f>
        <v>1294.1500000000001</v>
      </c>
      <c r="I646" s="24">
        <f>TRUNC(E646*G646,2)</f>
        <v>1667.12</v>
      </c>
    </row>
    <row r="647" spans="1:9" ht="45">
      <c r="A647" s="74"/>
      <c r="B647" s="80" t="s">
        <v>1693</v>
      </c>
      <c r="C647" s="81" t="s">
        <v>1694</v>
      </c>
      <c r="D647" s="74" t="s">
        <v>17</v>
      </c>
      <c r="E647" s="78">
        <v>1</v>
      </c>
      <c r="F647" s="64">
        <f>TRUNC(99.55148,2)</f>
        <v>99.55</v>
      </c>
      <c r="G647" s="64">
        <f>TRUNC(E647*F647,2)</f>
        <v>99.55</v>
      </c>
      <c r="H647" s="64"/>
      <c r="I647" s="78"/>
    </row>
    <row r="648" spans="1:9" ht="30">
      <c r="A648" s="74"/>
      <c r="B648" s="80" t="s">
        <v>1695</v>
      </c>
      <c r="C648" s="81" t="s">
        <v>1696</v>
      </c>
      <c r="D648" s="74" t="s">
        <v>17</v>
      </c>
      <c r="E648" s="78">
        <v>1.05</v>
      </c>
      <c r="F648" s="64">
        <f>TRUNC(62.62,2)</f>
        <v>62.62</v>
      </c>
      <c r="G648" s="64">
        <f>TRUNC(E648*F648,2)</f>
        <v>65.75</v>
      </c>
      <c r="H648" s="64"/>
      <c r="I648" s="78"/>
    </row>
    <row r="649" spans="1:9" ht="15">
      <c r="A649" s="74"/>
      <c r="B649" s="80" t="s">
        <v>1691</v>
      </c>
      <c r="C649" s="81" t="s">
        <v>1692</v>
      </c>
      <c r="D649" s="74" t="s">
        <v>477</v>
      </c>
      <c r="E649" s="78">
        <v>0.14199999999999999</v>
      </c>
      <c r="F649" s="64">
        <f>TRUNC(100.94,2)</f>
        <v>100.94</v>
      </c>
      <c r="G649" s="64">
        <f>TRUNC(E649*F649,2)</f>
        <v>14.33</v>
      </c>
      <c r="H649" s="64"/>
      <c r="I649" s="78"/>
    </row>
    <row r="650" spans="1:9" ht="30">
      <c r="A650" s="74"/>
      <c r="B650" s="80" t="s">
        <v>49</v>
      </c>
      <c r="C650" s="81" t="s">
        <v>50</v>
      </c>
      <c r="D650" s="74" t="s">
        <v>51</v>
      </c>
      <c r="E650" s="78">
        <v>0.51500000000000001</v>
      </c>
      <c r="F650" s="64">
        <f>TRUNC(15.2,2)</f>
        <v>15.2</v>
      </c>
      <c r="G650" s="64">
        <f>TRUNC(E650*F650,2)</f>
        <v>7.82</v>
      </c>
      <c r="H650" s="64"/>
      <c r="I650" s="78"/>
    </row>
    <row r="651" spans="1:9" ht="15">
      <c r="A651" s="74"/>
      <c r="B651" s="80" t="s">
        <v>277</v>
      </c>
      <c r="C651" s="81" t="s">
        <v>278</v>
      </c>
      <c r="D651" s="74" t="s">
        <v>51</v>
      </c>
      <c r="E651" s="78">
        <v>0.51500000000000001</v>
      </c>
      <c r="F651" s="64">
        <f>TRUNC(22.6,2)</f>
        <v>22.6</v>
      </c>
      <c r="G651" s="64">
        <f>TRUNC(E651*F651,2)</f>
        <v>11.63</v>
      </c>
      <c r="H651" s="64"/>
      <c r="I651" s="78"/>
    </row>
    <row r="652" spans="1:9" ht="15">
      <c r="A652" s="74"/>
      <c r="B652" s="80"/>
      <c r="C652" s="81"/>
      <c r="D652" s="74"/>
      <c r="E652" s="78" t="s">
        <v>33</v>
      </c>
      <c r="F652" s="64"/>
      <c r="G652" s="64">
        <f>TRUNC(SUM(G648:G651),2)</f>
        <v>99.53</v>
      </c>
      <c r="H652" s="64"/>
      <c r="I652" s="78"/>
    </row>
    <row r="653" spans="1:9" s="169" customFormat="1" ht="15.75">
      <c r="A653" s="240" t="s">
        <v>18</v>
      </c>
      <c r="B653" s="241"/>
      <c r="C653" s="242"/>
      <c r="D653" s="240"/>
      <c r="E653" s="243"/>
      <c r="F653" s="244"/>
      <c r="G653" s="335" t="s">
        <v>356</v>
      </c>
      <c r="H653" s="336"/>
      <c r="I653" s="244">
        <f>I408+I416+I424+I431+I444+I452+I463+I474+I480+I486+I505+I514+I530+I538+I548+I556+I563+I572+I581+I590+I597+I606+I615+I621+I627+I633+I639+I646</f>
        <v>452343.63000000006</v>
      </c>
    </row>
    <row r="654" spans="1:9" ht="14.25" customHeight="1">
      <c r="A654" s="53" t="s">
        <v>22</v>
      </c>
      <c r="B654" s="54"/>
      <c r="C654" s="334" t="s">
        <v>25</v>
      </c>
      <c r="D654" s="334"/>
      <c r="E654" s="334"/>
      <c r="F654" s="334"/>
      <c r="G654" s="334"/>
      <c r="H654" s="334"/>
      <c r="I654" s="334"/>
    </row>
    <row r="655" spans="1:9" ht="60">
      <c r="A655" s="68" t="s">
        <v>365</v>
      </c>
      <c r="B655" s="98" t="s">
        <v>1767</v>
      </c>
      <c r="C655" s="23" t="s">
        <v>1764</v>
      </c>
      <c r="D655" s="68" t="s">
        <v>7</v>
      </c>
      <c r="E655" s="24">
        <v>6</v>
      </c>
      <c r="F655" s="24">
        <f>TRUNC(F656+G665,2)</f>
        <v>962.35</v>
      </c>
      <c r="G655" s="24">
        <f>TRUNC(F655*1.2882,2)</f>
        <v>1239.69</v>
      </c>
      <c r="H655" s="24">
        <f>TRUNC(F655*E655,2)</f>
        <v>5774.1</v>
      </c>
      <c r="I655" s="24">
        <f>TRUNC(E655*G655,2)</f>
        <v>7438.14</v>
      </c>
    </row>
    <row r="656" spans="1:9" ht="45">
      <c r="A656" s="74"/>
      <c r="B656" s="80" t="s">
        <v>363</v>
      </c>
      <c r="C656" s="81" t="s">
        <v>364</v>
      </c>
      <c r="D656" s="74" t="s">
        <v>7</v>
      </c>
      <c r="E656" s="78">
        <v>1</v>
      </c>
      <c r="F656" s="64">
        <f>G664</f>
        <v>942.03</v>
      </c>
      <c r="G656" s="64">
        <f t="shared" ref="G656:G663" si="38">TRUNC(E656*F656,2)</f>
        <v>942.03</v>
      </c>
      <c r="H656" s="64"/>
      <c r="I656" s="78"/>
    </row>
    <row r="657" spans="1:9" ht="15">
      <c r="A657" s="74"/>
      <c r="B657" s="80" t="s">
        <v>357</v>
      </c>
      <c r="C657" s="81" t="s">
        <v>358</v>
      </c>
      <c r="D657" s="74" t="s">
        <v>23</v>
      </c>
      <c r="E657" s="78">
        <v>10.6</v>
      </c>
      <c r="F657" s="64">
        <v>10.9002</v>
      </c>
      <c r="G657" s="64">
        <f t="shared" si="38"/>
        <v>115.54</v>
      </c>
      <c r="H657" s="64"/>
      <c r="I657" s="78"/>
    </row>
    <row r="658" spans="1:9" s="169" customFormat="1" ht="15.75">
      <c r="A658" s="256"/>
      <c r="B658" s="257" t="s">
        <v>1739</v>
      </c>
      <c r="C658" s="258" t="s">
        <v>1759</v>
      </c>
      <c r="D658" s="256" t="s">
        <v>23</v>
      </c>
      <c r="E658" s="259">
        <v>5.3</v>
      </c>
      <c r="F658" s="260">
        <v>84.905660377358487</v>
      </c>
      <c r="G658" s="260">
        <f t="shared" si="38"/>
        <v>450</v>
      </c>
      <c r="H658" s="260"/>
      <c r="I658" s="259"/>
    </row>
    <row r="659" spans="1:9" ht="15">
      <c r="A659" s="74"/>
      <c r="B659" s="80" t="s">
        <v>361</v>
      </c>
      <c r="C659" s="81" t="s">
        <v>362</v>
      </c>
      <c r="D659" s="74" t="s">
        <v>7</v>
      </c>
      <c r="E659" s="78">
        <v>1</v>
      </c>
      <c r="F659" s="64">
        <v>127.72</v>
      </c>
      <c r="G659" s="64">
        <f t="shared" si="38"/>
        <v>127.72</v>
      </c>
      <c r="H659" s="64"/>
      <c r="I659" s="78"/>
    </row>
    <row r="660" spans="1:9" ht="30">
      <c r="A660" s="74"/>
      <c r="B660" s="80" t="s">
        <v>44</v>
      </c>
      <c r="C660" s="81" t="s">
        <v>45</v>
      </c>
      <c r="D660" s="74" t="s">
        <v>46</v>
      </c>
      <c r="E660" s="78">
        <v>0.16</v>
      </c>
      <c r="F660" s="64">
        <v>18.809999999999999</v>
      </c>
      <c r="G660" s="64">
        <f t="shared" si="38"/>
        <v>3</v>
      </c>
      <c r="H660" s="64"/>
      <c r="I660" s="78"/>
    </row>
    <row r="661" spans="1:9" ht="30">
      <c r="A661" s="74"/>
      <c r="B661" s="80" t="s">
        <v>49</v>
      </c>
      <c r="C661" s="81" t="s">
        <v>50</v>
      </c>
      <c r="D661" s="74" t="s">
        <v>51</v>
      </c>
      <c r="E661" s="78">
        <v>6.18</v>
      </c>
      <c r="F661" s="64">
        <f>TRUNC(15.2,2)</f>
        <v>15.2</v>
      </c>
      <c r="G661" s="64">
        <f t="shared" si="38"/>
        <v>93.93</v>
      </c>
      <c r="H661" s="64"/>
      <c r="I661" s="78"/>
    </row>
    <row r="662" spans="1:9" ht="30">
      <c r="A662" s="74"/>
      <c r="B662" s="80" t="s">
        <v>52</v>
      </c>
      <c r="C662" s="81" t="s">
        <v>53</v>
      </c>
      <c r="D662" s="74" t="s">
        <v>51</v>
      </c>
      <c r="E662" s="78">
        <v>6.18</v>
      </c>
      <c r="F662" s="64">
        <f>TRUNC(22.6,2)</f>
        <v>22.6</v>
      </c>
      <c r="G662" s="64">
        <f t="shared" si="38"/>
        <v>139.66</v>
      </c>
      <c r="H662" s="64"/>
      <c r="I662" s="78"/>
    </row>
    <row r="663" spans="1:9" ht="15">
      <c r="A663" s="74"/>
      <c r="B663" s="80" t="s">
        <v>359</v>
      </c>
      <c r="C663" s="81" t="s">
        <v>360</v>
      </c>
      <c r="D663" s="74" t="s">
        <v>7</v>
      </c>
      <c r="E663" s="78">
        <v>6</v>
      </c>
      <c r="F663" s="64">
        <v>2.0316000000000001</v>
      </c>
      <c r="G663" s="64">
        <f t="shared" si="38"/>
        <v>12.18</v>
      </c>
      <c r="H663" s="64"/>
      <c r="I663" s="78"/>
    </row>
    <row r="664" spans="1:9" ht="15">
      <c r="A664" s="74"/>
      <c r="B664" s="80"/>
      <c r="C664" s="81"/>
      <c r="D664" s="74"/>
      <c r="E664" s="78" t="s">
        <v>33</v>
      </c>
      <c r="F664" s="64"/>
      <c r="G664" s="64">
        <f>TRUNC(SUM(G657:G663),2)</f>
        <v>942.03</v>
      </c>
      <c r="H664" s="64"/>
      <c r="I664" s="78"/>
    </row>
    <row r="665" spans="1:9" ht="30">
      <c r="A665" s="74"/>
      <c r="B665" s="80" t="s">
        <v>1765</v>
      </c>
      <c r="C665" s="81" t="s">
        <v>1766</v>
      </c>
      <c r="D665" s="74" t="s">
        <v>17</v>
      </c>
      <c r="E665" s="78">
        <f>0.3*0.4</f>
        <v>0.12</v>
      </c>
      <c r="F665" s="64">
        <f>TRUNC(169.37755,2)</f>
        <v>169.37</v>
      </c>
      <c r="G665" s="260">
        <f t="shared" ref="G665:G670" si="39">TRUNC(E665*F665,2)</f>
        <v>20.32</v>
      </c>
      <c r="H665" s="64"/>
      <c r="I665" s="78"/>
    </row>
    <row r="666" spans="1:9" ht="15">
      <c r="A666" s="74"/>
      <c r="B666" s="80" t="s">
        <v>1760</v>
      </c>
      <c r="C666" s="81" t="s">
        <v>1761</v>
      </c>
      <c r="D666" s="74" t="s">
        <v>7</v>
      </c>
      <c r="E666" s="78">
        <v>0.56499999999999995</v>
      </c>
      <c r="F666" s="64">
        <f>TRUNC(20.22,2)</f>
        <v>20.22</v>
      </c>
      <c r="G666" s="64">
        <f t="shared" si="39"/>
        <v>11.42</v>
      </c>
      <c r="H666" s="64"/>
      <c r="I666" s="78"/>
    </row>
    <row r="667" spans="1:9" ht="15">
      <c r="A667" s="74"/>
      <c r="B667" s="80" t="s">
        <v>1762</v>
      </c>
      <c r="C667" s="81" t="s">
        <v>1763</v>
      </c>
      <c r="D667" s="74" t="s">
        <v>46</v>
      </c>
      <c r="E667" s="78">
        <v>3.3000000000000002E-2</v>
      </c>
      <c r="F667" s="64">
        <f>TRUNC(29.97,2)</f>
        <v>29.97</v>
      </c>
      <c r="G667" s="64">
        <f t="shared" si="39"/>
        <v>0.98</v>
      </c>
      <c r="H667" s="64"/>
      <c r="I667" s="78"/>
    </row>
    <row r="668" spans="1:9" ht="15">
      <c r="A668" s="74"/>
      <c r="B668" s="80" t="s">
        <v>408</v>
      </c>
      <c r="C668" s="81" t="s">
        <v>409</v>
      </c>
      <c r="D668" s="74" t="s">
        <v>17</v>
      </c>
      <c r="E668" s="78">
        <v>1</v>
      </c>
      <c r="F668" s="64">
        <f>TRUNC(125.59,2)</f>
        <v>125.59</v>
      </c>
      <c r="G668" s="64">
        <f t="shared" si="39"/>
        <v>125.59</v>
      </c>
      <c r="H668" s="64"/>
      <c r="I668" s="78"/>
    </row>
    <row r="669" spans="1:9" ht="15">
      <c r="A669" s="74"/>
      <c r="B669" s="80" t="s">
        <v>404</v>
      </c>
      <c r="C669" s="81" t="s">
        <v>405</v>
      </c>
      <c r="D669" s="74" t="s">
        <v>51</v>
      </c>
      <c r="E669" s="78">
        <v>0.64600000000000002</v>
      </c>
      <c r="F669" s="64">
        <f>TRUNC(26.48,2)</f>
        <v>26.48</v>
      </c>
      <c r="G669" s="64">
        <f t="shared" si="39"/>
        <v>17.100000000000001</v>
      </c>
      <c r="H669" s="64"/>
      <c r="I669" s="78"/>
    </row>
    <row r="670" spans="1:9" ht="15">
      <c r="A670" s="74"/>
      <c r="B670" s="80" t="s">
        <v>56</v>
      </c>
      <c r="C670" s="81" t="s">
        <v>57</v>
      </c>
      <c r="D670" s="74" t="s">
        <v>51</v>
      </c>
      <c r="E670" s="78">
        <v>0.628</v>
      </c>
      <c r="F670" s="64">
        <f>TRUNC(22.72,2)</f>
        <v>22.72</v>
      </c>
      <c r="G670" s="64">
        <f t="shared" si="39"/>
        <v>14.26</v>
      </c>
      <c r="H670" s="64"/>
      <c r="I670" s="78"/>
    </row>
    <row r="671" spans="1:9" ht="15">
      <c r="A671" s="74"/>
      <c r="B671" s="80"/>
      <c r="C671" s="81"/>
      <c r="D671" s="74"/>
      <c r="E671" s="78" t="s">
        <v>33</v>
      </c>
      <c r="F671" s="64"/>
      <c r="G671" s="64">
        <f>TRUNC(SUM(G666:G670),2)</f>
        <v>169.35</v>
      </c>
      <c r="H671" s="64"/>
      <c r="I671" s="78"/>
    </row>
    <row r="672" spans="1:9" ht="60">
      <c r="A672" s="68" t="s">
        <v>366</v>
      </c>
      <c r="B672" s="98" t="s">
        <v>1767</v>
      </c>
      <c r="C672" s="23" t="s">
        <v>1768</v>
      </c>
      <c r="D672" s="68" t="s">
        <v>7</v>
      </c>
      <c r="E672" s="24">
        <v>3</v>
      </c>
      <c r="F672" s="24">
        <f>TRUNC(F673+G682,2)</f>
        <v>792.35</v>
      </c>
      <c r="G672" s="24">
        <f>TRUNC(F672*1.2882,2)</f>
        <v>1020.7</v>
      </c>
      <c r="H672" s="24">
        <f>TRUNC(F672*E672,2)</f>
        <v>2377.0500000000002</v>
      </c>
      <c r="I672" s="24">
        <f>TRUNC(E672*G672,2)</f>
        <v>3062.1</v>
      </c>
    </row>
    <row r="673" spans="1:9" ht="45">
      <c r="A673" s="74"/>
      <c r="B673" s="80" t="s">
        <v>363</v>
      </c>
      <c r="C673" s="81" t="s">
        <v>364</v>
      </c>
      <c r="D673" s="74" t="s">
        <v>7</v>
      </c>
      <c r="E673" s="78">
        <v>1</v>
      </c>
      <c r="F673" s="64">
        <f>G681</f>
        <v>772.03</v>
      </c>
      <c r="G673" s="64">
        <f t="shared" ref="G673:G680" si="40">TRUNC(E673*F673,2)</f>
        <v>772.03</v>
      </c>
      <c r="H673" s="64"/>
      <c r="I673" s="78"/>
    </row>
    <row r="674" spans="1:9" ht="15">
      <c r="A674" s="74"/>
      <c r="B674" s="80" t="s">
        <v>357</v>
      </c>
      <c r="C674" s="81" t="s">
        <v>358</v>
      </c>
      <c r="D674" s="74" t="s">
        <v>23</v>
      </c>
      <c r="E674" s="78">
        <v>10.6</v>
      </c>
      <c r="F674" s="64">
        <v>10.9002</v>
      </c>
      <c r="G674" s="64">
        <f t="shared" si="40"/>
        <v>115.54</v>
      </c>
      <c r="H674" s="64"/>
      <c r="I674" s="78"/>
    </row>
    <row r="675" spans="1:9" s="169" customFormat="1" ht="15.75">
      <c r="A675" s="256"/>
      <c r="B675" s="257" t="s">
        <v>1739</v>
      </c>
      <c r="C675" s="258" t="s">
        <v>1758</v>
      </c>
      <c r="D675" s="256" t="s">
        <v>23</v>
      </c>
      <c r="E675" s="259">
        <v>5.3</v>
      </c>
      <c r="F675" s="260">
        <v>52.830188679245282</v>
      </c>
      <c r="G675" s="260">
        <f t="shared" si="40"/>
        <v>280</v>
      </c>
      <c r="H675" s="260"/>
      <c r="I675" s="259"/>
    </row>
    <row r="676" spans="1:9" ht="15">
      <c r="A676" s="74"/>
      <c r="B676" s="80" t="s">
        <v>361</v>
      </c>
      <c r="C676" s="81" t="s">
        <v>362</v>
      </c>
      <c r="D676" s="74" t="s">
        <v>7</v>
      </c>
      <c r="E676" s="78">
        <v>1</v>
      </c>
      <c r="F676" s="64">
        <v>127.72</v>
      </c>
      <c r="G676" s="64">
        <f t="shared" si="40"/>
        <v>127.72</v>
      </c>
      <c r="H676" s="64"/>
      <c r="I676" s="78"/>
    </row>
    <row r="677" spans="1:9" ht="30">
      <c r="A677" s="74"/>
      <c r="B677" s="80" t="s">
        <v>44</v>
      </c>
      <c r="C677" s="81" t="s">
        <v>45</v>
      </c>
      <c r="D677" s="74" t="s">
        <v>46</v>
      </c>
      <c r="E677" s="78">
        <v>0.16</v>
      </c>
      <c r="F677" s="64">
        <v>18.809999999999999</v>
      </c>
      <c r="G677" s="64">
        <f t="shared" si="40"/>
        <v>3</v>
      </c>
      <c r="H677" s="64"/>
      <c r="I677" s="78"/>
    </row>
    <row r="678" spans="1:9" ht="30">
      <c r="A678" s="74"/>
      <c r="B678" s="80" t="s">
        <v>49</v>
      </c>
      <c r="C678" s="81" t="s">
        <v>50</v>
      </c>
      <c r="D678" s="74" t="s">
        <v>51</v>
      </c>
      <c r="E678" s="78">
        <v>6.18</v>
      </c>
      <c r="F678" s="64">
        <f>TRUNC(15.2,2)</f>
        <v>15.2</v>
      </c>
      <c r="G678" s="64">
        <f t="shared" si="40"/>
        <v>93.93</v>
      </c>
      <c r="H678" s="64"/>
      <c r="I678" s="78"/>
    </row>
    <row r="679" spans="1:9" ht="30">
      <c r="A679" s="74"/>
      <c r="B679" s="80" t="s">
        <v>52</v>
      </c>
      <c r="C679" s="81" t="s">
        <v>53</v>
      </c>
      <c r="D679" s="74" t="s">
        <v>51</v>
      </c>
      <c r="E679" s="78">
        <v>6.18</v>
      </c>
      <c r="F679" s="64">
        <f>TRUNC(22.6,2)</f>
        <v>22.6</v>
      </c>
      <c r="G679" s="64">
        <f t="shared" si="40"/>
        <v>139.66</v>
      </c>
      <c r="H679" s="64"/>
      <c r="I679" s="78"/>
    </row>
    <row r="680" spans="1:9" ht="15">
      <c r="A680" s="74"/>
      <c r="B680" s="80" t="s">
        <v>359</v>
      </c>
      <c r="C680" s="81" t="s">
        <v>360</v>
      </c>
      <c r="D680" s="74" t="s">
        <v>7</v>
      </c>
      <c r="E680" s="78">
        <v>6</v>
      </c>
      <c r="F680" s="64">
        <v>2.0316000000000001</v>
      </c>
      <c r="G680" s="64">
        <f t="shared" si="40"/>
        <v>12.18</v>
      </c>
      <c r="H680" s="64"/>
      <c r="I680" s="78"/>
    </row>
    <row r="681" spans="1:9" ht="15">
      <c r="A681" s="74"/>
      <c r="B681" s="80"/>
      <c r="C681" s="81"/>
      <c r="D681" s="74"/>
      <c r="E681" s="78" t="s">
        <v>33</v>
      </c>
      <c r="F681" s="64"/>
      <c r="G681" s="64">
        <f>TRUNC(SUM(G674:G680),2)</f>
        <v>772.03</v>
      </c>
      <c r="H681" s="64"/>
      <c r="I681" s="78"/>
    </row>
    <row r="682" spans="1:9" ht="30">
      <c r="A682" s="74"/>
      <c r="B682" s="80" t="s">
        <v>1765</v>
      </c>
      <c r="C682" s="81" t="s">
        <v>1766</v>
      </c>
      <c r="D682" s="74" t="s">
        <v>17</v>
      </c>
      <c r="E682" s="78">
        <f>0.3*0.4</f>
        <v>0.12</v>
      </c>
      <c r="F682" s="64">
        <f>TRUNC(169.37755,2)</f>
        <v>169.37</v>
      </c>
      <c r="G682" s="260">
        <f t="shared" ref="G682:G687" si="41">TRUNC(E682*F682,2)</f>
        <v>20.32</v>
      </c>
      <c r="H682" s="64"/>
      <c r="I682" s="78"/>
    </row>
    <row r="683" spans="1:9" ht="15">
      <c r="A683" s="74"/>
      <c r="B683" s="80" t="s">
        <v>1760</v>
      </c>
      <c r="C683" s="81" t="s">
        <v>1761</v>
      </c>
      <c r="D683" s="74" t="s">
        <v>7</v>
      </c>
      <c r="E683" s="78">
        <v>0.56499999999999995</v>
      </c>
      <c r="F683" s="64">
        <f>TRUNC(20.22,2)</f>
        <v>20.22</v>
      </c>
      <c r="G683" s="64">
        <f t="shared" si="41"/>
        <v>11.42</v>
      </c>
      <c r="H683" s="64"/>
      <c r="I683" s="78"/>
    </row>
    <row r="684" spans="1:9" ht="15">
      <c r="A684" s="74"/>
      <c r="B684" s="80" t="s">
        <v>1762</v>
      </c>
      <c r="C684" s="81" t="s">
        <v>1763</v>
      </c>
      <c r="D684" s="74" t="s">
        <v>46</v>
      </c>
      <c r="E684" s="78">
        <v>3.3000000000000002E-2</v>
      </c>
      <c r="F684" s="64">
        <f>TRUNC(29.97,2)</f>
        <v>29.97</v>
      </c>
      <c r="G684" s="64">
        <f t="shared" si="41"/>
        <v>0.98</v>
      </c>
      <c r="H684" s="64"/>
      <c r="I684" s="78"/>
    </row>
    <row r="685" spans="1:9" ht="15">
      <c r="A685" s="74"/>
      <c r="B685" s="80" t="s">
        <v>408</v>
      </c>
      <c r="C685" s="81" t="s">
        <v>409</v>
      </c>
      <c r="D685" s="74" t="s">
        <v>17</v>
      </c>
      <c r="E685" s="78">
        <v>1</v>
      </c>
      <c r="F685" s="64">
        <f>TRUNC(125.59,2)</f>
        <v>125.59</v>
      </c>
      <c r="G685" s="64">
        <f t="shared" si="41"/>
        <v>125.59</v>
      </c>
      <c r="H685" s="64"/>
      <c r="I685" s="78"/>
    </row>
    <row r="686" spans="1:9" ht="15">
      <c r="A686" s="74"/>
      <c r="B686" s="80" t="s">
        <v>404</v>
      </c>
      <c r="C686" s="81" t="s">
        <v>405</v>
      </c>
      <c r="D686" s="74" t="s">
        <v>51</v>
      </c>
      <c r="E686" s="78">
        <v>0.64600000000000002</v>
      </c>
      <c r="F686" s="64">
        <f>TRUNC(26.48,2)</f>
        <v>26.48</v>
      </c>
      <c r="G686" s="64">
        <f t="shared" si="41"/>
        <v>17.100000000000001</v>
      </c>
      <c r="H686" s="64"/>
      <c r="I686" s="78"/>
    </row>
    <row r="687" spans="1:9" ht="15">
      <c r="A687" s="74"/>
      <c r="B687" s="80" t="s">
        <v>56</v>
      </c>
      <c r="C687" s="81" t="s">
        <v>57</v>
      </c>
      <c r="D687" s="74" t="s">
        <v>51</v>
      </c>
      <c r="E687" s="78">
        <v>0.628</v>
      </c>
      <c r="F687" s="64">
        <f>TRUNC(22.72,2)</f>
        <v>22.72</v>
      </c>
      <c r="G687" s="64">
        <f t="shared" si="41"/>
        <v>14.26</v>
      </c>
      <c r="H687" s="64"/>
      <c r="I687" s="78"/>
    </row>
    <row r="688" spans="1:9" ht="15">
      <c r="A688" s="74"/>
      <c r="B688" s="80"/>
      <c r="C688" s="81"/>
      <c r="D688" s="74"/>
      <c r="E688" s="78" t="s">
        <v>33</v>
      </c>
      <c r="F688" s="64"/>
      <c r="G688" s="64">
        <f>TRUNC(SUM(G683:G687),2)</f>
        <v>169.35</v>
      </c>
      <c r="H688" s="64"/>
      <c r="I688" s="78"/>
    </row>
    <row r="689" spans="1:9" ht="50.25">
      <c r="A689" s="68" t="s">
        <v>367</v>
      </c>
      <c r="B689" s="98" t="s">
        <v>363</v>
      </c>
      <c r="C689" s="23" t="s">
        <v>1697</v>
      </c>
      <c r="D689" s="68" t="s">
        <v>7</v>
      </c>
      <c r="E689" s="24">
        <v>3</v>
      </c>
      <c r="F689" s="24">
        <f>TRUNC(F690,2)</f>
        <v>942.03</v>
      </c>
      <c r="G689" s="24">
        <f>TRUNC(F689*1.2882,2)</f>
        <v>1213.52</v>
      </c>
      <c r="H689" s="24">
        <f>TRUNC(F689*E689,2)</f>
        <v>2826.09</v>
      </c>
      <c r="I689" s="24">
        <f>TRUNC(E689*G689,2)</f>
        <v>3640.56</v>
      </c>
    </row>
    <row r="690" spans="1:9" ht="45">
      <c r="A690" s="74"/>
      <c r="B690" s="80" t="s">
        <v>363</v>
      </c>
      <c r="C690" s="81" t="s">
        <v>364</v>
      </c>
      <c r="D690" s="74" t="s">
        <v>7</v>
      </c>
      <c r="E690" s="78">
        <v>1</v>
      </c>
      <c r="F690" s="64">
        <f>G698</f>
        <v>942.03</v>
      </c>
      <c r="G690" s="64">
        <f t="shared" ref="G690:G697" si="42">TRUNC(E690*F690,2)</f>
        <v>942.03</v>
      </c>
      <c r="H690" s="64"/>
      <c r="I690" s="78"/>
    </row>
    <row r="691" spans="1:9" ht="15">
      <c r="A691" s="74"/>
      <c r="B691" s="80" t="s">
        <v>357</v>
      </c>
      <c r="C691" s="81" t="s">
        <v>358</v>
      </c>
      <c r="D691" s="74" t="s">
        <v>23</v>
      </c>
      <c r="E691" s="78">
        <v>10.6</v>
      </c>
      <c r="F691" s="64">
        <v>10.9002</v>
      </c>
      <c r="G691" s="64">
        <f t="shared" si="42"/>
        <v>115.54</v>
      </c>
      <c r="H691" s="64"/>
      <c r="I691" s="78"/>
    </row>
    <row r="692" spans="1:9" s="169" customFormat="1" ht="15.75">
      <c r="A692" s="256"/>
      <c r="B692" s="257" t="s">
        <v>1739</v>
      </c>
      <c r="C692" s="258" t="s">
        <v>1759</v>
      </c>
      <c r="D692" s="256" t="s">
        <v>23</v>
      </c>
      <c r="E692" s="259">
        <v>5.3</v>
      </c>
      <c r="F692" s="260">
        <v>84.905660377358487</v>
      </c>
      <c r="G692" s="260">
        <f t="shared" si="42"/>
        <v>450</v>
      </c>
      <c r="H692" s="260"/>
      <c r="I692" s="259"/>
    </row>
    <row r="693" spans="1:9" ht="15">
      <c r="A693" s="74"/>
      <c r="B693" s="80" t="s">
        <v>361</v>
      </c>
      <c r="C693" s="81" t="s">
        <v>362</v>
      </c>
      <c r="D693" s="74" t="s">
        <v>7</v>
      </c>
      <c r="E693" s="78">
        <v>1</v>
      </c>
      <c r="F693" s="64">
        <v>127.72</v>
      </c>
      <c r="G693" s="64">
        <f t="shared" si="42"/>
        <v>127.72</v>
      </c>
      <c r="H693" s="64"/>
      <c r="I693" s="78"/>
    </row>
    <row r="694" spans="1:9" ht="30">
      <c r="A694" s="74"/>
      <c r="B694" s="80" t="s">
        <v>44</v>
      </c>
      <c r="C694" s="81" t="s">
        <v>45</v>
      </c>
      <c r="D694" s="74" t="s">
        <v>46</v>
      </c>
      <c r="E694" s="78">
        <v>0.16</v>
      </c>
      <c r="F694" s="64">
        <v>18.809999999999999</v>
      </c>
      <c r="G694" s="64">
        <f t="shared" si="42"/>
        <v>3</v>
      </c>
      <c r="H694" s="64"/>
      <c r="I694" s="78"/>
    </row>
    <row r="695" spans="1:9" ht="30">
      <c r="A695" s="74"/>
      <c r="B695" s="80" t="s">
        <v>49</v>
      </c>
      <c r="C695" s="81" t="s">
        <v>50</v>
      </c>
      <c r="D695" s="74" t="s">
        <v>51</v>
      </c>
      <c r="E695" s="78">
        <v>6.18</v>
      </c>
      <c r="F695" s="64">
        <f>TRUNC(15.2,2)</f>
        <v>15.2</v>
      </c>
      <c r="G695" s="64">
        <f t="shared" si="42"/>
        <v>93.93</v>
      </c>
      <c r="H695" s="64"/>
      <c r="I695" s="78"/>
    </row>
    <row r="696" spans="1:9" ht="30">
      <c r="A696" s="74"/>
      <c r="B696" s="80" t="s">
        <v>52</v>
      </c>
      <c r="C696" s="81" t="s">
        <v>53</v>
      </c>
      <c r="D696" s="74" t="s">
        <v>51</v>
      </c>
      <c r="E696" s="78">
        <v>6.18</v>
      </c>
      <c r="F696" s="64">
        <f>TRUNC(22.6,2)</f>
        <v>22.6</v>
      </c>
      <c r="G696" s="64">
        <f t="shared" si="42"/>
        <v>139.66</v>
      </c>
      <c r="H696" s="64"/>
      <c r="I696" s="78"/>
    </row>
    <row r="697" spans="1:9" ht="15">
      <c r="A697" s="74"/>
      <c r="B697" s="80" t="s">
        <v>359</v>
      </c>
      <c r="C697" s="81" t="s">
        <v>360</v>
      </c>
      <c r="D697" s="74" t="s">
        <v>7</v>
      </c>
      <c r="E697" s="78">
        <v>6</v>
      </c>
      <c r="F697" s="64">
        <v>2.0316000000000001</v>
      </c>
      <c r="G697" s="64">
        <f t="shared" si="42"/>
        <v>12.18</v>
      </c>
      <c r="H697" s="64"/>
      <c r="I697" s="78"/>
    </row>
    <row r="698" spans="1:9" ht="15">
      <c r="A698" s="74"/>
      <c r="B698" s="80"/>
      <c r="C698" s="81"/>
      <c r="D698" s="74"/>
      <c r="E698" s="78" t="s">
        <v>33</v>
      </c>
      <c r="F698" s="64"/>
      <c r="G698" s="64">
        <f>TRUNC(SUM(G691:G697),2)</f>
        <v>942.03</v>
      </c>
      <c r="H698" s="64"/>
      <c r="I698" s="78"/>
    </row>
    <row r="699" spans="1:9" ht="50.25">
      <c r="A699" s="68" t="s">
        <v>368</v>
      </c>
      <c r="B699" s="98" t="s">
        <v>363</v>
      </c>
      <c r="C699" s="23" t="s">
        <v>1698</v>
      </c>
      <c r="D699" s="68" t="s">
        <v>7</v>
      </c>
      <c r="E699" s="24">
        <v>5</v>
      </c>
      <c r="F699" s="24">
        <f>TRUNC(F700,2)</f>
        <v>772.03</v>
      </c>
      <c r="G699" s="24">
        <f>TRUNC(F699*1.2882,2)</f>
        <v>994.52</v>
      </c>
      <c r="H699" s="24">
        <f>TRUNC(F699*E699,2)</f>
        <v>3860.15</v>
      </c>
      <c r="I699" s="24">
        <f>TRUNC(E699*G699,2)</f>
        <v>4972.6000000000004</v>
      </c>
    </row>
    <row r="700" spans="1:9" ht="45">
      <c r="A700" s="74"/>
      <c r="B700" s="80" t="s">
        <v>363</v>
      </c>
      <c r="C700" s="81" t="s">
        <v>364</v>
      </c>
      <c r="D700" s="74" t="s">
        <v>7</v>
      </c>
      <c r="E700" s="78">
        <v>1</v>
      </c>
      <c r="F700" s="64">
        <f>G708</f>
        <v>772.03</v>
      </c>
      <c r="G700" s="64">
        <f t="shared" ref="G700:G707" si="43">TRUNC(E700*F700,2)</f>
        <v>772.03</v>
      </c>
      <c r="H700" s="64"/>
      <c r="I700" s="78"/>
    </row>
    <row r="701" spans="1:9" ht="15">
      <c r="A701" s="74"/>
      <c r="B701" s="80" t="s">
        <v>357</v>
      </c>
      <c r="C701" s="81" t="s">
        <v>358</v>
      </c>
      <c r="D701" s="74" t="s">
        <v>23</v>
      </c>
      <c r="E701" s="78">
        <v>10.6</v>
      </c>
      <c r="F701" s="64">
        <v>10.9002</v>
      </c>
      <c r="G701" s="64">
        <f t="shared" si="43"/>
        <v>115.54</v>
      </c>
      <c r="H701" s="64"/>
      <c r="I701" s="78"/>
    </row>
    <row r="702" spans="1:9" s="169" customFormat="1" ht="15.75">
      <c r="A702" s="256"/>
      <c r="B702" s="257" t="s">
        <v>1739</v>
      </c>
      <c r="C702" s="258" t="s">
        <v>1758</v>
      </c>
      <c r="D702" s="256" t="s">
        <v>23</v>
      </c>
      <c r="E702" s="259">
        <v>5.3</v>
      </c>
      <c r="F702" s="260">
        <v>52.830188679245282</v>
      </c>
      <c r="G702" s="260">
        <f t="shared" si="43"/>
        <v>280</v>
      </c>
      <c r="H702" s="260"/>
      <c r="I702" s="259"/>
    </row>
    <row r="703" spans="1:9" ht="15">
      <c r="A703" s="74"/>
      <c r="B703" s="80" t="s">
        <v>361</v>
      </c>
      <c r="C703" s="81" t="s">
        <v>362</v>
      </c>
      <c r="D703" s="74" t="s">
        <v>7</v>
      </c>
      <c r="E703" s="78">
        <v>1</v>
      </c>
      <c r="F703" s="64">
        <v>127.72</v>
      </c>
      <c r="G703" s="64">
        <f t="shared" si="43"/>
        <v>127.72</v>
      </c>
      <c r="H703" s="64"/>
      <c r="I703" s="78"/>
    </row>
    <row r="704" spans="1:9" ht="30">
      <c r="A704" s="74"/>
      <c r="B704" s="80" t="s">
        <v>44</v>
      </c>
      <c r="C704" s="81" t="s">
        <v>45</v>
      </c>
      <c r="D704" s="74" t="s">
        <v>46</v>
      </c>
      <c r="E704" s="78">
        <v>0.16</v>
      </c>
      <c r="F704" s="64">
        <v>18.809999999999999</v>
      </c>
      <c r="G704" s="64">
        <f t="shared" si="43"/>
        <v>3</v>
      </c>
      <c r="H704" s="64"/>
      <c r="I704" s="78"/>
    </row>
    <row r="705" spans="1:9" ht="30">
      <c r="A705" s="74"/>
      <c r="B705" s="80" t="s">
        <v>49</v>
      </c>
      <c r="C705" s="81" t="s">
        <v>50</v>
      </c>
      <c r="D705" s="74" t="s">
        <v>51</v>
      </c>
      <c r="E705" s="78">
        <v>6.18</v>
      </c>
      <c r="F705" s="64">
        <f>TRUNC(15.2,2)</f>
        <v>15.2</v>
      </c>
      <c r="G705" s="64">
        <f t="shared" si="43"/>
        <v>93.93</v>
      </c>
      <c r="H705" s="64"/>
      <c r="I705" s="78"/>
    </row>
    <row r="706" spans="1:9" ht="30">
      <c r="A706" s="74"/>
      <c r="B706" s="80" t="s">
        <v>52</v>
      </c>
      <c r="C706" s="81" t="s">
        <v>53</v>
      </c>
      <c r="D706" s="74" t="s">
        <v>51</v>
      </c>
      <c r="E706" s="78">
        <v>6.18</v>
      </c>
      <c r="F706" s="64">
        <f>TRUNC(22.6,2)</f>
        <v>22.6</v>
      </c>
      <c r="G706" s="64">
        <f t="shared" si="43"/>
        <v>139.66</v>
      </c>
      <c r="H706" s="64"/>
      <c r="I706" s="78"/>
    </row>
    <row r="707" spans="1:9" ht="15">
      <c r="A707" s="74"/>
      <c r="B707" s="80" t="s">
        <v>359</v>
      </c>
      <c r="C707" s="81" t="s">
        <v>360</v>
      </c>
      <c r="D707" s="74" t="s">
        <v>7</v>
      </c>
      <c r="E707" s="78">
        <v>6</v>
      </c>
      <c r="F707" s="64">
        <v>2.0316000000000001</v>
      </c>
      <c r="G707" s="64">
        <f t="shared" si="43"/>
        <v>12.18</v>
      </c>
      <c r="H707" s="64"/>
      <c r="I707" s="78"/>
    </row>
    <row r="708" spans="1:9" ht="15">
      <c r="A708" s="74"/>
      <c r="B708" s="80"/>
      <c r="C708" s="81"/>
      <c r="D708" s="74"/>
      <c r="E708" s="78" t="s">
        <v>33</v>
      </c>
      <c r="F708" s="64"/>
      <c r="G708" s="64">
        <f>TRUNC(SUM(G701:G707),2)</f>
        <v>772.03</v>
      </c>
      <c r="H708" s="64"/>
      <c r="I708" s="78"/>
    </row>
    <row r="709" spans="1:9" ht="45">
      <c r="A709" s="68" t="s">
        <v>369</v>
      </c>
      <c r="B709" s="98" t="s">
        <v>370</v>
      </c>
      <c r="C709" s="23" t="s">
        <v>2028</v>
      </c>
      <c r="D709" s="68" t="s">
        <v>17</v>
      </c>
      <c r="E709" s="24">
        <v>20.16</v>
      </c>
      <c r="F709" s="24">
        <f>TRUNC(F710,2)</f>
        <v>1315.66</v>
      </c>
      <c r="G709" s="24">
        <f>TRUNC(F709*1.2882,2)</f>
        <v>1694.83</v>
      </c>
      <c r="H709" s="24">
        <f>TRUNC(F709*E709,2)</f>
        <v>26523.7</v>
      </c>
      <c r="I709" s="24">
        <f>TRUNC(E709*G709,2)</f>
        <v>34167.769999999997</v>
      </c>
    </row>
    <row r="710" spans="1:9" ht="30">
      <c r="A710" s="74"/>
      <c r="B710" s="80" t="s">
        <v>370</v>
      </c>
      <c r="C710" s="81" t="s">
        <v>371</v>
      </c>
      <c r="D710" s="74" t="s">
        <v>17</v>
      </c>
      <c r="E710" s="78">
        <v>1</v>
      </c>
      <c r="F710" s="64">
        <f>G714</f>
        <v>1315.66</v>
      </c>
      <c r="G710" s="64">
        <f>TRUNC(E710*F710,2)</f>
        <v>1315.66</v>
      </c>
      <c r="H710" s="64"/>
      <c r="I710" s="78"/>
    </row>
    <row r="711" spans="1:9" ht="15">
      <c r="A711" s="74"/>
      <c r="B711" s="80" t="s">
        <v>372</v>
      </c>
      <c r="C711" s="81" t="s">
        <v>373</v>
      </c>
      <c r="D711" s="74" t="s">
        <v>46</v>
      </c>
      <c r="E711" s="78">
        <v>34.75</v>
      </c>
      <c r="F711" s="64">
        <v>34.5</v>
      </c>
      <c r="G711" s="64">
        <f>TRUNC(E711*F711,2)</f>
        <v>1198.8699999999999</v>
      </c>
      <c r="H711" s="64"/>
      <c r="I711" s="78"/>
    </row>
    <row r="712" spans="1:9" ht="30">
      <c r="A712" s="74"/>
      <c r="B712" s="80" t="s">
        <v>49</v>
      </c>
      <c r="C712" s="81" t="s">
        <v>50</v>
      </c>
      <c r="D712" s="74" t="s">
        <v>51</v>
      </c>
      <c r="E712" s="78">
        <v>3.09</v>
      </c>
      <c r="F712" s="64">
        <f>TRUNC(15.2,2)</f>
        <v>15.2</v>
      </c>
      <c r="G712" s="64">
        <f>TRUNC(E712*F712,2)</f>
        <v>46.96</v>
      </c>
      <c r="H712" s="64"/>
      <c r="I712" s="78"/>
    </row>
    <row r="713" spans="1:9" ht="30">
      <c r="A713" s="74"/>
      <c r="B713" s="80" t="s">
        <v>374</v>
      </c>
      <c r="C713" s="81" t="s">
        <v>375</v>
      </c>
      <c r="D713" s="74" t="s">
        <v>51</v>
      </c>
      <c r="E713" s="78">
        <v>3.09</v>
      </c>
      <c r="F713" s="64">
        <f>TRUNC(22.6,2)</f>
        <v>22.6</v>
      </c>
      <c r="G713" s="64">
        <f>TRUNC(E713*F713,2)</f>
        <v>69.83</v>
      </c>
      <c r="H713" s="64"/>
      <c r="I713" s="78"/>
    </row>
    <row r="714" spans="1:9" ht="15">
      <c r="A714" s="74"/>
      <c r="B714" s="80"/>
      <c r="C714" s="81"/>
      <c r="D714" s="74"/>
      <c r="E714" s="78" t="s">
        <v>33</v>
      </c>
      <c r="F714" s="64"/>
      <c r="G714" s="64">
        <f>TRUNC(SUM(G711:G713),2)</f>
        <v>1315.66</v>
      </c>
      <c r="H714" s="64"/>
      <c r="I714" s="78"/>
    </row>
    <row r="715" spans="1:9" ht="75">
      <c r="A715" s="68" t="s">
        <v>376</v>
      </c>
      <c r="B715" s="98" t="s">
        <v>380</v>
      </c>
      <c r="C715" s="23" t="s">
        <v>2084</v>
      </c>
      <c r="D715" s="68" t="s">
        <v>379</v>
      </c>
      <c r="E715" s="24">
        <v>2</v>
      </c>
      <c r="F715" s="24">
        <f>TRUNC(G716+G721,2)</f>
        <v>2519.48</v>
      </c>
      <c r="G715" s="24">
        <f>TRUNC(F715*1.2882,2)</f>
        <v>3245.59</v>
      </c>
      <c r="H715" s="24">
        <f>TRUNC(F715*E715,2)</f>
        <v>5038.96</v>
      </c>
      <c r="I715" s="24">
        <f>TRUNC(E715*G715,2)</f>
        <v>6491.18</v>
      </c>
    </row>
    <row r="716" spans="1:9" ht="30">
      <c r="A716" s="74"/>
      <c r="B716" s="80" t="s">
        <v>370</v>
      </c>
      <c r="C716" s="81" t="s">
        <v>371</v>
      </c>
      <c r="D716" s="74" t="s">
        <v>17</v>
      </c>
      <c r="E716" s="78">
        <f>0.8*2.1</f>
        <v>1.6800000000000002</v>
      </c>
      <c r="F716" s="64">
        <f>TRUNC(1315.677,2)</f>
        <v>1315.67</v>
      </c>
      <c r="G716" s="260">
        <f>TRUNC(E716*F716,2)</f>
        <v>2210.3200000000002</v>
      </c>
      <c r="H716" s="64"/>
      <c r="I716" s="78"/>
    </row>
    <row r="717" spans="1:9" ht="15">
      <c r="A717" s="74"/>
      <c r="B717" s="80" t="s">
        <v>372</v>
      </c>
      <c r="C717" s="81" t="s">
        <v>373</v>
      </c>
      <c r="D717" s="74" t="s">
        <v>46</v>
      </c>
      <c r="E717" s="78">
        <v>34.75</v>
      </c>
      <c r="F717" s="64">
        <v>34.5</v>
      </c>
      <c r="G717" s="64">
        <f>TRUNC(E717*F717,2)</f>
        <v>1198.8699999999999</v>
      </c>
      <c r="H717" s="64"/>
      <c r="I717" s="78"/>
    </row>
    <row r="718" spans="1:9" ht="30">
      <c r="A718" s="74"/>
      <c r="B718" s="80" t="s">
        <v>49</v>
      </c>
      <c r="C718" s="81" t="s">
        <v>50</v>
      </c>
      <c r="D718" s="74" t="s">
        <v>51</v>
      </c>
      <c r="E718" s="78">
        <v>3.09</v>
      </c>
      <c r="F718" s="64">
        <f>TRUNC(15.2,2)</f>
        <v>15.2</v>
      </c>
      <c r="G718" s="64">
        <f>TRUNC(E718*F718,2)</f>
        <v>46.96</v>
      </c>
      <c r="H718" s="64"/>
      <c r="I718" s="78"/>
    </row>
    <row r="719" spans="1:9" ht="30">
      <c r="A719" s="74"/>
      <c r="B719" s="80" t="s">
        <v>374</v>
      </c>
      <c r="C719" s="81" t="s">
        <v>375</v>
      </c>
      <c r="D719" s="74" t="s">
        <v>51</v>
      </c>
      <c r="E719" s="78">
        <v>3.09</v>
      </c>
      <c r="F719" s="64">
        <f>TRUNC(22.6,2)</f>
        <v>22.6</v>
      </c>
      <c r="G719" s="64">
        <f>TRUNC(E719*F719,2)</f>
        <v>69.83</v>
      </c>
      <c r="H719" s="64"/>
      <c r="I719" s="78"/>
    </row>
    <row r="720" spans="1:9" ht="15">
      <c r="A720" s="74"/>
      <c r="B720" s="80"/>
      <c r="C720" s="81"/>
      <c r="D720" s="74"/>
      <c r="E720" s="78" t="s">
        <v>33</v>
      </c>
      <c r="F720" s="64"/>
      <c r="G720" s="64">
        <f>TRUNC(SUM(G717:G719),2)</f>
        <v>1315.66</v>
      </c>
      <c r="H720" s="64"/>
      <c r="I720" s="78"/>
    </row>
    <row r="721" spans="1:9" ht="45">
      <c r="A721" s="74"/>
      <c r="B721" s="80" t="s">
        <v>377</v>
      </c>
      <c r="C721" s="81" t="s">
        <v>378</v>
      </c>
      <c r="D721" s="74" t="s">
        <v>17</v>
      </c>
      <c r="E721" s="78">
        <f>0.8*0.4</f>
        <v>0.32000000000000006</v>
      </c>
      <c r="F721" s="64">
        <f>TRUNC(966.141,2)</f>
        <v>966.14</v>
      </c>
      <c r="G721" s="260">
        <f>TRUNC(E721*F721,2)</f>
        <v>309.16000000000003</v>
      </c>
      <c r="H721" s="64"/>
      <c r="I721" s="78"/>
    </row>
    <row r="722" spans="1:9" ht="15">
      <c r="A722" s="74"/>
      <c r="B722" s="80" t="s">
        <v>372</v>
      </c>
      <c r="C722" s="81" t="s">
        <v>373</v>
      </c>
      <c r="D722" s="74" t="s">
        <v>46</v>
      </c>
      <c r="E722" s="78">
        <v>23.490000000000002</v>
      </c>
      <c r="F722" s="64">
        <v>34.5</v>
      </c>
      <c r="G722" s="64">
        <f>TRUNC(E722*F722,2)</f>
        <v>810.4</v>
      </c>
      <c r="H722" s="64"/>
      <c r="I722" s="78"/>
    </row>
    <row r="723" spans="1:9" ht="30">
      <c r="A723" s="74"/>
      <c r="B723" s="80" t="s">
        <v>49</v>
      </c>
      <c r="C723" s="81" t="s">
        <v>50</v>
      </c>
      <c r="D723" s="74" t="s">
        <v>51</v>
      </c>
      <c r="E723" s="78">
        <v>4.12</v>
      </c>
      <c r="F723" s="64">
        <f>TRUNC(15.2,2)</f>
        <v>15.2</v>
      </c>
      <c r="G723" s="64">
        <f>TRUNC(E723*F723,2)</f>
        <v>62.62</v>
      </c>
      <c r="H723" s="64"/>
      <c r="I723" s="78"/>
    </row>
    <row r="724" spans="1:9" ht="30">
      <c r="A724" s="74"/>
      <c r="B724" s="80" t="s">
        <v>374</v>
      </c>
      <c r="C724" s="81" t="s">
        <v>375</v>
      </c>
      <c r="D724" s="74" t="s">
        <v>51</v>
      </c>
      <c r="E724" s="78">
        <v>4.12</v>
      </c>
      <c r="F724" s="64">
        <f>TRUNC(22.6,2)</f>
        <v>22.6</v>
      </c>
      <c r="G724" s="64">
        <f>TRUNC(E724*F724,2)</f>
        <v>93.11</v>
      </c>
      <c r="H724" s="64"/>
      <c r="I724" s="78"/>
    </row>
    <row r="725" spans="1:9" ht="15">
      <c r="A725" s="74"/>
      <c r="B725" s="80"/>
      <c r="C725" s="81"/>
      <c r="D725" s="74"/>
      <c r="E725" s="78" t="s">
        <v>33</v>
      </c>
      <c r="F725" s="64"/>
      <c r="G725" s="64">
        <f>TRUNC(SUM(G722:G724),2)</f>
        <v>966.13</v>
      </c>
      <c r="H725" s="64"/>
      <c r="I725" s="78"/>
    </row>
    <row r="726" spans="1:9" ht="75">
      <c r="A726" s="68" t="s">
        <v>381</v>
      </c>
      <c r="B726" s="98" t="s">
        <v>380</v>
      </c>
      <c r="C726" s="23" t="s">
        <v>2083</v>
      </c>
      <c r="D726" s="68" t="s">
        <v>379</v>
      </c>
      <c r="E726" s="24">
        <v>1</v>
      </c>
      <c r="F726" s="24">
        <f>TRUNC(G727+G732,2)</f>
        <v>2834.42</v>
      </c>
      <c r="G726" s="24">
        <f>TRUNC(F726*1.2882,2)</f>
        <v>3651.29</v>
      </c>
      <c r="H726" s="24">
        <f>TRUNC(F726*E726,2)</f>
        <v>2834.42</v>
      </c>
      <c r="I726" s="24">
        <f>TRUNC(E726*G726,2)</f>
        <v>3651.29</v>
      </c>
    </row>
    <row r="727" spans="1:9" ht="30">
      <c r="A727" s="74"/>
      <c r="B727" s="80" t="s">
        <v>370</v>
      </c>
      <c r="C727" s="81" t="s">
        <v>371</v>
      </c>
      <c r="D727" s="74" t="s">
        <v>17</v>
      </c>
      <c r="E727" s="78">
        <f>0.9*2.1</f>
        <v>1.8900000000000001</v>
      </c>
      <c r="F727" s="64">
        <f>TRUNC(1315.677,2)</f>
        <v>1315.67</v>
      </c>
      <c r="G727" s="260">
        <f>TRUNC(E727*F727,2)</f>
        <v>2486.61</v>
      </c>
      <c r="H727" s="64"/>
      <c r="I727" s="78"/>
    </row>
    <row r="728" spans="1:9" ht="15">
      <c r="A728" s="74"/>
      <c r="B728" s="80" t="s">
        <v>372</v>
      </c>
      <c r="C728" s="81" t="s">
        <v>373</v>
      </c>
      <c r="D728" s="74" t="s">
        <v>46</v>
      </c>
      <c r="E728" s="78">
        <v>34.75</v>
      </c>
      <c r="F728" s="64">
        <f>TRUNC(34.5,2)</f>
        <v>34.5</v>
      </c>
      <c r="G728" s="64">
        <f>TRUNC(E728*F728,2)</f>
        <v>1198.8699999999999</v>
      </c>
      <c r="H728" s="64"/>
      <c r="I728" s="78"/>
    </row>
    <row r="729" spans="1:9" ht="30">
      <c r="A729" s="74"/>
      <c r="B729" s="80" t="s">
        <v>49</v>
      </c>
      <c r="C729" s="81" t="s">
        <v>50</v>
      </c>
      <c r="D729" s="74" t="s">
        <v>51</v>
      </c>
      <c r="E729" s="78">
        <v>3.09</v>
      </c>
      <c r="F729" s="64">
        <f>TRUNC(15.2,2)</f>
        <v>15.2</v>
      </c>
      <c r="G729" s="64">
        <f>TRUNC(E729*F729,2)</f>
        <v>46.96</v>
      </c>
      <c r="H729" s="64"/>
      <c r="I729" s="78"/>
    </row>
    <row r="730" spans="1:9" ht="30">
      <c r="A730" s="74"/>
      <c r="B730" s="80" t="s">
        <v>374</v>
      </c>
      <c r="C730" s="81" t="s">
        <v>375</v>
      </c>
      <c r="D730" s="74" t="s">
        <v>51</v>
      </c>
      <c r="E730" s="78">
        <v>3.09</v>
      </c>
      <c r="F730" s="64">
        <f>TRUNC(22.6,2)</f>
        <v>22.6</v>
      </c>
      <c r="G730" s="64">
        <f>TRUNC(E730*F730,2)</f>
        <v>69.83</v>
      </c>
      <c r="H730" s="64"/>
      <c r="I730" s="78"/>
    </row>
    <row r="731" spans="1:9" ht="15">
      <c r="A731" s="74"/>
      <c r="B731" s="80"/>
      <c r="C731" s="81"/>
      <c r="D731" s="74"/>
      <c r="E731" s="78" t="s">
        <v>33</v>
      </c>
      <c r="F731" s="64"/>
      <c r="G731" s="64">
        <f>TRUNC(SUM(G728:G730),2)</f>
        <v>1315.66</v>
      </c>
      <c r="H731" s="64"/>
      <c r="I731" s="78"/>
    </row>
    <row r="732" spans="1:9" ht="45">
      <c r="A732" s="74"/>
      <c r="B732" s="80" t="s">
        <v>377</v>
      </c>
      <c r="C732" s="81" t="s">
        <v>378</v>
      </c>
      <c r="D732" s="74" t="s">
        <v>17</v>
      </c>
      <c r="E732" s="78">
        <f>0.9*0.4</f>
        <v>0.36000000000000004</v>
      </c>
      <c r="F732" s="64">
        <f>TRUNC(966.141,2)</f>
        <v>966.14</v>
      </c>
      <c r="G732" s="260">
        <f>TRUNC(E732*F732,2)</f>
        <v>347.81</v>
      </c>
      <c r="H732" s="64"/>
      <c r="I732" s="78"/>
    </row>
    <row r="733" spans="1:9" ht="15">
      <c r="A733" s="74"/>
      <c r="B733" s="80" t="s">
        <v>372</v>
      </c>
      <c r="C733" s="81" t="s">
        <v>373</v>
      </c>
      <c r="D733" s="74" t="s">
        <v>46</v>
      </c>
      <c r="E733" s="78">
        <v>23.490000000000002</v>
      </c>
      <c r="F733" s="64">
        <f>TRUNC(34.5,2)</f>
        <v>34.5</v>
      </c>
      <c r="G733" s="64">
        <f>TRUNC(E733*F733,2)</f>
        <v>810.4</v>
      </c>
      <c r="H733" s="64"/>
      <c r="I733" s="78"/>
    </row>
    <row r="734" spans="1:9" ht="30">
      <c r="A734" s="74"/>
      <c r="B734" s="80" t="s">
        <v>49</v>
      </c>
      <c r="C734" s="81" t="s">
        <v>50</v>
      </c>
      <c r="D734" s="74" t="s">
        <v>51</v>
      </c>
      <c r="E734" s="78">
        <v>4.12</v>
      </c>
      <c r="F734" s="64">
        <f>TRUNC(15.2,2)</f>
        <v>15.2</v>
      </c>
      <c r="G734" s="64">
        <f>TRUNC(E734*F734,2)</f>
        <v>62.62</v>
      </c>
      <c r="H734" s="64"/>
      <c r="I734" s="78"/>
    </row>
    <row r="735" spans="1:9" ht="30">
      <c r="A735" s="74"/>
      <c r="B735" s="80" t="s">
        <v>374</v>
      </c>
      <c r="C735" s="81" t="s">
        <v>375</v>
      </c>
      <c r="D735" s="74" t="s">
        <v>51</v>
      </c>
      <c r="E735" s="78">
        <v>4.12</v>
      </c>
      <c r="F735" s="64">
        <f>TRUNC(22.6,2)</f>
        <v>22.6</v>
      </c>
      <c r="G735" s="64">
        <f>TRUNC(E735*F735,2)</f>
        <v>93.11</v>
      </c>
      <c r="H735" s="64"/>
      <c r="I735" s="78"/>
    </row>
    <row r="736" spans="1:9" ht="15">
      <c r="A736" s="74"/>
      <c r="B736" s="80"/>
      <c r="C736" s="81"/>
      <c r="D736" s="74"/>
      <c r="E736" s="78" t="s">
        <v>33</v>
      </c>
      <c r="F736" s="64"/>
      <c r="G736" s="64">
        <f>TRUNC(SUM(G733:G735),2)</f>
        <v>966.13</v>
      </c>
      <c r="H736" s="64"/>
      <c r="I736" s="78"/>
    </row>
    <row r="737" spans="1:9" ht="75">
      <c r="A737" s="68" t="s">
        <v>382</v>
      </c>
      <c r="B737" s="98" t="s">
        <v>1699</v>
      </c>
      <c r="C737" s="23" t="s">
        <v>1700</v>
      </c>
      <c r="D737" s="68" t="s">
        <v>7</v>
      </c>
      <c r="E737" s="24">
        <v>17</v>
      </c>
      <c r="F737" s="24">
        <f>TRUNC(G738+G753,2)</f>
        <v>96.76</v>
      </c>
      <c r="G737" s="24">
        <f>TRUNC(F737*1.2882,2)</f>
        <v>124.64</v>
      </c>
      <c r="H737" s="24">
        <f>TRUNC(F737*E737,2)</f>
        <v>1644.92</v>
      </c>
      <c r="I737" s="24">
        <f>TRUNC(E737*G737,2)</f>
        <v>2118.88</v>
      </c>
    </row>
    <row r="738" spans="1:9" ht="75">
      <c r="A738" s="74"/>
      <c r="B738" s="80" t="s">
        <v>1699</v>
      </c>
      <c r="C738" s="81" t="s">
        <v>1700</v>
      </c>
      <c r="D738" s="74" t="s">
        <v>7</v>
      </c>
      <c r="E738" s="78">
        <v>1</v>
      </c>
      <c r="F738" s="64">
        <f>G741</f>
        <v>96.76</v>
      </c>
      <c r="G738" s="64">
        <f>TRUNC(E738*F738,2)</f>
        <v>96.76</v>
      </c>
      <c r="H738" s="64"/>
      <c r="I738" s="78"/>
    </row>
    <row r="739" spans="1:9" ht="15">
      <c r="A739" s="74"/>
      <c r="B739" s="80" t="s">
        <v>1701</v>
      </c>
      <c r="C739" s="81" t="s">
        <v>1702</v>
      </c>
      <c r="D739" s="74" t="s">
        <v>7</v>
      </c>
      <c r="E739" s="78">
        <v>3</v>
      </c>
      <c r="F739" s="64">
        <f>TRUNC(4.82,2)</f>
        <v>4.82</v>
      </c>
      <c r="G739" s="64">
        <f>TRUNC(E739*F739,2)</f>
        <v>14.46</v>
      </c>
      <c r="H739" s="64"/>
      <c r="I739" s="78"/>
    </row>
    <row r="740" spans="1:9" ht="30">
      <c r="A740" s="74"/>
      <c r="B740" s="80" t="s">
        <v>1703</v>
      </c>
      <c r="C740" s="81" t="s">
        <v>1704</v>
      </c>
      <c r="D740" s="74" t="s">
        <v>7</v>
      </c>
      <c r="E740" s="78">
        <v>1</v>
      </c>
      <c r="F740" s="64">
        <f>TRUNC(82.3,2)</f>
        <v>82.3</v>
      </c>
      <c r="G740" s="64">
        <f>TRUNC(E740*F740,2)</f>
        <v>82.3</v>
      </c>
      <c r="H740" s="64"/>
      <c r="I740" s="78"/>
    </row>
    <row r="741" spans="1:9" ht="15">
      <c r="A741" s="74"/>
      <c r="B741" s="80"/>
      <c r="C741" s="81"/>
      <c r="D741" s="74"/>
      <c r="E741" s="78" t="s">
        <v>33</v>
      </c>
      <c r="F741" s="64"/>
      <c r="G741" s="64">
        <f>TRUNC(SUM(G739:G740),2)</f>
        <v>96.76</v>
      </c>
      <c r="H741" s="64"/>
      <c r="I741" s="78"/>
    </row>
    <row r="742" spans="1:9" ht="120">
      <c r="A742" s="68" t="s">
        <v>384</v>
      </c>
      <c r="B742" s="98" t="s">
        <v>1778</v>
      </c>
      <c r="C742" s="23" t="s">
        <v>1777</v>
      </c>
      <c r="D742" s="68" t="s">
        <v>7</v>
      </c>
      <c r="E742" s="24">
        <v>14</v>
      </c>
      <c r="F742" s="24">
        <f>TRUNC(F743+G746,2)</f>
        <v>150.94</v>
      </c>
      <c r="G742" s="24">
        <f>TRUNC(F742*1.2882,2)</f>
        <v>194.44</v>
      </c>
      <c r="H742" s="24">
        <f>TRUNC(F742*E742,2)</f>
        <v>2113.16</v>
      </c>
      <c r="I742" s="24">
        <f>TRUNC(E742*G742,2)</f>
        <v>2722.16</v>
      </c>
    </row>
    <row r="743" spans="1:9" ht="105">
      <c r="A743" s="74"/>
      <c r="B743" s="80" t="s">
        <v>1769</v>
      </c>
      <c r="C743" s="81" t="s">
        <v>1770</v>
      </c>
      <c r="D743" s="74" t="s">
        <v>7</v>
      </c>
      <c r="E743" s="78">
        <v>1</v>
      </c>
      <c r="F743" s="260">
        <f>TRUNC(115,2)</f>
        <v>115</v>
      </c>
      <c r="G743" s="64">
        <f>TRUNC(E743*F743,2)</f>
        <v>115</v>
      </c>
      <c r="H743" s="64"/>
      <c r="I743" s="78"/>
    </row>
    <row r="744" spans="1:9" ht="30">
      <c r="A744" s="74"/>
      <c r="B744" s="80" t="s">
        <v>1771</v>
      </c>
      <c r="C744" s="81" t="s">
        <v>1772</v>
      </c>
      <c r="D744" s="74" t="s">
        <v>7</v>
      </c>
      <c r="E744" s="78">
        <v>1</v>
      </c>
      <c r="F744" s="64">
        <f>TRUNC(115,2)</f>
        <v>115</v>
      </c>
      <c r="G744" s="64">
        <f>TRUNC(E744*F744,2)</f>
        <v>115</v>
      </c>
      <c r="H744" s="64"/>
      <c r="I744" s="78"/>
    </row>
    <row r="745" spans="1:9" ht="15">
      <c r="A745" s="74"/>
      <c r="B745" s="80"/>
      <c r="C745" s="81"/>
      <c r="D745" s="74"/>
      <c r="E745" s="78" t="s">
        <v>33</v>
      </c>
      <c r="F745" s="64"/>
      <c r="G745" s="64">
        <f>TRUNC(SUM(G744:G744),2)</f>
        <v>115</v>
      </c>
      <c r="H745" s="64"/>
      <c r="I745" s="78"/>
    </row>
    <row r="746" spans="1:9" ht="30">
      <c r="A746" s="74"/>
      <c r="B746" s="80" t="s">
        <v>1773</v>
      </c>
      <c r="C746" s="81" t="s">
        <v>1774</v>
      </c>
      <c r="D746" s="74" t="s">
        <v>7</v>
      </c>
      <c r="E746" s="78">
        <v>3</v>
      </c>
      <c r="F746" s="64">
        <f>TRUNC(11.98,2)</f>
        <v>11.98</v>
      </c>
      <c r="G746" s="260">
        <f>TRUNC(E746*F746,2)</f>
        <v>35.94</v>
      </c>
      <c r="H746" s="64"/>
      <c r="I746" s="78"/>
    </row>
    <row r="747" spans="1:9" ht="15">
      <c r="A747" s="74"/>
      <c r="B747" s="80" t="s">
        <v>1775</v>
      </c>
      <c r="C747" s="81" t="s">
        <v>1776</v>
      </c>
      <c r="D747" s="74" t="s">
        <v>7</v>
      </c>
      <c r="E747" s="78">
        <v>1</v>
      </c>
      <c r="F747" s="64">
        <f>TRUNC(11.98,2)</f>
        <v>11.98</v>
      </c>
      <c r="G747" s="64">
        <f>TRUNC(E747*F747,2)</f>
        <v>11.98</v>
      </c>
      <c r="H747" s="64"/>
      <c r="I747" s="78"/>
    </row>
    <row r="748" spans="1:9" ht="15">
      <c r="A748" s="74"/>
      <c r="B748" s="80"/>
      <c r="C748" s="81"/>
      <c r="D748" s="74"/>
      <c r="E748" s="78" t="s">
        <v>33</v>
      </c>
      <c r="F748" s="64"/>
      <c r="G748" s="64">
        <f>TRUNC(SUM(G747:G747),2)</f>
        <v>11.98</v>
      </c>
      <c r="H748" s="64"/>
      <c r="I748" s="78"/>
    </row>
    <row r="749" spans="1:9" s="115" customFormat="1" ht="45.75">
      <c r="A749" s="68" t="s">
        <v>385</v>
      </c>
      <c r="B749" s="98" t="s">
        <v>1620</v>
      </c>
      <c r="C749" s="23" t="s">
        <v>2068</v>
      </c>
      <c r="D749" s="68" t="s">
        <v>383</v>
      </c>
      <c r="E749" s="24">
        <v>1</v>
      </c>
      <c r="F749" s="24">
        <f>TRUNC(F750,2)</f>
        <v>5035</v>
      </c>
      <c r="G749" s="24">
        <f>TRUNC(F749*1.2285,2)</f>
        <v>6185.49</v>
      </c>
      <c r="H749" s="24">
        <f>TRUNC(F749*E749,2)</f>
        <v>5035</v>
      </c>
      <c r="I749" s="24">
        <f>TRUNC(E749*G749,2)</f>
        <v>6185.49</v>
      </c>
    </row>
    <row r="750" spans="1:9" s="132" customFormat="1" ht="47.25">
      <c r="A750" s="296"/>
      <c r="B750" s="297" t="s">
        <v>1620</v>
      </c>
      <c r="C750" s="258" t="s">
        <v>1661</v>
      </c>
      <c r="D750" s="296" t="s">
        <v>1621</v>
      </c>
      <c r="E750" s="259">
        <v>1</v>
      </c>
      <c r="F750" s="298">
        <f>E759</f>
        <v>5035</v>
      </c>
      <c r="G750" s="298">
        <f>TRUNC(E750*F750,2)</f>
        <v>5035</v>
      </c>
      <c r="H750" s="298"/>
      <c r="I750" s="259"/>
    </row>
    <row r="751" spans="1:9" s="115" customFormat="1" ht="15">
      <c r="A751" s="299"/>
      <c r="B751" s="300"/>
      <c r="C751" s="81"/>
      <c r="D751" s="299"/>
      <c r="E751" s="78"/>
      <c r="F751" s="301"/>
      <c r="G751" s="301"/>
      <c r="H751" s="301"/>
      <c r="I751" s="78"/>
    </row>
    <row r="752" spans="1:9" s="115" customFormat="1" ht="15">
      <c r="A752" s="299"/>
      <c r="B752" s="300"/>
      <c r="C752" s="81"/>
      <c r="D752" s="299"/>
      <c r="E752" s="78" t="s">
        <v>1622</v>
      </c>
      <c r="F752" s="301"/>
      <c r="G752" s="301"/>
      <c r="H752" s="301"/>
      <c r="I752" s="78"/>
    </row>
    <row r="753" spans="1:9" s="115" customFormat="1" ht="15">
      <c r="A753" s="123"/>
      <c r="B753" s="128"/>
      <c r="C753" s="127"/>
      <c r="D753" s="123"/>
      <c r="E753" s="129"/>
      <c r="F753" s="122"/>
      <c r="G753" s="122"/>
      <c r="H753" s="122"/>
      <c r="I753" s="129"/>
    </row>
    <row r="754" spans="1:9" s="115" customFormat="1" ht="30">
      <c r="A754" s="123"/>
      <c r="B754" s="128" t="s">
        <v>1657</v>
      </c>
      <c r="C754" s="309" t="s">
        <v>1660</v>
      </c>
      <c r="D754" s="123" t="s">
        <v>1621</v>
      </c>
      <c r="E754" s="129">
        <v>3670.3</v>
      </c>
      <c r="F754" s="122"/>
      <c r="G754" s="131"/>
      <c r="H754" s="122"/>
      <c r="I754" s="129"/>
    </row>
    <row r="755" spans="1:9" s="115" customFormat="1" ht="30">
      <c r="A755" s="123"/>
      <c r="B755" s="128" t="s">
        <v>1658</v>
      </c>
      <c r="C755" s="309" t="s">
        <v>1660</v>
      </c>
      <c r="D755" s="123" t="s">
        <v>1621</v>
      </c>
      <c r="E755" s="129">
        <v>5035</v>
      </c>
      <c r="F755" s="122"/>
      <c r="G755" s="131"/>
      <c r="H755" s="122"/>
      <c r="I755" s="129"/>
    </row>
    <row r="756" spans="1:9" s="115" customFormat="1" ht="30">
      <c r="A756" s="123"/>
      <c r="B756" s="128" t="s">
        <v>1656</v>
      </c>
      <c r="C756" s="309" t="s">
        <v>1660</v>
      </c>
      <c r="D756" s="123" t="s">
        <v>1621</v>
      </c>
      <c r="E756" s="129">
        <v>5528</v>
      </c>
      <c r="F756" s="122"/>
      <c r="G756" s="122"/>
      <c r="H756" s="122"/>
      <c r="I756" s="129"/>
    </row>
    <row r="757" spans="1:9" s="115" customFormat="1" ht="30">
      <c r="A757" s="123"/>
      <c r="B757" s="128" t="s">
        <v>1659</v>
      </c>
      <c r="C757" s="309" t="s">
        <v>1660</v>
      </c>
      <c r="D757" s="123" t="s">
        <v>1621</v>
      </c>
      <c r="E757" s="129">
        <v>12375</v>
      </c>
      <c r="F757" s="122"/>
      <c r="G757" s="122"/>
      <c r="H757" s="122"/>
      <c r="I757" s="129"/>
    </row>
    <row r="758" spans="1:9" s="115" customFormat="1" ht="30">
      <c r="A758" s="123"/>
      <c r="B758" s="128" t="s">
        <v>1655</v>
      </c>
      <c r="C758" s="309" t="s">
        <v>1660</v>
      </c>
      <c r="D758" s="123" t="s">
        <v>1621</v>
      </c>
      <c r="E758" s="129">
        <v>2799</v>
      </c>
      <c r="F758" s="122"/>
      <c r="G758" s="122"/>
      <c r="H758" s="122"/>
      <c r="I758" s="129"/>
    </row>
    <row r="759" spans="1:9" s="115" customFormat="1" ht="15">
      <c r="A759" s="299"/>
      <c r="B759" s="300"/>
      <c r="C759" s="81"/>
      <c r="D759" s="302" t="s">
        <v>1623</v>
      </c>
      <c r="E759" s="78">
        <f>MEDIAN(E754,E755,E756,E757,E758)</f>
        <v>5035</v>
      </c>
      <c r="F759" s="301"/>
      <c r="G759" s="301"/>
      <c r="H759" s="301"/>
      <c r="I759" s="78"/>
    </row>
    <row r="760" spans="1:9" ht="15">
      <c r="A760" s="74"/>
      <c r="B760" s="80"/>
      <c r="C760" s="81"/>
      <c r="D760" s="74"/>
      <c r="E760" s="78"/>
      <c r="F760" s="64"/>
      <c r="G760" s="64"/>
      <c r="H760" s="64"/>
      <c r="I760" s="78"/>
    </row>
    <row r="761" spans="1:9" s="115" customFormat="1" ht="45.75">
      <c r="A761" s="68" t="s">
        <v>386</v>
      </c>
      <c r="B761" s="98" t="s">
        <v>1620</v>
      </c>
      <c r="C761" s="23" t="s">
        <v>2069</v>
      </c>
      <c r="D761" s="68" t="s">
        <v>383</v>
      </c>
      <c r="E761" s="24">
        <v>1</v>
      </c>
      <c r="F761" s="24">
        <f>TRUNC(F762,2)</f>
        <v>744.61</v>
      </c>
      <c r="G761" s="24">
        <f>TRUNC(F761*1.2285,2)</f>
        <v>914.75</v>
      </c>
      <c r="H761" s="24">
        <f>TRUNC(F761*E761,2)</f>
        <v>744.61</v>
      </c>
      <c r="I761" s="24">
        <f>TRUNC(E761*G761,2)</f>
        <v>914.75</v>
      </c>
    </row>
    <row r="762" spans="1:9" s="132" customFormat="1" ht="31.5">
      <c r="A762" s="296"/>
      <c r="B762" s="297" t="s">
        <v>1620</v>
      </c>
      <c r="C762" s="258" t="s">
        <v>1888</v>
      </c>
      <c r="D762" s="296" t="s">
        <v>1621</v>
      </c>
      <c r="E762" s="259">
        <v>1</v>
      </c>
      <c r="F762" s="298">
        <f>E771</f>
        <v>744.61538461538464</v>
      </c>
      <c r="G762" s="298">
        <f>TRUNC(E762*F762,2)</f>
        <v>744.61</v>
      </c>
      <c r="H762" s="298"/>
      <c r="I762" s="259"/>
    </row>
    <row r="763" spans="1:9" s="115" customFormat="1" ht="15">
      <c r="A763" s="299"/>
      <c r="B763" s="300"/>
      <c r="C763" s="81"/>
      <c r="D763" s="299"/>
      <c r="E763" s="78"/>
      <c r="F763" s="301"/>
      <c r="G763" s="301"/>
      <c r="H763" s="301"/>
      <c r="I763" s="78"/>
    </row>
    <row r="764" spans="1:9" s="115" customFormat="1" ht="15">
      <c r="A764" s="299"/>
      <c r="B764" s="300"/>
      <c r="C764" s="81"/>
      <c r="D764" s="299"/>
      <c r="E764" s="78" t="s">
        <v>1622</v>
      </c>
      <c r="F764" s="301"/>
      <c r="G764" s="301"/>
      <c r="H764" s="301"/>
      <c r="I764" s="78"/>
    </row>
    <row r="765" spans="1:9" s="115" customFormat="1" ht="15">
      <c r="A765" s="123"/>
      <c r="B765" s="128"/>
      <c r="C765" s="127"/>
      <c r="D765" s="123"/>
      <c r="E765" s="129"/>
      <c r="F765" s="122"/>
      <c r="G765" s="122"/>
      <c r="H765" s="122"/>
      <c r="I765" s="129"/>
    </row>
    <row r="766" spans="1:9" s="115" customFormat="1" ht="30">
      <c r="A766" s="123"/>
      <c r="B766" s="128" t="s">
        <v>1657</v>
      </c>
      <c r="C766" s="127" t="s">
        <v>1888</v>
      </c>
      <c r="D766" s="123" t="s">
        <v>1621</v>
      </c>
      <c r="E766" s="129">
        <f>(0.8/1.3)*775</f>
        <v>476.92307692307696</v>
      </c>
      <c r="F766" s="122"/>
      <c r="G766" s="131"/>
      <c r="H766" s="122"/>
      <c r="I766" s="129"/>
    </row>
    <row r="767" spans="1:9" s="115" customFormat="1" ht="30">
      <c r="A767" s="123"/>
      <c r="B767" s="128" t="s">
        <v>1658</v>
      </c>
      <c r="C767" s="127" t="s">
        <v>1888</v>
      </c>
      <c r="D767" s="123" t="s">
        <v>1621</v>
      </c>
      <c r="E767" s="129">
        <f>(0.8/1.3)*1210</f>
        <v>744.61538461538464</v>
      </c>
      <c r="F767" s="122"/>
      <c r="G767" s="131"/>
      <c r="H767" s="122"/>
      <c r="I767" s="129"/>
    </row>
    <row r="768" spans="1:9" s="115" customFormat="1" ht="30">
      <c r="A768" s="123"/>
      <c r="B768" s="128" t="s">
        <v>1656</v>
      </c>
      <c r="C768" s="127" t="s">
        <v>1888</v>
      </c>
      <c r="D768" s="123" t="s">
        <v>1621</v>
      </c>
      <c r="E768" s="129">
        <f>(0.8/1.3)*1493</f>
        <v>918.76923076923083</v>
      </c>
      <c r="F768" s="122"/>
      <c r="G768" s="122"/>
      <c r="H768" s="122"/>
      <c r="I768" s="129"/>
    </row>
    <row r="769" spans="1:9" s="115" customFormat="1" ht="30">
      <c r="A769" s="123"/>
      <c r="B769" s="128" t="s">
        <v>1659</v>
      </c>
      <c r="C769" s="127" t="s">
        <v>1888</v>
      </c>
      <c r="D769" s="123" t="s">
        <v>1621</v>
      </c>
      <c r="E769" s="129">
        <f>(0.8/1.3)*1950</f>
        <v>1200</v>
      </c>
      <c r="F769" s="122"/>
      <c r="G769" s="122"/>
      <c r="H769" s="122"/>
      <c r="I769" s="129"/>
    </row>
    <row r="770" spans="1:9" s="115" customFormat="1" ht="30">
      <c r="A770" s="123"/>
      <c r="B770" s="128" t="s">
        <v>1655</v>
      </c>
      <c r="C770" s="127" t="s">
        <v>1888</v>
      </c>
      <c r="D770" s="123" t="s">
        <v>1621</v>
      </c>
      <c r="E770" s="129">
        <f>(0.8/1.3)*1098</f>
        <v>675.69230769230774</v>
      </c>
      <c r="F770" s="122"/>
      <c r="G770" s="122"/>
      <c r="H770" s="122"/>
      <c r="I770" s="129"/>
    </row>
    <row r="771" spans="1:9" s="115" customFormat="1" ht="15">
      <c r="A771" s="299"/>
      <c r="B771" s="300"/>
      <c r="C771" s="81"/>
      <c r="D771" s="302" t="s">
        <v>1623</v>
      </c>
      <c r="E771" s="78">
        <f>MEDIAN(E766,E767,E768,E769,E770)</f>
        <v>744.61538461538464</v>
      </c>
      <c r="F771" s="301"/>
      <c r="G771" s="301"/>
      <c r="H771" s="301"/>
      <c r="I771" s="78"/>
    </row>
    <row r="772" spans="1:9" s="115" customFormat="1" ht="15">
      <c r="A772" s="299"/>
      <c r="B772" s="300"/>
      <c r="C772" s="81"/>
      <c r="D772" s="302"/>
      <c r="E772" s="78"/>
      <c r="F772" s="301"/>
      <c r="G772" s="301"/>
      <c r="H772" s="301"/>
      <c r="I772" s="78"/>
    </row>
    <row r="773" spans="1:9" s="115" customFormat="1" ht="45.75">
      <c r="A773" s="68" t="s">
        <v>387</v>
      </c>
      <c r="B773" s="98" t="s">
        <v>1620</v>
      </c>
      <c r="C773" s="23" t="s">
        <v>2070</v>
      </c>
      <c r="D773" s="68" t="s">
        <v>383</v>
      </c>
      <c r="E773" s="24">
        <v>2</v>
      </c>
      <c r="F773" s="24">
        <f>TRUNC(F774,2)</f>
        <v>1210</v>
      </c>
      <c r="G773" s="24">
        <f>TRUNC(F773*1.2285,2)</f>
        <v>1486.48</v>
      </c>
      <c r="H773" s="24">
        <f>TRUNC(F773*E773,2)</f>
        <v>2420</v>
      </c>
      <c r="I773" s="24">
        <f>TRUNC(E773*G773,2)</f>
        <v>2972.96</v>
      </c>
    </row>
    <row r="774" spans="1:9" s="132" customFormat="1" ht="31.5">
      <c r="A774" s="296"/>
      <c r="B774" s="297" t="s">
        <v>1620</v>
      </c>
      <c r="C774" s="258" t="s">
        <v>1889</v>
      </c>
      <c r="D774" s="296" t="s">
        <v>1621</v>
      </c>
      <c r="E774" s="259">
        <v>1</v>
      </c>
      <c r="F774" s="298">
        <f>E783</f>
        <v>1210</v>
      </c>
      <c r="G774" s="298">
        <f>TRUNC(E774*F774,2)</f>
        <v>1210</v>
      </c>
      <c r="H774" s="298"/>
      <c r="I774" s="259"/>
    </row>
    <row r="775" spans="1:9" s="115" customFormat="1" ht="15">
      <c r="A775" s="299"/>
      <c r="B775" s="300"/>
      <c r="C775" s="81"/>
      <c r="D775" s="299"/>
      <c r="E775" s="78"/>
      <c r="F775" s="301"/>
      <c r="G775" s="301"/>
      <c r="H775" s="301"/>
      <c r="I775" s="78"/>
    </row>
    <row r="776" spans="1:9" s="115" customFormat="1" ht="15">
      <c r="A776" s="299"/>
      <c r="B776" s="300"/>
      <c r="C776" s="81"/>
      <c r="D776" s="299"/>
      <c r="E776" s="78" t="s">
        <v>1622</v>
      </c>
      <c r="F776" s="301"/>
      <c r="G776" s="301"/>
      <c r="H776" s="301"/>
      <c r="I776" s="78"/>
    </row>
    <row r="777" spans="1:9" s="115" customFormat="1" ht="15">
      <c r="A777" s="123"/>
      <c r="B777" s="128"/>
      <c r="C777" s="127"/>
      <c r="D777" s="123"/>
      <c r="E777" s="129"/>
      <c r="F777" s="122"/>
      <c r="G777" s="122"/>
      <c r="H777" s="122"/>
      <c r="I777" s="129"/>
    </row>
    <row r="778" spans="1:9" s="115" customFormat="1" ht="30">
      <c r="A778" s="123"/>
      <c r="B778" s="128" t="s">
        <v>1657</v>
      </c>
      <c r="C778" s="127" t="s">
        <v>1889</v>
      </c>
      <c r="D778" s="123" t="s">
        <v>1621</v>
      </c>
      <c r="E778" s="129">
        <v>775</v>
      </c>
      <c r="F778" s="122"/>
      <c r="G778" s="131"/>
      <c r="H778" s="122"/>
      <c r="I778" s="129"/>
    </row>
    <row r="779" spans="1:9" s="115" customFormat="1" ht="30">
      <c r="A779" s="123"/>
      <c r="B779" s="128" t="s">
        <v>1658</v>
      </c>
      <c r="C779" s="127" t="s">
        <v>1889</v>
      </c>
      <c r="D779" s="123" t="s">
        <v>1621</v>
      </c>
      <c r="E779" s="129">
        <v>1210</v>
      </c>
      <c r="F779" s="122"/>
      <c r="G779" s="131"/>
      <c r="H779" s="122"/>
      <c r="I779" s="129"/>
    </row>
    <row r="780" spans="1:9" s="115" customFormat="1" ht="30">
      <c r="A780" s="123"/>
      <c r="B780" s="128" t="s">
        <v>1656</v>
      </c>
      <c r="C780" s="127" t="s">
        <v>1889</v>
      </c>
      <c r="D780" s="123" t="s">
        <v>1621</v>
      </c>
      <c r="E780" s="129">
        <v>1493</v>
      </c>
      <c r="F780" s="122"/>
      <c r="G780" s="122"/>
      <c r="H780" s="122"/>
      <c r="I780" s="129"/>
    </row>
    <row r="781" spans="1:9" s="115" customFormat="1" ht="30">
      <c r="A781" s="123"/>
      <c r="B781" s="128" t="s">
        <v>1659</v>
      </c>
      <c r="C781" s="127" t="s">
        <v>1889</v>
      </c>
      <c r="D781" s="123" t="s">
        <v>1621</v>
      </c>
      <c r="E781" s="129">
        <v>1950</v>
      </c>
      <c r="F781" s="122"/>
      <c r="G781" s="122"/>
      <c r="H781" s="122"/>
      <c r="I781" s="129"/>
    </row>
    <row r="782" spans="1:9" s="115" customFormat="1" ht="30">
      <c r="A782" s="123"/>
      <c r="B782" s="128" t="s">
        <v>1655</v>
      </c>
      <c r="C782" s="127" t="s">
        <v>1889</v>
      </c>
      <c r="D782" s="123" t="s">
        <v>1621</v>
      </c>
      <c r="E782" s="129">
        <v>1098</v>
      </c>
      <c r="F782" s="122"/>
      <c r="G782" s="122"/>
      <c r="H782" s="122"/>
      <c r="I782" s="129"/>
    </row>
    <row r="783" spans="1:9" s="115" customFormat="1" ht="15">
      <c r="A783" s="299"/>
      <c r="B783" s="300"/>
      <c r="C783" s="81"/>
      <c r="D783" s="302" t="s">
        <v>1623</v>
      </c>
      <c r="E783" s="78">
        <f>MEDIAN(E778,E779,E780,E781,E782)</f>
        <v>1210</v>
      </c>
      <c r="F783" s="301"/>
      <c r="G783" s="301"/>
      <c r="H783" s="301"/>
      <c r="I783" s="78"/>
    </row>
    <row r="784" spans="1:9" s="115" customFormat="1" ht="15">
      <c r="A784" s="299"/>
      <c r="B784" s="300"/>
      <c r="C784" s="81"/>
      <c r="D784" s="302"/>
      <c r="E784" s="78"/>
      <c r="F784" s="301"/>
      <c r="G784" s="301"/>
      <c r="H784" s="301"/>
      <c r="I784" s="78"/>
    </row>
    <row r="785" spans="1:9" s="115" customFormat="1" ht="45.75">
      <c r="A785" s="68" t="s">
        <v>388</v>
      </c>
      <c r="B785" s="98" t="s">
        <v>1620</v>
      </c>
      <c r="C785" s="23" t="s">
        <v>2071</v>
      </c>
      <c r="D785" s="68" t="s">
        <v>383</v>
      </c>
      <c r="E785" s="24">
        <v>1</v>
      </c>
      <c r="F785" s="24">
        <f>TRUNC(F786,2)</f>
        <v>1258</v>
      </c>
      <c r="G785" s="24">
        <f>TRUNC(F785*1.2285,2)</f>
        <v>1545.45</v>
      </c>
      <c r="H785" s="24">
        <f>TRUNC(F785*E785,2)</f>
        <v>1258</v>
      </c>
      <c r="I785" s="24">
        <f>TRUNC(E785*G785,2)</f>
        <v>1545.45</v>
      </c>
    </row>
    <row r="786" spans="1:9" s="132" customFormat="1" ht="31.5">
      <c r="A786" s="296"/>
      <c r="B786" s="297" t="s">
        <v>1620</v>
      </c>
      <c r="C786" s="258" t="s">
        <v>1890</v>
      </c>
      <c r="D786" s="296" t="s">
        <v>1621</v>
      </c>
      <c r="E786" s="259">
        <v>1</v>
      </c>
      <c r="F786" s="298">
        <f>E795</f>
        <v>1258</v>
      </c>
      <c r="G786" s="298">
        <f>TRUNC(E786*F786,2)</f>
        <v>1258</v>
      </c>
      <c r="H786" s="298"/>
      <c r="I786" s="259"/>
    </row>
    <row r="787" spans="1:9" s="115" customFormat="1" ht="15">
      <c r="A787" s="299"/>
      <c r="B787" s="300"/>
      <c r="C787" s="81"/>
      <c r="D787" s="299"/>
      <c r="E787" s="78"/>
      <c r="F787" s="301"/>
      <c r="G787" s="301"/>
      <c r="H787" s="301"/>
      <c r="I787" s="78"/>
    </row>
    <row r="788" spans="1:9" s="115" customFormat="1" ht="15">
      <c r="A788" s="299"/>
      <c r="B788" s="300"/>
      <c r="C788" s="81"/>
      <c r="D788" s="299"/>
      <c r="E788" s="78" t="s">
        <v>1622</v>
      </c>
      <c r="F788" s="301"/>
      <c r="G788" s="301"/>
      <c r="H788" s="301"/>
      <c r="I788" s="78"/>
    </row>
    <row r="789" spans="1:9" s="115" customFormat="1" ht="15">
      <c r="A789" s="123"/>
      <c r="B789" s="128"/>
      <c r="C789" s="127"/>
      <c r="D789" s="123"/>
      <c r="E789" s="129"/>
      <c r="F789" s="122"/>
      <c r="G789" s="122"/>
      <c r="H789" s="122"/>
      <c r="I789" s="129"/>
    </row>
    <row r="790" spans="1:9" s="115" customFormat="1" ht="30">
      <c r="A790" s="123"/>
      <c r="B790" s="128" t="s">
        <v>1657</v>
      </c>
      <c r="C790" s="127" t="s">
        <v>1890</v>
      </c>
      <c r="D790" s="123" t="s">
        <v>1621</v>
      </c>
      <c r="E790" s="129">
        <v>849.13</v>
      </c>
      <c r="F790" s="122"/>
      <c r="G790" s="131"/>
      <c r="H790" s="122"/>
      <c r="I790" s="129"/>
    </row>
    <row r="791" spans="1:9" s="115" customFormat="1" ht="30">
      <c r="A791" s="123"/>
      <c r="B791" s="128" t="s">
        <v>1658</v>
      </c>
      <c r="C791" s="127" t="s">
        <v>1890</v>
      </c>
      <c r="D791" s="123" t="s">
        <v>1621</v>
      </c>
      <c r="E791" s="129">
        <v>1258</v>
      </c>
      <c r="F791" s="122"/>
      <c r="G791" s="131"/>
      <c r="H791" s="122"/>
      <c r="I791" s="129"/>
    </row>
    <row r="792" spans="1:9" s="115" customFormat="1" ht="30">
      <c r="A792" s="123"/>
      <c r="B792" s="128" t="s">
        <v>1656</v>
      </c>
      <c r="C792" s="127" t="s">
        <v>1890</v>
      </c>
      <c r="D792" s="123" t="s">
        <v>1621</v>
      </c>
      <c r="E792" s="129">
        <v>1571.5</v>
      </c>
      <c r="F792" s="122"/>
      <c r="G792" s="122"/>
      <c r="H792" s="122"/>
      <c r="I792" s="129"/>
    </row>
    <row r="793" spans="1:9" s="115" customFormat="1" ht="30">
      <c r="A793" s="123"/>
      <c r="B793" s="128" t="s">
        <v>1659</v>
      </c>
      <c r="C793" s="127" t="s">
        <v>1890</v>
      </c>
      <c r="D793" s="123" t="s">
        <v>1621</v>
      </c>
      <c r="E793" s="129">
        <v>2340</v>
      </c>
      <c r="F793" s="122"/>
      <c r="G793" s="122"/>
      <c r="H793" s="122"/>
      <c r="I793" s="129"/>
    </row>
    <row r="794" spans="1:9" s="115" customFormat="1" ht="30">
      <c r="A794" s="123"/>
      <c r="B794" s="128" t="s">
        <v>1655</v>
      </c>
      <c r="C794" s="127" t="s">
        <v>1890</v>
      </c>
      <c r="D794" s="123" t="s">
        <v>1621</v>
      </c>
      <c r="E794" s="129">
        <v>1142</v>
      </c>
      <c r="F794" s="122"/>
      <c r="G794" s="122"/>
      <c r="H794" s="122"/>
      <c r="I794" s="129"/>
    </row>
    <row r="795" spans="1:9" s="115" customFormat="1" ht="15">
      <c r="A795" s="299"/>
      <c r="B795" s="300"/>
      <c r="C795" s="81"/>
      <c r="D795" s="302" t="s">
        <v>1623</v>
      </c>
      <c r="E795" s="78">
        <f>MEDIAN(E790,E791,E792,E793,E794)</f>
        <v>1258</v>
      </c>
      <c r="F795" s="301"/>
      <c r="G795" s="301"/>
      <c r="H795" s="301"/>
      <c r="I795" s="78"/>
    </row>
    <row r="796" spans="1:9" s="115" customFormat="1" ht="15">
      <c r="A796" s="299"/>
      <c r="B796" s="300"/>
      <c r="C796" s="81"/>
      <c r="D796" s="302"/>
      <c r="E796" s="78"/>
      <c r="F796" s="301"/>
      <c r="G796" s="301"/>
      <c r="H796" s="301"/>
      <c r="I796" s="78"/>
    </row>
    <row r="797" spans="1:9" s="115" customFormat="1" ht="45.75">
      <c r="A797" s="68" t="s">
        <v>389</v>
      </c>
      <c r="B797" s="98" t="s">
        <v>1620</v>
      </c>
      <c r="C797" s="23" t="s">
        <v>2072</v>
      </c>
      <c r="D797" s="68" t="s">
        <v>383</v>
      </c>
      <c r="E797" s="24">
        <v>1</v>
      </c>
      <c r="F797" s="24">
        <f>TRUNC(F798,2)</f>
        <v>1312</v>
      </c>
      <c r="G797" s="24">
        <f>TRUNC(F797*1.2285,2)</f>
        <v>1611.79</v>
      </c>
      <c r="H797" s="24">
        <f>TRUNC(F797*E797,2)</f>
        <v>1312</v>
      </c>
      <c r="I797" s="24">
        <f>TRUNC(E797*G797,2)</f>
        <v>1611.79</v>
      </c>
    </row>
    <row r="798" spans="1:9" s="132" customFormat="1" ht="31.5">
      <c r="A798" s="296"/>
      <c r="B798" s="297" t="s">
        <v>1620</v>
      </c>
      <c r="C798" s="258" t="s">
        <v>1891</v>
      </c>
      <c r="D798" s="296" t="s">
        <v>1621</v>
      </c>
      <c r="E798" s="259">
        <v>1</v>
      </c>
      <c r="F798" s="298">
        <f>E807</f>
        <v>1312</v>
      </c>
      <c r="G798" s="298">
        <f>TRUNC(E798*F798,2)</f>
        <v>1312</v>
      </c>
      <c r="H798" s="298"/>
      <c r="I798" s="259"/>
    </row>
    <row r="799" spans="1:9" s="115" customFormat="1" ht="15">
      <c r="A799" s="299"/>
      <c r="B799" s="300"/>
      <c r="C799" s="81"/>
      <c r="D799" s="299"/>
      <c r="E799" s="78"/>
      <c r="F799" s="301"/>
      <c r="G799" s="301"/>
      <c r="H799" s="301"/>
      <c r="I799" s="78"/>
    </row>
    <row r="800" spans="1:9" s="115" customFormat="1" ht="15">
      <c r="A800" s="299"/>
      <c r="B800" s="300"/>
      <c r="C800" s="81"/>
      <c r="D800" s="299"/>
      <c r="E800" s="78" t="s">
        <v>1622</v>
      </c>
      <c r="F800" s="301"/>
      <c r="G800" s="301"/>
      <c r="H800" s="301"/>
      <c r="I800" s="78"/>
    </row>
    <row r="801" spans="1:9" s="115" customFormat="1" ht="15">
      <c r="A801" s="123"/>
      <c r="B801" s="128"/>
      <c r="C801" s="127"/>
      <c r="D801" s="123"/>
      <c r="E801" s="129"/>
      <c r="F801" s="122"/>
      <c r="G801" s="122"/>
      <c r="H801" s="122"/>
      <c r="I801" s="129"/>
    </row>
    <row r="802" spans="1:9" s="115" customFormat="1" ht="30">
      <c r="A802" s="123"/>
      <c r="B802" s="128" t="s">
        <v>1657</v>
      </c>
      <c r="C802" s="127" t="s">
        <v>1891</v>
      </c>
      <c r="D802" s="123" t="s">
        <v>1621</v>
      </c>
      <c r="E802" s="129">
        <v>950.94</v>
      </c>
      <c r="F802" s="122"/>
      <c r="G802" s="131"/>
      <c r="H802" s="122"/>
      <c r="I802" s="129"/>
    </row>
    <row r="803" spans="1:9" s="115" customFormat="1" ht="30">
      <c r="A803" s="123"/>
      <c r="B803" s="128" t="s">
        <v>1658</v>
      </c>
      <c r="C803" s="127" t="s">
        <v>1891</v>
      </c>
      <c r="D803" s="123" t="s">
        <v>1621</v>
      </c>
      <c r="E803" s="129">
        <v>1312</v>
      </c>
      <c r="F803" s="122"/>
      <c r="G803" s="131"/>
      <c r="H803" s="122"/>
      <c r="I803" s="129"/>
    </row>
    <row r="804" spans="1:9" s="115" customFormat="1" ht="30">
      <c r="A804" s="123"/>
      <c r="B804" s="128" t="s">
        <v>1656</v>
      </c>
      <c r="C804" s="127" t="s">
        <v>1891</v>
      </c>
      <c r="D804" s="123" t="s">
        <v>1621</v>
      </c>
      <c r="E804" s="129">
        <v>1648</v>
      </c>
      <c r="F804" s="122"/>
      <c r="G804" s="122"/>
      <c r="H804" s="122"/>
      <c r="I804" s="129"/>
    </row>
    <row r="805" spans="1:9" s="115" customFormat="1" ht="30">
      <c r="A805" s="123"/>
      <c r="B805" s="128" t="s">
        <v>1659</v>
      </c>
      <c r="C805" s="127" t="s">
        <v>1891</v>
      </c>
      <c r="D805" s="123" t="s">
        <v>1621</v>
      </c>
      <c r="E805" s="129">
        <v>2730</v>
      </c>
      <c r="F805" s="122"/>
      <c r="G805" s="122"/>
      <c r="H805" s="122"/>
      <c r="I805" s="129"/>
    </row>
    <row r="806" spans="1:9" s="115" customFormat="1" ht="30">
      <c r="A806" s="123"/>
      <c r="B806" s="128" t="s">
        <v>1655</v>
      </c>
      <c r="C806" s="127" t="s">
        <v>1891</v>
      </c>
      <c r="D806" s="123" t="s">
        <v>1621</v>
      </c>
      <c r="E806" s="129">
        <v>1187</v>
      </c>
      <c r="F806" s="122"/>
      <c r="G806" s="122"/>
      <c r="H806" s="122"/>
      <c r="I806" s="129"/>
    </row>
    <row r="807" spans="1:9" s="115" customFormat="1" ht="15">
      <c r="A807" s="299"/>
      <c r="B807" s="300"/>
      <c r="C807" s="81"/>
      <c r="D807" s="302" t="s">
        <v>1623</v>
      </c>
      <c r="E807" s="78">
        <f>MEDIAN(E802,E803,E804,E805,E806)</f>
        <v>1312</v>
      </c>
      <c r="F807" s="301"/>
      <c r="G807" s="301"/>
      <c r="H807" s="301"/>
      <c r="I807" s="78"/>
    </row>
    <row r="808" spans="1:9" s="115" customFormat="1" ht="15">
      <c r="A808" s="299"/>
      <c r="B808" s="300"/>
      <c r="C808" s="81"/>
      <c r="D808" s="302"/>
      <c r="E808" s="78"/>
      <c r="F808" s="301"/>
      <c r="G808" s="301"/>
      <c r="H808" s="301"/>
      <c r="I808" s="78"/>
    </row>
    <row r="809" spans="1:9" s="115" customFormat="1" ht="45.75">
      <c r="A809" s="68" t="s">
        <v>390</v>
      </c>
      <c r="B809" s="98" t="s">
        <v>1620</v>
      </c>
      <c r="C809" s="23" t="s">
        <v>2073</v>
      </c>
      <c r="D809" s="68" t="s">
        <v>383</v>
      </c>
      <c r="E809" s="24">
        <v>5</v>
      </c>
      <c r="F809" s="24">
        <f>TRUNC(F810,2)</f>
        <v>1316</v>
      </c>
      <c r="G809" s="24">
        <f>TRUNC(F809*1.2285,2)</f>
        <v>1616.7</v>
      </c>
      <c r="H809" s="24">
        <f>TRUNC(F809*E809,2)</f>
        <v>6580</v>
      </c>
      <c r="I809" s="24">
        <f>TRUNC(E809*G809,2)</f>
        <v>8083.5</v>
      </c>
    </row>
    <row r="810" spans="1:9" s="132" customFormat="1" ht="31.5">
      <c r="A810" s="296"/>
      <c r="B810" s="297" t="s">
        <v>1620</v>
      </c>
      <c r="C810" s="258" t="s">
        <v>1892</v>
      </c>
      <c r="D810" s="296" t="s">
        <v>1621</v>
      </c>
      <c r="E810" s="259">
        <v>1</v>
      </c>
      <c r="F810" s="298">
        <f>E819</f>
        <v>1316</v>
      </c>
      <c r="G810" s="298">
        <f>TRUNC(E810*F810,2)</f>
        <v>1316</v>
      </c>
      <c r="H810" s="298"/>
      <c r="I810" s="259"/>
    </row>
    <row r="811" spans="1:9" s="115" customFormat="1" ht="15">
      <c r="A811" s="299"/>
      <c r="B811" s="300"/>
      <c r="C811" s="81"/>
      <c r="D811" s="299"/>
      <c r="E811" s="78"/>
      <c r="F811" s="301"/>
      <c r="G811" s="301"/>
      <c r="H811" s="301"/>
      <c r="I811" s="78"/>
    </row>
    <row r="812" spans="1:9" s="115" customFormat="1" ht="15">
      <c r="A812" s="299"/>
      <c r="B812" s="300"/>
      <c r="C812" s="81"/>
      <c r="D812" s="299"/>
      <c r="E812" s="78" t="s">
        <v>1622</v>
      </c>
      <c r="F812" s="301"/>
      <c r="G812" s="301"/>
      <c r="H812" s="301"/>
      <c r="I812" s="78"/>
    </row>
    <row r="813" spans="1:9" s="115" customFormat="1" ht="15">
      <c r="A813" s="123"/>
      <c r="B813" s="128"/>
      <c r="C813" s="127"/>
      <c r="D813" s="123"/>
      <c r="E813" s="129"/>
      <c r="F813" s="122"/>
      <c r="G813" s="122"/>
      <c r="H813" s="122"/>
      <c r="I813" s="129"/>
    </row>
    <row r="814" spans="1:9" s="115" customFormat="1" ht="30">
      <c r="A814" s="123"/>
      <c r="B814" s="128" t="s">
        <v>1657</v>
      </c>
      <c r="C814" s="127" t="s">
        <v>1892</v>
      </c>
      <c r="D814" s="123" t="s">
        <v>1621</v>
      </c>
      <c r="E814" s="129">
        <v>1195.8599999999999</v>
      </c>
      <c r="F814" s="122"/>
      <c r="G814" s="131"/>
      <c r="H814" s="122"/>
      <c r="I814" s="129"/>
    </row>
    <row r="815" spans="1:9" s="115" customFormat="1" ht="30">
      <c r="A815" s="123"/>
      <c r="B815" s="128" t="s">
        <v>1658</v>
      </c>
      <c r="C815" s="127" t="s">
        <v>1892</v>
      </c>
      <c r="D815" s="123" t="s">
        <v>1621</v>
      </c>
      <c r="E815" s="129">
        <v>1316</v>
      </c>
      <c r="F815" s="122"/>
      <c r="G815" s="131"/>
      <c r="H815" s="122"/>
      <c r="I815" s="129"/>
    </row>
    <row r="816" spans="1:9" s="115" customFormat="1" ht="30">
      <c r="A816" s="123"/>
      <c r="B816" s="128" t="s">
        <v>1656</v>
      </c>
      <c r="C816" s="127" t="s">
        <v>1892</v>
      </c>
      <c r="D816" s="123" t="s">
        <v>1621</v>
      </c>
      <c r="E816" s="129">
        <v>1526.5</v>
      </c>
      <c r="F816" s="122"/>
      <c r="G816" s="122"/>
      <c r="H816" s="122"/>
      <c r="I816" s="129"/>
    </row>
    <row r="817" spans="1:9" s="115" customFormat="1" ht="30">
      <c r="A817" s="123"/>
      <c r="B817" s="128" t="s">
        <v>1659</v>
      </c>
      <c r="C817" s="127" t="s">
        <v>1892</v>
      </c>
      <c r="D817" s="123" t="s">
        <v>1621</v>
      </c>
      <c r="E817" s="129">
        <v>3217</v>
      </c>
      <c r="F817" s="122"/>
      <c r="G817" s="122"/>
      <c r="H817" s="122"/>
      <c r="I817" s="129"/>
    </row>
    <row r="818" spans="1:9" s="115" customFormat="1" ht="30">
      <c r="A818" s="123"/>
      <c r="B818" s="128" t="s">
        <v>1655</v>
      </c>
      <c r="C818" s="127" t="s">
        <v>1892</v>
      </c>
      <c r="D818" s="123" t="s">
        <v>1621</v>
      </c>
      <c r="E818" s="129">
        <v>1274</v>
      </c>
      <c r="F818" s="122"/>
      <c r="G818" s="122"/>
      <c r="H818" s="122"/>
      <c r="I818" s="129"/>
    </row>
    <row r="819" spans="1:9" s="115" customFormat="1" ht="15">
      <c r="A819" s="299"/>
      <c r="B819" s="300"/>
      <c r="C819" s="81"/>
      <c r="D819" s="302" t="s">
        <v>1623</v>
      </c>
      <c r="E819" s="78">
        <f>MEDIAN(E814,E815,E816,E817,E818)</f>
        <v>1316</v>
      </c>
      <c r="F819" s="301"/>
      <c r="G819" s="301"/>
      <c r="H819" s="301"/>
      <c r="I819" s="78"/>
    </row>
    <row r="820" spans="1:9" s="115" customFormat="1" ht="15">
      <c r="A820" s="299"/>
      <c r="B820" s="300"/>
      <c r="C820" s="81"/>
      <c r="D820" s="302"/>
      <c r="E820" s="78"/>
      <c r="F820" s="301"/>
      <c r="G820" s="301"/>
      <c r="H820" s="301"/>
      <c r="I820" s="78"/>
    </row>
    <row r="821" spans="1:9" s="115" customFormat="1" ht="45.75">
      <c r="A821" s="68" t="s">
        <v>391</v>
      </c>
      <c r="B821" s="98" t="s">
        <v>1620</v>
      </c>
      <c r="C821" s="23" t="s">
        <v>2074</v>
      </c>
      <c r="D821" s="68" t="s">
        <v>383</v>
      </c>
      <c r="E821" s="24">
        <v>2</v>
      </c>
      <c r="F821" s="24">
        <f>TRUNC(F822,2)</f>
        <v>1354</v>
      </c>
      <c r="G821" s="24">
        <f>TRUNC(F821*1.2285,2)</f>
        <v>1663.38</v>
      </c>
      <c r="H821" s="24">
        <f>TRUNC(F821*E821,2)</f>
        <v>2708</v>
      </c>
      <c r="I821" s="24">
        <f>TRUNC(E821*G821,2)</f>
        <v>3326.76</v>
      </c>
    </row>
    <row r="822" spans="1:9" s="132" customFormat="1" ht="31.5">
      <c r="A822" s="296"/>
      <c r="B822" s="297" t="s">
        <v>1620</v>
      </c>
      <c r="C822" s="258" t="s">
        <v>1893</v>
      </c>
      <c r="D822" s="296" t="s">
        <v>1621</v>
      </c>
      <c r="E822" s="259">
        <v>1</v>
      </c>
      <c r="F822" s="298">
        <f>E831</f>
        <v>1354</v>
      </c>
      <c r="G822" s="298">
        <f>TRUNC(E822*F822,2)</f>
        <v>1354</v>
      </c>
      <c r="H822" s="298"/>
      <c r="I822" s="259"/>
    </row>
    <row r="823" spans="1:9" s="115" customFormat="1" ht="15">
      <c r="A823" s="299"/>
      <c r="B823" s="300"/>
      <c r="C823" s="81"/>
      <c r="D823" s="299"/>
      <c r="E823" s="78"/>
      <c r="F823" s="301"/>
      <c r="G823" s="301"/>
      <c r="H823" s="301"/>
      <c r="I823" s="78"/>
    </row>
    <row r="824" spans="1:9" s="115" customFormat="1" ht="15">
      <c r="A824" s="299"/>
      <c r="B824" s="300"/>
      <c r="C824" s="81"/>
      <c r="D824" s="299"/>
      <c r="E824" s="78" t="s">
        <v>1622</v>
      </c>
      <c r="F824" s="301"/>
      <c r="G824" s="301"/>
      <c r="H824" s="301"/>
      <c r="I824" s="78"/>
    </row>
    <row r="825" spans="1:9" s="115" customFormat="1" ht="15">
      <c r="A825" s="123"/>
      <c r="B825" s="128"/>
      <c r="C825" s="127"/>
      <c r="D825" s="123"/>
      <c r="E825" s="129"/>
      <c r="F825" s="122"/>
      <c r="G825" s="122"/>
      <c r="H825" s="122"/>
      <c r="I825" s="129"/>
    </row>
    <row r="826" spans="1:9" s="115" customFormat="1" ht="30">
      <c r="A826" s="123"/>
      <c r="B826" s="128" t="s">
        <v>1657</v>
      </c>
      <c r="C826" s="127" t="s">
        <v>1893</v>
      </c>
      <c r="D826" s="123" t="s">
        <v>1621</v>
      </c>
      <c r="E826" s="129">
        <v>1284.21</v>
      </c>
      <c r="F826" s="122"/>
      <c r="G826" s="131"/>
      <c r="H826" s="122"/>
      <c r="I826" s="129"/>
    </row>
    <row r="827" spans="1:9" s="115" customFormat="1" ht="30">
      <c r="A827" s="123"/>
      <c r="B827" s="128" t="s">
        <v>1658</v>
      </c>
      <c r="C827" s="127" t="s">
        <v>1893</v>
      </c>
      <c r="D827" s="123" t="s">
        <v>1621</v>
      </c>
      <c r="E827" s="129">
        <v>1354</v>
      </c>
      <c r="F827" s="122"/>
      <c r="G827" s="131"/>
      <c r="H827" s="122"/>
      <c r="I827" s="129"/>
    </row>
    <row r="828" spans="1:9" s="115" customFormat="1" ht="30">
      <c r="A828" s="123"/>
      <c r="B828" s="128" t="s">
        <v>1656</v>
      </c>
      <c r="C828" s="127" t="s">
        <v>1893</v>
      </c>
      <c r="D828" s="123" t="s">
        <v>1621</v>
      </c>
      <c r="E828" s="129">
        <v>1526.5</v>
      </c>
      <c r="F828" s="122"/>
      <c r="G828" s="122"/>
      <c r="H828" s="122"/>
      <c r="I828" s="129"/>
    </row>
    <row r="829" spans="1:9" s="115" customFormat="1" ht="30">
      <c r="A829" s="123"/>
      <c r="B829" s="128" t="s">
        <v>1659</v>
      </c>
      <c r="C829" s="127" t="s">
        <v>1893</v>
      </c>
      <c r="D829" s="123" t="s">
        <v>1621</v>
      </c>
      <c r="E829" s="129">
        <v>3432</v>
      </c>
      <c r="F829" s="122"/>
      <c r="G829" s="122"/>
      <c r="H829" s="122"/>
      <c r="I829" s="129"/>
    </row>
    <row r="830" spans="1:9" s="115" customFormat="1" ht="30">
      <c r="A830" s="123"/>
      <c r="B830" s="128" t="s">
        <v>1655</v>
      </c>
      <c r="C830" s="127" t="s">
        <v>1893</v>
      </c>
      <c r="D830" s="123" t="s">
        <v>1621</v>
      </c>
      <c r="E830" s="129">
        <v>1313</v>
      </c>
      <c r="F830" s="122"/>
      <c r="G830" s="122"/>
      <c r="H830" s="122"/>
      <c r="I830" s="129"/>
    </row>
    <row r="831" spans="1:9" s="115" customFormat="1" ht="15">
      <c r="A831" s="299"/>
      <c r="B831" s="300"/>
      <c r="C831" s="81"/>
      <c r="D831" s="302" t="s">
        <v>1623</v>
      </c>
      <c r="E831" s="78">
        <f>MEDIAN(E826,E827,E828,E829,E830)</f>
        <v>1354</v>
      </c>
      <c r="F831" s="301"/>
      <c r="G831" s="301"/>
      <c r="H831" s="301"/>
      <c r="I831" s="78"/>
    </row>
    <row r="832" spans="1:9" s="115" customFormat="1" ht="15">
      <c r="A832" s="299"/>
      <c r="B832" s="300"/>
      <c r="C832" s="81"/>
      <c r="D832" s="302"/>
      <c r="E832" s="78"/>
      <c r="F832" s="301"/>
      <c r="G832" s="301"/>
      <c r="H832" s="301"/>
      <c r="I832" s="78"/>
    </row>
    <row r="833" spans="1:9" s="115" customFormat="1" ht="45.75">
      <c r="A833" s="68" t="s">
        <v>398</v>
      </c>
      <c r="B833" s="98" t="s">
        <v>1620</v>
      </c>
      <c r="C833" s="23" t="s">
        <v>2075</v>
      </c>
      <c r="D833" s="68" t="s">
        <v>383</v>
      </c>
      <c r="E833" s="24">
        <v>5</v>
      </c>
      <c r="F833" s="24">
        <f>TRUNC(F834,2)</f>
        <v>1531.5</v>
      </c>
      <c r="G833" s="24">
        <f>TRUNC(F833*1.2285,2)</f>
        <v>1881.44</v>
      </c>
      <c r="H833" s="24">
        <f>TRUNC(F833*E833,2)</f>
        <v>7657.5</v>
      </c>
      <c r="I833" s="24">
        <f>TRUNC(E833*G833,2)</f>
        <v>9407.2000000000007</v>
      </c>
    </row>
    <row r="834" spans="1:9" s="132" customFormat="1" ht="47.25">
      <c r="A834" s="296"/>
      <c r="B834" s="297" t="s">
        <v>1620</v>
      </c>
      <c r="C834" s="258" t="s">
        <v>1662</v>
      </c>
      <c r="D834" s="296" t="s">
        <v>1621</v>
      </c>
      <c r="E834" s="259">
        <v>1</v>
      </c>
      <c r="F834" s="298">
        <f>E843</f>
        <v>1531.5</v>
      </c>
      <c r="G834" s="298">
        <f>TRUNC(E834*F834,2)</f>
        <v>1531.5</v>
      </c>
      <c r="H834" s="298"/>
      <c r="I834" s="259"/>
    </row>
    <row r="835" spans="1:9" s="115" customFormat="1" ht="15">
      <c r="A835" s="299"/>
      <c r="B835" s="300"/>
      <c r="C835" s="81"/>
      <c r="D835" s="299"/>
      <c r="E835" s="78"/>
      <c r="F835" s="301"/>
      <c r="G835" s="301"/>
      <c r="H835" s="301"/>
      <c r="I835" s="78"/>
    </row>
    <row r="836" spans="1:9" s="115" customFormat="1" ht="15">
      <c r="A836" s="299"/>
      <c r="B836" s="300"/>
      <c r="C836" s="81"/>
      <c r="D836" s="299"/>
      <c r="E836" s="78" t="s">
        <v>1622</v>
      </c>
      <c r="F836" s="301"/>
      <c r="G836" s="301"/>
      <c r="H836" s="301"/>
      <c r="I836" s="78"/>
    </row>
    <row r="837" spans="1:9" s="115" customFormat="1" ht="15">
      <c r="A837" s="123"/>
      <c r="B837" s="128"/>
      <c r="C837" s="127"/>
      <c r="D837" s="123"/>
      <c r="E837" s="129"/>
      <c r="F837" s="122"/>
      <c r="G837" s="122"/>
      <c r="H837" s="122"/>
      <c r="I837" s="129"/>
    </row>
    <row r="838" spans="1:9" s="115" customFormat="1" ht="30">
      <c r="A838" s="123"/>
      <c r="B838" s="128" t="s">
        <v>1657</v>
      </c>
      <c r="C838" s="127" t="s">
        <v>1662</v>
      </c>
      <c r="D838" s="123" t="s">
        <v>1621</v>
      </c>
      <c r="E838" s="129">
        <v>1440.57</v>
      </c>
      <c r="F838" s="122"/>
      <c r="G838" s="131"/>
      <c r="H838" s="122"/>
      <c r="I838" s="129"/>
    </row>
    <row r="839" spans="1:9" s="115" customFormat="1" ht="30">
      <c r="A839" s="123"/>
      <c r="B839" s="128" t="s">
        <v>1658</v>
      </c>
      <c r="C839" s="127" t="s">
        <v>1662</v>
      </c>
      <c r="D839" s="123" t="s">
        <v>1621</v>
      </c>
      <c r="E839" s="129">
        <v>1655</v>
      </c>
      <c r="F839" s="122"/>
      <c r="G839" s="131"/>
      <c r="H839" s="122"/>
      <c r="I839" s="129"/>
    </row>
    <row r="840" spans="1:9" s="115" customFormat="1" ht="30">
      <c r="A840" s="123"/>
      <c r="B840" s="128" t="s">
        <v>1656</v>
      </c>
      <c r="C840" s="127" t="s">
        <v>1662</v>
      </c>
      <c r="D840" s="123" t="s">
        <v>1621</v>
      </c>
      <c r="E840" s="129">
        <v>1531.5</v>
      </c>
      <c r="F840" s="122"/>
      <c r="G840" s="122"/>
      <c r="H840" s="122"/>
      <c r="I840" s="129"/>
    </row>
    <row r="841" spans="1:9" s="115" customFormat="1" ht="30">
      <c r="A841" s="123"/>
      <c r="B841" s="128" t="s">
        <v>1659</v>
      </c>
      <c r="C841" s="127" t="s">
        <v>1662</v>
      </c>
      <c r="D841" s="123" t="s">
        <v>1621</v>
      </c>
      <c r="E841" s="129">
        <v>4290</v>
      </c>
      <c r="F841" s="122"/>
      <c r="G841" s="122"/>
      <c r="H841" s="122"/>
      <c r="I841" s="129"/>
    </row>
    <row r="842" spans="1:9" s="115" customFormat="1" ht="30">
      <c r="A842" s="123"/>
      <c r="B842" s="128" t="s">
        <v>1655</v>
      </c>
      <c r="C842" s="127" t="s">
        <v>1662</v>
      </c>
      <c r="D842" s="123" t="s">
        <v>1621</v>
      </c>
      <c r="E842" s="129">
        <v>1431</v>
      </c>
      <c r="F842" s="122"/>
      <c r="G842" s="122"/>
      <c r="H842" s="122"/>
      <c r="I842" s="129"/>
    </row>
    <row r="843" spans="1:9" s="115" customFormat="1" ht="15">
      <c r="A843" s="299"/>
      <c r="B843" s="300"/>
      <c r="C843" s="81"/>
      <c r="D843" s="302" t="s">
        <v>1623</v>
      </c>
      <c r="E843" s="78">
        <f>MEDIAN(E838,E839,E840,E841,E842)</f>
        <v>1531.5</v>
      </c>
      <c r="F843" s="301"/>
      <c r="G843" s="301"/>
      <c r="H843" s="301"/>
      <c r="I843" s="78"/>
    </row>
    <row r="844" spans="1:9" s="115" customFormat="1" ht="15">
      <c r="A844" s="299"/>
      <c r="B844" s="300"/>
      <c r="C844" s="81"/>
      <c r="D844" s="302"/>
      <c r="E844" s="78"/>
      <c r="F844" s="301"/>
      <c r="G844" s="301"/>
      <c r="H844" s="301"/>
      <c r="I844" s="78"/>
    </row>
    <row r="845" spans="1:9" s="115" customFormat="1" ht="45.75">
      <c r="A845" s="68" t="s">
        <v>399</v>
      </c>
      <c r="B845" s="98" t="s">
        <v>1620</v>
      </c>
      <c r="C845" s="23" t="s">
        <v>2076</v>
      </c>
      <c r="D845" s="68" t="s">
        <v>383</v>
      </c>
      <c r="E845" s="24">
        <v>2</v>
      </c>
      <c r="F845" s="24">
        <f>TRUNC(F846,2)</f>
        <v>1753</v>
      </c>
      <c r="G845" s="24">
        <f>TRUNC(F845*1.2285,2)</f>
        <v>2153.56</v>
      </c>
      <c r="H845" s="24">
        <f>TRUNC(F845*E845,2)</f>
        <v>3506</v>
      </c>
      <c r="I845" s="24">
        <f>TRUNC(E845*G845,2)</f>
        <v>4307.12</v>
      </c>
    </row>
    <row r="846" spans="1:9" s="132" customFormat="1" ht="47.25">
      <c r="A846" s="296"/>
      <c r="B846" s="297" t="s">
        <v>1620</v>
      </c>
      <c r="C846" s="258" t="s">
        <v>1663</v>
      </c>
      <c r="D846" s="296" t="s">
        <v>1621</v>
      </c>
      <c r="E846" s="259">
        <v>1</v>
      </c>
      <c r="F846" s="298">
        <f>E855</f>
        <v>1753</v>
      </c>
      <c r="G846" s="298">
        <f>TRUNC(E846*F846,2)</f>
        <v>1753</v>
      </c>
      <c r="H846" s="298"/>
      <c r="I846" s="259"/>
    </row>
    <row r="847" spans="1:9" s="115" customFormat="1" ht="15">
      <c r="A847" s="299"/>
      <c r="B847" s="300"/>
      <c r="C847" s="81"/>
      <c r="D847" s="299"/>
      <c r="E847" s="78"/>
      <c r="F847" s="301"/>
      <c r="G847" s="301"/>
      <c r="H847" s="301"/>
      <c r="I847" s="78"/>
    </row>
    <row r="848" spans="1:9" s="115" customFormat="1" ht="15">
      <c r="A848" s="299"/>
      <c r="B848" s="300"/>
      <c r="C848" s="81"/>
      <c r="D848" s="299"/>
      <c r="E848" s="78" t="s">
        <v>1622</v>
      </c>
      <c r="F848" s="301"/>
      <c r="G848" s="301"/>
      <c r="H848" s="301"/>
      <c r="I848" s="78"/>
    </row>
    <row r="849" spans="1:9" s="115" customFormat="1" ht="15">
      <c r="A849" s="123"/>
      <c r="B849" s="128"/>
      <c r="C849" s="127"/>
      <c r="D849" s="123"/>
      <c r="E849" s="129"/>
      <c r="F849" s="122"/>
      <c r="G849" s="122"/>
      <c r="H849" s="122"/>
      <c r="I849" s="129"/>
    </row>
    <row r="850" spans="1:9" s="115" customFormat="1" ht="30">
      <c r="A850" s="123"/>
      <c r="B850" s="128" t="s">
        <v>1657</v>
      </c>
      <c r="C850" s="127" t="s">
        <v>1663</v>
      </c>
      <c r="D850" s="123" t="s">
        <v>1621</v>
      </c>
      <c r="E850" s="129">
        <v>1683.46</v>
      </c>
      <c r="F850" s="122"/>
      <c r="G850" s="131"/>
      <c r="H850" s="122"/>
      <c r="I850" s="129"/>
    </row>
    <row r="851" spans="1:9" s="115" customFormat="1" ht="30">
      <c r="A851" s="123"/>
      <c r="B851" s="128" t="s">
        <v>1658</v>
      </c>
      <c r="C851" s="127" t="s">
        <v>1663</v>
      </c>
      <c r="D851" s="123" t="s">
        <v>1621</v>
      </c>
      <c r="E851" s="129">
        <v>1753</v>
      </c>
      <c r="F851" s="122"/>
      <c r="G851" s="131"/>
      <c r="H851" s="122"/>
      <c r="I851" s="129"/>
    </row>
    <row r="852" spans="1:9" s="115" customFormat="1" ht="30">
      <c r="A852" s="123"/>
      <c r="B852" s="128" t="s">
        <v>1656</v>
      </c>
      <c r="C852" s="127" t="s">
        <v>1663</v>
      </c>
      <c r="D852" s="123" t="s">
        <v>1621</v>
      </c>
      <c r="E852" s="129">
        <v>1768</v>
      </c>
      <c r="F852" s="122"/>
      <c r="G852" s="122"/>
      <c r="H852" s="122"/>
      <c r="I852" s="129"/>
    </row>
    <row r="853" spans="1:9" s="115" customFormat="1" ht="30">
      <c r="A853" s="123"/>
      <c r="B853" s="128" t="s">
        <v>1659</v>
      </c>
      <c r="C853" s="127" t="s">
        <v>1663</v>
      </c>
      <c r="D853" s="123" t="s">
        <v>1621</v>
      </c>
      <c r="E853" s="129">
        <v>5362</v>
      </c>
      <c r="F853" s="122"/>
      <c r="G853" s="122"/>
      <c r="H853" s="122"/>
      <c r="I853" s="129"/>
    </row>
    <row r="854" spans="1:9" s="115" customFormat="1" ht="30">
      <c r="A854" s="123"/>
      <c r="B854" s="128" t="s">
        <v>1655</v>
      </c>
      <c r="C854" s="127" t="s">
        <v>1663</v>
      </c>
      <c r="D854" s="123" t="s">
        <v>1621</v>
      </c>
      <c r="E854" s="129">
        <v>1598</v>
      </c>
      <c r="F854" s="122"/>
      <c r="G854" s="122"/>
      <c r="H854" s="122"/>
      <c r="I854" s="129"/>
    </row>
    <row r="855" spans="1:9" s="115" customFormat="1" ht="15">
      <c r="A855" s="299"/>
      <c r="B855" s="300"/>
      <c r="C855" s="81"/>
      <c r="D855" s="302" t="s">
        <v>1623</v>
      </c>
      <c r="E855" s="78">
        <f>MEDIAN(E850,E851,E852,E853,E854)</f>
        <v>1753</v>
      </c>
      <c r="F855" s="301"/>
      <c r="G855" s="301"/>
      <c r="H855" s="301"/>
      <c r="I855" s="78"/>
    </row>
    <row r="856" spans="1:9" s="115" customFormat="1" ht="15">
      <c r="A856" s="299"/>
      <c r="B856" s="300"/>
      <c r="C856" s="81"/>
      <c r="D856" s="302"/>
      <c r="E856" s="78"/>
      <c r="F856" s="301"/>
      <c r="G856" s="301"/>
      <c r="H856" s="301"/>
      <c r="I856" s="78"/>
    </row>
    <row r="857" spans="1:9" s="115" customFormat="1" ht="45.75">
      <c r="A857" s="68" t="s">
        <v>410</v>
      </c>
      <c r="B857" s="98" t="s">
        <v>1620</v>
      </c>
      <c r="C857" s="23" t="s">
        <v>2077</v>
      </c>
      <c r="D857" s="68" t="s">
        <v>383</v>
      </c>
      <c r="E857" s="24">
        <v>1</v>
      </c>
      <c r="F857" s="24">
        <f>TRUNC(F858,2)</f>
        <v>1903</v>
      </c>
      <c r="G857" s="24">
        <f>TRUNC(F857*1.2285,2)</f>
        <v>2337.83</v>
      </c>
      <c r="H857" s="24">
        <f>TRUNC(F857*E857,2)</f>
        <v>1903</v>
      </c>
      <c r="I857" s="24">
        <f>TRUNC(E857*G857,2)</f>
        <v>2337.83</v>
      </c>
    </row>
    <row r="858" spans="1:9" s="132" customFormat="1" ht="47.25">
      <c r="A858" s="296"/>
      <c r="B858" s="297" t="s">
        <v>1620</v>
      </c>
      <c r="C858" s="258" t="s">
        <v>1664</v>
      </c>
      <c r="D858" s="296" t="s">
        <v>1621</v>
      </c>
      <c r="E858" s="259">
        <v>1</v>
      </c>
      <c r="F858" s="298">
        <f>E867</f>
        <v>1903</v>
      </c>
      <c r="G858" s="298">
        <f>TRUNC(E858*F858,2)</f>
        <v>1903</v>
      </c>
      <c r="H858" s="298"/>
      <c r="I858" s="259"/>
    </row>
    <row r="859" spans="1:9" s="115" customFormat="1" ht="15">
      <c r="A859" s="299"/>
      <c r="B859" s="300"/>
      <c r="C859" s="81"/>
      <c r="D859" s="299"/>
      <c r="E859" s="78"/>
      <c r="F859" s="301"/>
      <c r="G859" s="301"/>
      <c r="H859" s="301"/>
      <c r="I859" s="78"/>
    </row>
    <row r="860" spans="1:9" s="115" customFormat="1" ht="15">
      <c r="A860" s="299"/>
      <c r="B860" s="300"/>
      <c r="C860" s="81"/>
      <c r="D860" s="299"/>
      <c r="E860" s="78" t="s">
        <v>1622</v>
      </c>
      <c r="F860" s="301"/>
      <c r="G860" s="301"/>
      <c r="H860" s="301"/>
      <c r="I860" s="78"/>
    </row>
    <row r="861" spans="1:9" s="115" customFormat="1" ht="15">
      <c r="A861" s="123"/>
      <c r="B861" s="128"/>
      <c r="C861" s="127"/>
      <c r="D861" s="123"/>
      <c r="E861" s="129"/>
      <c r="F861" s="122"/>
      <c r="G861" s="122"/>
      <c r="H861" s="122"/>
      <c r="I861" s="129"/>
    </row>
    <row r="862" spans="1:9" s="115" customFormat="1" ht="30">
      <c r="A862" s="123"/>
      <c r="B862" s="128" t="s">
        <v>1657</v>
      </c>
      <c r="C862" s="127" t="s">
        <v>1664</v>
      </c>
      <c r="D862" s="123" t="s">
        <v>1621</v>
      </c>
      <c r="E862" s="129">
        <v>1854.46</v>
      </c>
      <c r="F862" s="122"/>
      <c r="G862" s="131"/>
      <c r="H862" s="122"/>
      <c r="I862" s="129"/>
    </row>
    <row r="863" spans="1:9" s="115" customFormat="1" ht="30">
      <c r="A863" s="123"/>
      <c r="B863" s="128" t="s">
        <v>1658</v>
      </c>
      <c r="C863" s="127" t="s">
        <v>1664</v>
      </c>
      <c r="D863" s="123" t="s">
        <v>1621</v>
      </c>
      <c r="E863" s="129">
        <v>1903</v>
      </c>
      <c r="F863" s="122"/>
      <c r="G863" s="131"/>
      <c r="H863" s="122"/>
      <c r="I863" s="129"/>
    </row>
    <row r="864" spans="1:9" s="115" customFormat="1" ht="30">
      <c r="A864" s="123"/>
      <c r="B864" s="128" t="s">
        <v>1656</v>
      </c>
      <c r="C864" s="127" t="s">
        <v>1664</v>
      </c>
      <c r="D864" s="123" t="s">
        <v>1621</v>
      </c>
      <c r="E864" s="129">
        <v>1935</v>
      </c>
      <c r="F864" s="122"/>
      <c r="G864" s="122"/>
      <c r="H864" s="122"/>
      <c r="I864" s="129"/>
    </row>
    <row r="865" spans="1:9" s="115" customFormat="1" ht="30">
      <c r="A865" s="123"/>
      <c r="B865" s="128" t="s">
        <v>1659</v>
      </c>
      <c r="C865" s="127" t="s">
        <v>1664</v>
      </c>
      <c r="D865" s="123" t="s">
        <v>1621</v>
      </c>
      <c r="E865" s="129">
        <v>6187</v>
      </c>
      <c r="F865" s="122"/>
      <c r="G865" s="122"/>
      <c r="H865" s="122"/>
      <c r="I865" s="129"/>
    </row>
    <row r="866" spans="1:9" s="115" customFormat="1" ht="30">
      <c r="A866" s="123"/>
      <c r="B866" s="128" t="s">
        <v>1655</v>
      </c>
      <c r="C866" s="127" t="s">
        <v>1664</v>
      </c>
      <c r="D866" s="123" t="s">
        <v>1621</v>
      </c>
      <c r="E866" s="129">
        <v>1688</v>
      </c>
      <c r="F866" s="122"/>
      <c r="G866" s="122"/>
      <c r="H866" s="122"/>
      <c r="I866" s="129"/>
    </row>
    <row r="867" spans="1:9" s="115" customFormat="1" ht="15">
      <c r="A867" s="299"/>
      <c r="B867" s="300"/>
      <c r="C867" s="81"/>
      <c r="D867" s="302" t="s">
        <v>1623</v>
      </c>
      <c r="E867" s="78">
        <f>MEDIAN(E862,E863,E864,E865,E866)</f>
        <v>1903</v>
      </c>
      <c r="F867" s="301"/>
      <c r="G867" s="301"/>
      <c r="H867" s="301"/>
      <c r="I867" s="78"/>
    </row>
    <row r="868" spans="1:9" s="115" customFormat="1" ht="15">
      <c r="A868" s="299"/>
      <c r="B868" s="300"/>
      <c r="C868" s="81"/>
      <c r="D868" s="302"/>
      <c r="E868" s="78"/>
      <c r="F868" s="301"/>
      <c r="G868" s="301"/>
      <c r="H868" s="301"/>
      <c r="I868" s="78"/>
    </row>
    <row r="869" spans="1:9" s="115" customFormat="1" ht="45.75">
      <c r="A869" s="68" t="s">
        <v>411</v>
      </c>
      <c r="B869" s="98" t="s">
        <v>1620</v>
      </c>
      <c r="C869" s="23" t="s">
        <v>2078</v>
      </c>
      <c r="D869" s="68" t="s">
        <v>383</v>
      </c>
      <c r="E869" s="24">
        <v>3</v>
      </c>
      <c r="F869" s="24">
        <f>TRUNC(F870,2)</f>
        <v>1990</v>
      </c>
      <c r="G869" s="24">
        <f>TRUNC(F869*1.2285,2)</f>
        <v>2444.71</v>
      </c>
      <c r="H869" s="24">
        <f>TRUNC(F869*E869,2)</f>
        <v>5970</v>
      </c>
      <c r="I869" s="24">
        <f>TRUNC(E869*G869,2)</f>
        <v>7334.13</v>
      </c>
    </row>
    <row r="870" spans="1:9" s="132" customFormat="1" ht="47.25">
      <c r="A870" s="296"/>
      <c r="B870" s="297" t="s">
        <v>1620</v>
      </c>
      <c r="C870" s="258" t="s">
        <v>1665</v>
      </c>
      <c r="D870" s="296" t="s">
        <v>1621</v>
      </c>
      <c r="E870" s="259">
        <v>1</v>
      </c>
      <c r="F870" s="298">
        <f>E879</f>
        <v>1990</v>
      </c>
      <c r="G870" s="298">
        <f>TRUNC(E870*F870,2)</f>
        <v>1990</v>
      </c>
      <c r="H870" s="298"/>
      <c r="I870" s="259"/>
    </row>
    <row r="871" spans="1:9" s="115" customFormat="1" ht="15">
      <c r="A871" s="299"/>
      <c r="B871" s="300"/>
      <c r="C871" s="81"/>
      <c r="D871" s="299"/>
      <c r="E871" s="78"/>
      <c r="F871" s="301"/>
      <c r="G871" s="301"/>
      <c r="H871" s="301"/>
      <c r="I871" s="78"/>
    </row>
    <row r="872" spans="1:9" s="115" customFormat="1" ht="15">
      <c r="A872" s="299"/>
      <c r="B872" s="300"/>
      <c r="C872" s="81"/>
      <c r="D872" s="299"/>
      <c r="E872" s="78" t="s">
        <v>1622</v>
      </c>
      <c r="F872" s="301"/>
      <c r="G872" s="301"/>
      <c r="H872" s="301"/>
      <c r="I872" s="78"/>
    </row>
    <row r="873" spans="1:9" s="115" customFormat="1" ht="15">
      <c r="A873" s="123"/>
      <c r="B873" s="128"/>
      <c r="C873" s="127"/>
      <c r="D873" s="123"/>
      <c r="E873" s="129"/>
      <c r="F873" s="122"/>
      <c r="G873" s="122"/>
      <c r="H873" s="122"/>
      <c r="I873" s="129"/>
    </row>
    <row r="874" spans="1:9" s="115" customFormat="1" ht="30">
      <c r="A874" s="123"/>
      <c r="B874" s="128" t="s">
        <v>1657</v>
      </c>
      <c r="C874" s="127" t="s">
        <v>1665</v>
      </c>
      <c r="D874" s="123" t="s">
        <v>1621</v>
      </c>
      <c r="E874" s="129">
        <v>1925.34</v>
      </c>
      <c r="F874" s="122"/>
      <c r="G874" s="131"/>
      <c r="H874" s="122"/>
      <c r="I874" s="129"/>
    </row>
    <row r="875" spans="1:9" s="115" customFormat="1" ht="30">
      <c r="A875" s="123"/>
      <c r="B875" s="128" t="s">
        <v>1658</v>
      </c>
      <c r="C875" s="127" t="s">
        <v>1665</v>
      </c>
      <c r="D875" s="123" t="s">
        <v>1621</v>
      </c>
      <c r="E875" s="129">
        <v>1990</v>
      </c>
      <c r="F875" s="122"/>
      <c r="G875" s="131"/>
      <c r="H875" s="122"/>
      <c r="I875" s="129"/>
    </row>
    <row r="876" spans="1:9" s="115" customFormat="1" ht="30">
      <c r="A876" s="123"/>
      <c r="B876" s="128" t="s">
        <v>1656</v>
      </c>
      <c r="C876" s="127" t="s">
        <v>1665</v>
      </c>
      <c r="D876" s="123" t="s">
        <v>1621</v>
      </c>
      <c r="E876" s="129">
        <v>2152</v>
      </c>
      <c r="F876" s="122"/>
      <c r="G876" s="122"/>
      <c r="H876" s="122"/>
      <c r="I876" s="129"/>
    </row>
    <row r="877" spans="1:9" s="115" customFormat="1" ht="30">
      <c r="A877" s="123"/>
      <c r="B877" s="128" t="s">
        <v>1659</v>
      </c>
      <c r="C877" s="127" t="s">
        <v>1665</v>
      </c>
      <c r="D877" s="123" t="s">
        <v>1621</v>
      </c>
      <c r="E877" s="129">
        <v>6435</v>
      </c>
      <c r="F877" s="122"/>
      <c r="G877" s="122"/>
      <c r="H877" s="122"/>
      <c r="I877" s="129"/>
    </row>
    <row r="878" spans="1:9" s="115" customFormat="1" ht="30">
      <c r="A878" s="123"/>
      <c r="B878" s="128" t="s">
        <v>1655</v>
      </c>
      <c r="C878" s="127" t="s">
        <v>1665</v>
      </c>
      <c r="D878" s="123" t="s">
        <v>1621</v>
      </c>
      <c r="E878" s="129">
        <v>1823</v>
      </c>
      <c r="F878" s="122"/>
      <c r="G878" s="122"/>
      <c r="H878" s="122"/>
      <c r="I878" s="129"/>
    </row>
    <row r="879" spans="1:9" s="115" customFormat="1" ht="15">
      <c r="A879" s="299"/>
      <c r="B879" s="300"/>
      <c r="C879" s="81"/>
      <c r="D879" s="302" t="s">
        <v>1623</v>
      </c>
      <c r="E879" s="78">
        <f>MEDIAN(E874,E875,E876,E877,E878)</f>
        <v>1990</v>
      </c>
      <c r="F879" s="301"/>
      <c r="G879" s="301"/>
      <c r="H879" s="301"/>
      <c r="I879" s="78"/>
    </row>
    <row r="880" spans="1:9" s="115" customFormat="1" ht="75">
      <c r="A880" s="68" t="s">
        <v>416</v>
      </c>
      <c r="B880" s="98" t="s">
        <v>2039</v>
      </c>
      <c r="C880" s="23" t="s">
        <v>2040</v>
      </c>
      <c r="D880" s="68" t="s">
        <v>17</v>
      </c>
      <c r="E880" s="24">
        <f>0.8*0.8</f>
        <v>0.64000000000000012</v>
      </c>
      <c r="F880" s="24">
        <f>TRUNC(F881+F887,2)</f>
        <v>763.13</v>
      </c>
      <c r="G880" s="24">
        <f>TRUNC(F880*1.2882,2)</f>
        <v>983.06</v>
      </c>
      <c r="H880" s="24">
        <f>TRUNC(F880*E880,2)</f>
        <v>488.4</v>
      </c>
      <c r="I880" s="24">
        <f>TRUNC(E880*G880,2)</f>
        <v>629.15</v>
      </c>
    </row>
    <row r="881" spans="1:9" s="115" customFormat="1" ht="60">
      <c r="A881" s="299"/>
      <c r="B881" s="300" t="s">
        <v>392</v>
      </c>
      <c r="C881" s="81" t="s">
        <v>393</v>
      </c>
      <c r="D881" s="299" t="s">
        <v>17</v>
      </c>
      <c r="E881" s="78">
        <v>1</v>
      </c>
      <c r="F881" s="301">
        <f>G886</f>
        <v>740.74</v>
      </c>
      <c r="G881" s="301">
        <f>TRUNC(E881*F881,2)</f>
        <v>740.74</v>
      </c>
      <c r="H881" s="301"/>
      <c r="I881" s="78"/>
    </row>
    <row r="882" spans="1:9" s="115" customFormat="1" ht="15">
      <c r="A882" s="299"/>
      <c r="B882" s="300" t="s">
        <v>394</v>
      </c>
      <c r="C882" s="81" t="s">
        <v>395</v>
      </c>
      <c r="D882" s="299" t="s">
        <v>46</v>
      </c>
      <c r="E882" s="78">
        <v>14.374999999999998</v>
      </c>
      <c r="F882" s="301">
        <f>TRUNC(14.9711,2)</f>
        <v>14.97</v>
      </c>
      <c r="G882" s="301">
        <f>TRUNC(E882*F882,2)</f>
        <v>215.19</v>
      </c>
      <c r="H882" s="301"/>
      <c r="I882" s="78"/>
    </row>
    <row r="883" spans="1:9" s="115" customFormat="1" ht="30">
      <c r="A883" s="299"/>
      <c r="B883" s="300" t="s">
        <v>396</v>
      </c>
      <c r="C883" s="81" t="s">
        <v>397</v>
      </c>
      <c r="D883" s="299" t="s">
        <v>46</v>
      </c>
      <c r="E883" s="78">
        <v>17.479999999999997</v>
      </c>
      <c r="F883" s="301">
        <f>TRUNC(10.8,2)</f>
        <v>10.8</v>
      </c>
      <c r="G883" s="301">
        <f>TRUNC(E883*F883,2)</f>
        <v>188.78</v>
      </c>
      <c r="H883" s="301"/>
      <c r="I883" s="78"/>
    </row>
    <row r="884" spans="1:9" s="115" customFormat="1" ht="30">
      <c r="A884" s="299"/>
      <c r="B884" s="300" t="s">
        <v>49</v>
      </c>
      <c r="C884" s="81" t="s">
        <v>50</v>
      </c>
      <c r="D884" s="299" t="s">
        <v>51</v>
      </c>
      <c r="E884" s="78">
        <v>8.9095000000000013</v>
      </c>
      <c r="F884" s="301">
        <f>TRUNC(15.2,2)</f>
        <v>15.2</v>
      </c>
      <c r="G884" s="301">
        <f>TRUNC(E884*F884,2)</f>
        <v>135.41999999999999</v>
      </c>
      <c r="H884" s="301"/>
      <c r="I884" s="78"/>
    </row>
    <row r="885" spans="1:9" s="115" customFormat="1" ht="30">
      <c r="A885" s="299"/>
      <c r="B885" s="300" t="s">
        <v>374</v>
      </c>
      <c r="C885" s="81" t="s">
        <v>375</v>
      </c>
      <c r="D885" s="299" t="s">
        <v>51</v>
      </c>
      <c r="E885" s="78">
        <v>8.9095000000000013</v>
      </c>
      <c r="F885" s="301">
        <f>TRUNC(22.6,2)</f>
        <v>22.6</v>
      </c>
      <c r="G885" s="301">
        <f>TRUNC(E885*F885,2)</f>
        <v>201.35</v>
      </c>
      <c r="H885" s="301"/>
      <c r="I885" s="78"/>
    </row>
    <row r="886" spans="1:9" ht="15">
      <c r="A886" s="74"/>
      <c r="B886" s="80"/>
      <c r="C886" s="81"/>
      <c r="D886" s="74"/>
      <c r="E886" s="78" t="s">
        <v>33</v>
      </c>
      <c r="F886" s="64"/>
      <c r="G886" s="64">
        <f>TRUNC(SUM(G882:G885),2)</f>
        <v>740.74</v>
      </c>
      <c r="H886" s="64"/>
      <c r="I886" s="78"/>
    </row>
    <row r="887" spans="1:9" ht="30">
      <c r="A887" s="74"/>
      <c r="B887" s="80" t="s">
        <v>2037</v>
      </c>
      <c r="C887" s="81" t="s">
        <v>2038</v>
      </c>
      <c r="D887" s="74" t="s">
        <v>7</v>
      </c>
      <c r="E887" s="78">
        <v>1</v>
      </c>
      <c r="F887" s="64">
        <f>TRUNC(22.39,2)</f>
        <v>22.39</v>
      </c>
      <c r="G887" s="64">
        <f>TRUNC(E887*F887,2)</f>
        <v>22.39</v>
      </c>
      <c r="H887" s="64"/>
      <c r="I887" s="78"/>
    </row>
    <row r="888" spans="1:9" ht="30">
      <c r="A888" s="74"/>
      <c r="B888" s="80" t="s">
        <v>1995</v>
      </c>
      <c r="C888" s="81" t="s">
        <v>1996</v>
      </c>
      <c r="D888" s="74" t="s">
        <v>7</v>
      </c>
      <c r="E888" s="78">
        <v>1</v>
      </c>
      <c r="F888" s="64">
        <f>TRUNC(22.39,2)</f>
        <v>22.39</v>
      </c>
      <c r="G888" s="64">
        <f>TRUNC(E888*F888,2)</f>
        <v>22.39</v>
      </c>
      <c r="H888" s="64"/>
      <c r="I888" s="78"/>
    </row>
    <row r="889" spans="1:9" ht="15">
      <c r="A889" s="74"/>
      <c r="B889" s="80"/>
      <c r="C889" s="81"/>
      <c r="D889" s="74"/>
      <c r="E889" s="78" t="s">
        <v>33</v>
      </c>
      <c r="F889" s="64"/>
      <c r="G889" s="64">
        <f>TRUNC(SUM(G888:G888),2)</f>
        <v>22.39</v>
      </c>
      <c r="H889" s="64"/>
      <c r="I889" s="78"/>
    </row>
    <row r="890" spans="1:9" ht="105.75">
      <c r="A890" s="68" t="s">
        <v>1624</v>
      </c>
      <c r="B890" s="98" t="s">
        <v>1719</v>
      </c>
      <c r="C890" s="23" t="s">
        <v>2041</v>
      </c>
      <c r="D890" s="68" t="s">
        <v>17</v>
      </c>
      <c r="E890" s="24">
        <v>92.14</v>
      </c>
      <c r="F890" s="24">
        <f>TRUNC(G891,2)</f>
        <v>403.44</v>
      </c>
      <c r="G890" s="24">
        <f>TRUNC(F890*1.2882,2)</f>
        <v>519.71</v>
      </c>
      <c r="H890" s="24">
        <f>TRUNC(F890*E890,2)</f>
        <v>37172.959999999999</v>
      </c>
      <c r="I890" s="24">
        <f>TRUNC(E890*G890,2)</f>
        <v>47886.07</v>
      </c>
    </row>
    <row r="891" spans="1:9" ht="60">
      <c r="A891" s="74"/>
      <c r="B891" s="80" t="s">
        <v>1709</v>
      </c>
      <c r="C891" s="81" t="s">
        <v>1710</v>
      </c>
      <c r="D891" s="74" t="s">
        <v>23</v>
      </c>
      <c r="E891" s="78">
        <v>1.5</v>
      </c>
      <c r="F891" s="64">
        <f>G899</f>
        <v>268.95999999999998</v>
      </c>
      <c r="G891" s="64">
        <f t="shared" ref="G891:G898" si="44">TRUNC(E891*F891,2)</f>
        <v>403.44</v>
      </c>
      <c r="H891" s="64"/>
      <c r="I891" s="78"/>
    </row>
    <row r="892" spans="1:9" ht="15">
      <c r="A892" s="74"/>
      <c r="B892" s="80" t="s">
        <v>1711</v>
      </c>
      <c r="C892" s="81" t="s">
        <v>1712</v>
      </c>
      <c r="D892" s="74" t="s">
        <v>46</v>
      </c>
      <c r="E892" s="78">
        <f>25.08/2.4</f>
        <v>10.45</v>
      </c>
      <c r="F892" s="64">
        <f>TRUNC(10.378,2)</f>
        <v>10.37</v>
      </c>
      <c r="G892" s="64">
        <f t="shared" si="44"/>
        <v>108.36</v>
      </c>
      <c r="H892" s="64"/>
      <c r="I892" s="78"/>
    </row>
    <row r="893" spans="1:9" s="169" customFormat="1" ht="15.75">
      <c r="A893" s="256"/>
      <c r="B893" s="257" t="s">
        <v>1713</v>
      </c>
      <c r="C893" s="258" t="s">
        <v>1714</v>
      </c>
      <c r="D893" s="256" t="s">
        <v>46</v>
      </c>
      <c r="E893" s="259">
        <f>(5.004*2+3.276)/2.4</f>
        <v>5.5350000000000001</v>
      </c>
      <c r="F893" s="260">
        <f>TRUNC(9.27,2)</f>
        <v>9.27</v>
      </c>
      <c r="G893" s="260">
        <f t="shared" si="44"/>
        <v>51.3</v>
      </c>
      <c r="H893" s="260"/>
      <c r="I893" s="259"/>
    </row>
    <row r="894" spans="1:9" ht="15">
      <c r="A894" s="74"/>
      <c r="B894" s="80" t="s">
        <v>1715</v>
      </c>
      <c r="C894" s="81" t="s">
        <v>1716</v>
      </c>
      <c r="D894" s="74" t="s">
        <v>46</v>
      </c>
      <c r="E894" s="78"/>
      <c r="F894" s="64">
        <f>TRUNC(10.5265,2)</f>
        <v>10.52</v>
      </c>
      <c r="G894" s="64">
        <f t="shared" si="44"/>
        <v>0</v>
      </c>
      <c r="H894" s="64"/>
      <c r="I894" s="78"/>
    </row>
    <row r="895" spans="1:9" ht="30">
      <c r="A895" s="74"/>
      <c r="B895" s="80" t="s">
        <v>49</v>
      </c>
      <c r="C895" s="81" t="s">
        <v>50</v>
      </c>
      <c r="D895" s="74" t="s">
        <v>51</v>
      </c>
      <c r="E895" s="78">
        <f>4.4805/2.4</f>
        <v>1.8668750000000001</v>
      </c>
      <c r="F895" s="64">
        <f>TRUNC(15.2,2)</f>
        <v>15.2</v>
      </c>
      <c r="G895" s="64">
        <f t="shared" si="44"/>
        <v>28.37</v>
      </c>
      <c r="H895" s="64"/>
      <c r="I895" s="78"/>
    </row>
    <row r="896" spans="1:9" ht="30">
      <c r="A896" s="74"/>
      <c r="B896" s="80" t="s">
        <v>374</v>
      </c>
      <c r="C896" s="81" t="s">
        <v>375</v>
      </c>
      <c r="D896" s="74" t="s">
        <v>51</v>
      </c>
      <c r="E896" s="78">
        <f>4.4805/2.4</f>
        <v>1.8668750000000001</v>
      </c>
      <c r="F896" s="64">
        <f>TRUNC(22.6,2)</f>
        <v>22.6</v>
      </c>
      <c r="G896" s="64">
        <f t="shared" si="44"/>
        <v>42.19</v>
      </c>
      <c r="H896" s="64"/>
      <c r="I896" s="78"/>
    </row>
    <row r="897" spans="1:9" s="169" customFormat="1" ht="78.75">
      <c r="A897" s="256"/>
      <c r="B897" s="257"/>
      <c r="C897" s="258" t="s">
        <v>1720</v>
      </c>
      <c r="D897" s="256" t="s">
        <v>17</v>
      </c>
      <c r="E897" s="259">
        <v>1</v>
      </c>
      <c r="F897" s="260">
        <f>TRUNC(18.926,2)</f>
        <v>18.920000000000002</v>
      </c>
      <c r="G897" s="260">
        <f t="shared" si="44"/>
        <v>18.920000000000002</v>
      </c>
      <c r="H897" s="260"/>
      <c r="I897" s="259"/>
    </row>
    <row r="898" spans="1:9" ht="15">
      <c r="A898" s="74"/>
      <c r="B898" s="80" t="s">
        <v>1717</v>
      </c>
      <c r="C898" s="81" t="s">
        <v>1718</v>
      </c>
      <c r="D898" s="74" t="s">
        <v>55</v>
      </c>
      <c r="E898" s="78">
        <v>0.03</v>
      </c>
      <c r="F898" s="64">
        <f>TRUNC(660.8514,2)</f>
        <v>660.85</v>
      </c>
      <c r="G898" s="64">
        <f t="shared" si="44"/>
        <v>19.82</v>
      </c>
      <c r="H898" s="64"/>
      <c r="I898" s="78"/>
    </row>
    <row r="899" spans="1:9" ht="15">
      <c r="A899" s="74"/>
      <c r="B899" s="80"/>
      <c r="C899" s="81"/>
      <c r="D899" s="74"/>
      <c r="E899" s="78" t="s">
        <v>33</v>
      </c>
      <c r="F899" s="64"/>
      <c r="G899" s="64">
        <f>TRUNC(SUM(G892:G898),2)</f>
        <v>268.95999999999998</v>
      </c>
      <c r="H899" s="64"/>
      <c r="I899" s="78"/>
    </row>
    <row r="900" spans="1:9" ht="30">
      <c r="A900" s="68" t="s">
        <v>1625</v>
      </c>
      <c r="B900" s="98" t="s">
        <v>406</v>
      </c>
      <c r="C900" s="23" t="s">
        <v>407</v>
      </c>
      <c r="D900" s="68" t="s">
        <v>17</v>
      </c>
      <c r="E900" s="24">
        <v>20.71</v>
      </c>
      <c r="F900" s="24">
        <f>TRUNC(F901,2)</f>
        <v>261.29000000000002</v>
      </c>
      <c r="G900" s="24">
        <f>TRUNC(F900*1.2882,2)</f>
        <v>336.59</v>
      </c>
      <c r="H900" s="24">
        <f>TRUNC(F900*E900,2)</f>
        <v>5411.31</v>
      </c>
      <c r="I900" s="24">
        <f>TRUNC(E900*G900,2)</f>
        <v>6970.77</v>
      </c>
    </row>
    <row r="901" spans="1:9" ht="30">
      <c r="A901" s="74"/>
      <c r="B901" s="80" t="s">
        <v>406</v>
      </c>
      <c r="C901" s="81" t="s">
        <v>407</v>
      </c>
      <c r="D901" s="74" t="s">
        <v>17</v>
      </c>
      <c r="E901" s="78">
        <v>1</v>
      </c>
      <c r="F901" s="64">
        <f>G907</f>
        <v>261.29000000000002</v>
      </c>
      <c r="G901" s="64">
        <f t="shared" ref="G901:G906" si="45">TRUNC(E901*F901,2)</f>
        <v>261.29000000000002</v>
      </c>
      <c r="H901" s="64"/>
      <c r="I901" s="78"/>
    </row>
    <row r="902" spans="1:9" ht="30">
      <c r="A902" s="74"/>
      <c r="B902" s="80" t="s">
        <v>400</v>
      </c>
      <c r="C902" s="81" t="s">
        <v>401</v>
      </c>
      <c r="D902" s="74" t="s">
        <v>23</v>
      </c>
      <c r="E902" s="78">
        <v>6.3810000000000002</v>
      </c>
      <c r="F902" s="64">
        <v>2.75</v>
      </c>
      <c r="G902" s="64">
        <f t="shared" si="45"/>
        <v>17.54</v>
      </c>
      <c r="H902" s="64"/>
      <c r="I902" s="78"/>
    </row>
    <row r="903" spans="1:9" ht="15">
      <c r="A903" s="74"/>
      <c r="B903" s="80" t="s">
        <v>402</v>
      </c>
      <c r="C903" s="81" t="s">
        <v>403</v>
      </c>
      <c r="D903" s="74" t="s">
        <v>23</v>
      </c>
      <c r="E903" s="78">
        <v>7.2869999999999999</v>
      </c>
      <c r="F903" s="64">
        <v>11</v>
      </c>
      <c r="G903" s="64">
        <f t="shared" si="45"/>
        <v>80.150000000000006</v>
      </c>
      <c r="H903" s="64"/>
      <c r="I903" s="78"/>
    </row>
    <row r="904" spans="1:9" ht="15">
      <c r="A904" s="74"/>
      <c r="B904" s="80" t="s">
        <v>408</v>
      </c>
      <c r="C904" s="81" t="s">
        <v>409</v>
      </c>
      <c r="D904" s="74" t="s">
        <v>17</v>
      </c>
      <c r="E904" s="78">
        <v>1</v>
      </c>
      <c r="F904" s="64">
        <v>125.59</v>
      </c>
      <c r="G904" s="64">
        <f t="shared" si="45"/>
        <v>125.59</v>
      </c>
      <c r="H904" s="64"/>
      <c r="I904" s="78"/>
    </row>
    <row r="905" spans="1:9" ht="15">
      <c r="A905" s="74"/>
      <c r="B905" s="80" t="s">
        <v>404</v>
      </c>
      <c r="C905" s="81" t="s">
        <v>405</v>
      </c>
      <c r="D905" s="74" t="s">
        <v>51</v>
      </c>
      <c r="E905" s="78">
        <v>0.78300000000000003</v>
      </c>
      <c r="F905" s="64">
        <f>TRUNC(26.48,2)</f>
        <v>26.48</v>
      </c>
      <c r="G905" s="64">
        <f t="shared" si="45"/>
        <v>20.73</v>
      </c>
      <c r="H905" s="64"/>
      <c r="I905" s="78"/>
    </row>
    <row r="906" spans="1:9" ht="15">
      <c r="A906" s="74"/>
      <c r="B906" s="80" t="s">
        <v>56</v>
      </c>
      <c r="C906" s="81" t="s">
        <v>57</v>
      </c>
      <c r="D906" s="74" t="s">
        <v>51</v>
      </c>
      <c r="E906" s="78">
        <v>0.76100000000000001</v>
      </c>
      <c r="F906" s="64">
        <f>TRUNC(22.72,2)</f>
        <v>22.72</v>
      </c>
      <c r="G906" s="64">
        <f t="shared" si="45"/>
        <v>17.28</v>
      </c>
      <c r="H906" s="64"/>
      <c r="I906" s="78"/>
    </row>
    <row r="907" spans="1:9" ht="15">
      <c r="A907" s="74"/>
      <c r="B907" s="80"/>
      <c r="C907" s="81"/>
      <c r="D907" s="74"/>
      <c r="E907" s="78" t="s">
        <v>33</v>
      </c>
      <c r="F907" s="64"/>
      <c r="G907" s="64">
        <f>TRUNC(SUM(G902:G906),2)</f>
        <v>261.29000000000002</v>
      </c>
      <c r="H907" s="64"/>
      <c r="I907" s="78"/>
    </row>
    <row r="908" spans="1:9" ht="30.75">
      <c r="A908" s="68" t="s">
        <v>1626</v>
      </c>
      <c r="B908" s="98" t="s">
        <v>412</v>
      </c>
      <c r="C908" s="23" t="s">
        <v>1721</v>
      </c>
      <c r="D908" s="68" t="s">
        <v>17</v>
      </c>
      <c r="E908" s="24">
        <v>6.31</v>
      </c>
      <c r="F908" s="24">
        <f>TRUNC(F909,2)</f>
        <v>240.36</v>
      </c>
      <c r="G908" s="24">
        <f>TRUNC(F908*1.2882,2)</f>
        <v>309.63</v>
      </c>
      <c r="H908" s="24">
        <f>TRUNC(F908*E908,2)</f>
        <v>1516.67</v>
      </c>
      <c r="I908" s="24">
        <f>TRUNC(E908*G908,2)</f>
        <v>1953.76</v>
      </c>
    </row>
    <row r="909" spans="1:9" ht="30">
      <c r="A909" s="74"/>
      <c r="B909" s="80" t="s">
        <v>412</v>
      </c>
      <c r="C909" s="81" t="s">
        <v>413</v>
      </c>
      <c r="D909" s="74" t="s">
        <v>17</v>
      </c>
      <c r="E909" s="78">
        <v>1</v>
      </c>
      <c r="F909" s="64">
        <f>G915</f>
        <v>240.36</v>
      </c>
      <c r="G909" s="64">
        <f t="shared" ref="G909:G914" si="46">TRUNC(E909*F909,2)</f>
        <v>240.36</v>
      </c>
      <c r="H909" s="64"/>
      <c r="I909" s="78"/>
    </row>
    <row r="910" spans="1:9" ht="30">
      <c r="A910" s="74"/>
      <c r="B910" s="80" t="s">
        <v>400</v>
      </c>
      <c r="C910" s="81" t="s">
        <v>401</v>
      </c>
      <c r="D910" s="74" t="s">
        <v>23</v>
      </c>
      <c r="E910" s="78">
        <v>6.3810000000000002</v>
      </c>
      <c r="F910" s="64">
        <v>2.75</v>
      </c>
      <c r="G910" s="64">
        <f t="shared" si="46"/>
        <v>17.54</v>
      </c>
      <c r="H910" s="64"/>
      <c r="I910" s="78"/>
    </row>
    <row r="911" spans="1:9" ht="15">
      <c r="A911" s="74"/>
      <c r="B911" s="80" t="s">
        <v>402</v>
      </c>
      <c r="C911" s="81" t="s">
        <v>403</v>
      </c>
      <c r="D911" s="74" t="s">
        <v>23</v>
      </c>
      <c r="E911" s="78">
        <v>7.2869999999999999</v>
      </c>
      <c r="F911" s="64">
        <v>11</v>
      </c>
      <c r="G911" s="64">
        <f t="shared" si="46"/>
        <v>80.150000000000006</v>
      </c>
      <c r="H911" s="64"/>
      <c r="I911" s="78"/>
    </row>
    <row r="912" spans="1:9" ht="15">
      <c r="A912" s="74"/>
      <c r="B912" s="80" t="s">
        <v>414</v>
      </c>
      <c r="C912" s="81" t="s">
        <v>415</v>
      </c>
      <c r="D912" s="74" t="s">
        <v>17</v>
      </c>
      <c r="E912" s="78">
        <v>1</v>
      </c>
      <c r="F912" s="64">
        <v>104.66</v>
      </c>
      <c r="G912" s="64">
        <f t="shared" si="46"/>
        <v>104.66</v>
      </c>
      <c r="H912" s="64"/>
      <c r="I912" s="78"/>
    </row>
    <row r="913" spans="1:9" ht="15">
      <c r="A913" s="74"/>
      <c r="B913" s="80" t="s">
        <v>404</v>
      </c>
      <c r="C913" s="81" t="s">
        <v>405</v>
      </c>
      <c r="D913" s="74" t="s">
        <v>51</v>
      </c>
      <c r="E913" s="78">
        <v>0.78300000000000003</v>
      </c>
      <c r="F913" s="64">
        <f>TRUNC(26.48,2)</f>
        <v>26.48</v>
      </c>
      <c r="G913" s="64">
        <f t="shared" si="46"/>
        <v>20.73</v>
      </c>
      <c r="H913" s="64"/>
      <c r="I913" s="78"/>
    </row>
    <row r="914" spans="1:9" ht="15">
      <c r="A914" s="74"/>
      <c r="B914" s="80" t="s">
        <v>56</v>
      </c>
      <c r="C914" s="81" t="s">
        <v>57</v>
      </c>
      <c r="D914" s="74" t="s">
        <v>51</v>
      </c>
      <c r="E914" s="78">
        <v>0.76100000000000001</v>
      </c>
      <c r="F914" s="64">
        <f>TRUNC(22.72,2)</f>
        <v>22.72</v>
      </c>
      <c r="G914" s="64">
        <f t="shared" si="46"/>
        <v>17.28</v>
      </c>
      <c r="H914" s="64"/>
      <c r="I914" s="78"/>
    </row>
    <row r="915" spans="1:9" ht="15">
      <c r="A915" s="74"/>
      <c r="B915" s="80"/>
      <c r="C915" s="81"/>
      <c r="D915" s="74"/>
      <c r="E915" s="78" t="s">
        <v>33</v>
      </c>
      <c r="F915" s="64"/>
      <c r="G915" s="64">
        <f>TRUNC(SUM(G910:G914),2)</f>
        <v>240.36</v>
      </c>
      <c r="H915" s="64"/>
      <c r="I915" s="78"/>
    </row>
    <row r="916" spans="1:9" ht="75.75">
      <c r="A916" s="68" t="s">
        <v>1706</v>
      </c>
      <c r="B916" s="98" t="s">
        <v>1781</v>
      </c>
      <c r="C916" s="23" t="s">
        <v>2043</v>
      </c>
      <c r="D916" s="68" t="s">
        <v>17</v>
      </c>
      <c r="E916" s="24">
        <v>12.82</v>
      </c>
      <c r="F916" s="24">
        <f>TRUNC(F917,2)</f>
        <v>1018.22</v>
      </c>
      <c r="G916" s="24">
        <f>TRUNC(F916*1.2882,2)</f>
        <v>1311.67</v>
      </c>
      <c r="H916" s="24">
        <f>TRUNC(F916*E916,2)</f>
        <v>13053.58</v>
      </c>
      <c r="I916" s="24">
        <f>TRUNC(E916*G916,2)</f>
        <v>16815.599999999999</v>
      </c>
    </row>
    <row r="917" spans="1:9" s="261" customFormat="1" ht="90">
      <c r="A917" s="92"/>
      <c r="B917" s="93" t="s">
        <v>417</v>
      </c>
      <c r="C917" s="94" t="s">
        <v>418</v>
      </c>
      <c r="D917" s="92" t="s">
        <v>17</v>
      </c>
      <c r="E917" s="95">
        <v>1</v>
      </c>
      <c r="F917" s="96">
        <f>G923</f>
        <v>1018.22</v>
      </c>
      <c r="G917" s="96">
        <f>TRUNC(E917*F917,2)</f>
        <v>1018.22</v>
      </c>
      <c r="H917" s="96"/>
      <c r="I917" s="95"/>
    </row>
    <row r="918" spans="1:9" s="261" customFormat="1" ht="15">
      <c r="A918" s="92"/>
      <c r="B918" s="93" t="s">
        <v>394</v>
      </c>
      <c r="C918" s="94" t="s">
        <v>395</v>
      </c>
      <c r="D918" s="92" t="s">
        <v>46</v>
      </c>
      <c r="E918" s="95">
        <v>7.3599999999999994</v>
      </c>
      <c r="F918" s="96">
        <v>15.973699999999999</v>
      </c>
      <c r="G918" s="96">
        <f>TRUNC(E918*F918,2)</f>
        <v>117.56</v>
      </c>
      <c r="H918" s="96"/>
      <c r="I918" s="95"/>
    </row>
    <row r="919" spans="1:9" s="261" customFormat="1" ht="15">
      <c r="A919" s="92"/>
      <c r="B919" s="93" t="s">
        <v>419</v>
      </c>
      <c r="C919" s="94" t="s">
        <v>420</v>
      </c>
      <c r="D919" s="92" t="s">
        <v>46</v>
      </c>
      <c r="E919" s="95">
        <v>30.359999999999996</v>
      </c>
      <c r="F919" s="96">
        <v>9.27</v>
      </c>
      <c r="G919" s="96">
        <f>TRUNC(E919*F919,2)</f>
        <v>281.43</v>
      </c>
      <c r="H919" s="96"/>
      <c r="I919" s="95"/>
    </row>
    <row r="920" spans="1:9" s="311" customFormat="1" ht="31.5">
      <c r="A920" s="251"/>
      <c r="B920" s="252" t="s">
        <v>1779</v>
      </c>
      <c r="C920" s="253" t="s">
        <v>1780</v>
      </c>
      <c r="D920" s="251" t="s">
        <v>7</v>
      </c>
      <c r="E920" s="254">
        <v>1</v>
      </c>
      <c r="F920" s="255">
        <f>TRUNC(74.16,2)</f>
        <v>74.16</v>
      </c>
      <c r="G920" s="255">
        <f t="shared" ref="G920" si="47">TRUNC(E920*F920,2)</f>
        <v>74.16</v>
      </c>
      <c r="H920" s="255"/>
      <c r="I920" s="254"/>
    </row>
    <row r="921" spans="1:9" s="261" customFormat="1" ht="30">
      <c r="A921" s="92"/>
      <c r="B921" s="93" t="s">
        <v>49</v>
      </c>
      <c r="C921" s="94" t="s">
        <v>50</v>
      </c>
      <c r="D921" s="92" t="s">
        <v>51</v>
      </c>
      <c r="E921" s="95">
        <f>21.63*2/3</f>
        <v>14.42</v>
      </c>
      <c r="F921" s="96">
        <v>15.2</v>
      </c>
      <c r="G921" s="96">
        <f>TRUNC(E921*F921,2)</f>
        <v>219.18</v>
      </c>
      <c r="H921" s="96"/>
      <c r="I921" s="95"/>
    </row>
    <row r="922" spans="1:9" s="261" customFormat="1" ht="30">
      <c r="A922" s="92"/>
      <c r="B922" s="93" t="s">
        <v>374</v>
      </c>
      <c r="C922" s="94" t="s">
        <v>375</v>
      </c>
      <c r="D922" s="92" t="s">
        <v>51</v>
      </c>
      <c r="E922" s="95">
        <f>21.63*2/3</f>
        <v>14.42</v>
      </c>
      <c r="F922" s="96">
        <v>22.6</v>
      </c>
      <c r="G922" s="96">
        <f>TRUNC(E922*F922,2)</f>
        <v>325.89</v>
      </c>
      <c r="H922" s="96"/>
      <c r="I922" s="95"/>
    </row>
    <row r="923" spans="1:9" s="261" customFormat="1" ht="15">
      <c r="A923" s="92"/>
      <c r="B923" s="93"/>
      <c r="C923" s="94"/>
      <c r="D923" s="92"/>
      <c r="E923" s="95" t="s">
        <v>33</v>
      </c>
      <c r="F923" s="96"/>
      <c r="G923" s="96">
        <f>TRUNC(SUM(G918:G922),2)</f>
        <v>1018.22</v>
      </c>
      <c r="H923" s="96"/>
      <c r="I923" s="95"/>
    </row>
    <row r="924" spans="1:9" s="261" customFormat="1" ht="15">
      <c r="A924" s="92"/>
      <c r="B924" s="93"/>
      <c r="C924" s="94"/>
      <c r="D924" s="92"/>
      <c r="E924" s="95"/>
      <c r="F924" s="96"/>
      <c r="G924" s="96"/>
      <c r="H924" s="96"/>
      <c r="I924" s="95"/>
    </row>
    <row r="925" spans="1:9" ht="45">
      <c r="A925" s="68" t="s">
        <v>1724</v>
      </c>
      <c r="B925" s="98" t="s">
        <v>1937</v>
      </c>
      <c r="C925" s="23" t="s">
        <v>2065</v>
      </c>
      <c r="D925" s="68" t="s">
        <v>17</v>
      </c>
      <c r="E925" s="24">
        <v>0.99</v>
      </c>
      <c r="F925" s="24">
        <f>TRUNC(F926,2)</f>
        <v>524.71</v>
      </c>
      <c r="G925" s="24">
        <f>TRUNC(F925*1.2882,2)</f>
        <v>675.93</v>
      </c>
      <c r="H925" s="24">
        <f>TRUNC(F925*E925,2)</f>
        <v>519.46</v>
      </c>
      <c r="I925" s="24">
        <f>TRUNC(E925*G925,2)</f>
        <v>669.17</v>
      </c>
    </row>
    <row r="926" spans="1:9" s="261" customFormat="1" ht="45">
      <c r="A926" s="92"/>
      <c r="B926" s="93" t="s">
        <v>1722</v>
      </c>
      <c r="C926" s="94" t="s">
        <v>1723</v>
      </c>
      <c r="D926" s="92" t="s">
        <v>17</v>
      </c>
      <c r="E926" s="95">
        <v>1</v>
      </c>
      <c r="F926" s="96">
        <f>G930</f>
        <v>524.71</v>
      </c>
      <c r="G926" s="96">
        <f>TRUNC(E926*F926,2)</f>
        <v>524.71</v>
      </c>
      <c r="H926" s="96"/>
      <c r="I926" s="95"/>
    </row>
    <row r="927" spans="1:9" s="261" customFormat="1" ht="15">
      <c r="A927" s="92"/>
      <c r="B927" s="93" t="s">
        <v>372</v>
      </c>
      <c r="C927" s="94" t="s">
        <v>373</v>
      </c>
      <c r="D927" s="92" t="s">
        <v>46</v>
      </c>
      <c r="E927" s="95">
        <v>11.316000000000001</v>
      </c>
      <c r="F927" s="96">
        <f>TRUNC(34.5,2)</f>
        <v>34.5</v>
      </c>
      <c r="G927" s="96">
        <f>TRUNC(E927*F927,2)</f>
        <v>390.4</v>
      </c>
      <c r="H927" s="96"/>
      <c r="I927" s="95"/>
    </row>
    <row r="928" spans="1:9" s="261" customFormat="1" ht="30">
      <c r="A928" s="92"/>
      <c r="B928" s="93" t="s">
        <v>49</v>
      </c>
      <c r="C928" s="94" t="s">
        <v>50</v>
      </c>
      <c r="D928" s="92" t="s">
        <v>51</v>
      </c>
      <c r="E928" s="95">
        <v>3.5534999999999997</v>
      </c>
      <c r="F928" s="96">
        <f>TRUNC(15.2,2)</f>
        <v>15.2</v>
      </c>
      <c r="G928" s="96">
        <f>TRUNC(E928*F928,2)</f>
        <v>54.01</v>
      </c>
      <c r="H928" s="96"/>
      <c r="I928" s="95"/>
    </row>
    <row r="929" spans="1:9" s="261" customFormat="1" ht="30">
      <c r="A929" s="92"/>
      <c r="B929" s="93" t="s">
        <v>374</v>
      </c>
      <c r="C929" s="94" t="s">
        <v>375</v>
      </c>
      <c r="D929" s="92" t="s">
        <v>51</v>
      </c>
      <c r="E929" s="95">
        <v>3.5534999999999997</v>
      </c>
      <c r="F929" s="96">
        <f>TRUNC(22.6,2)</f>
        <v>22.6</v>
      </c>
      <c r="G929" s="96">
        <f>TRUNC(E929*F929,2)</f>
        <v>80.3</v>
      </c>
      <c r="H929" s="96"/>
      <c r="I929" s="95"/>
    </row>
    <row r="930" spans="1:9" s="261" customFormat="1" ht="15">
      <c r="A930" s="92"/>
      <c r="B930" s="93"/>
      <c r="C930" s="94"/>
      <c r="D930" s="92"/>
      <c r="E930" s="95" t="s">
        <v>33</v>
      </c>
      <c r="F930" s="96"/>
      <c r="G930" s="96">
        <f>TRUNC(SUM(G927:G929),2)</f>
        <v>524.71</v>
      </c>
      <c r="H930" s="96"/>
      <c r="I930" s="95"/>
    </row>
    <row r="931" spans="1:9" ht="43.5" customHeight="1">
      <c r="A931" s="68" t="s">
        <v>1725</v>
      </c>
      <c r="B931" s="98" t="s">
        <v>1938</v>
      </c>
      <c r="C931" s="23" t="s">
        <v>2066</v>
      </c>
      <c r="D931" s="68" t="s">
        <v>17</v>
      </c>
      <c r="E931" s="24">
        <v>4.5999999999999996</v>
      </c>
      <c r="F931" s="24">
        <f>TRUNC(F932,2)</f>
        <v>617.42999999999995</v>
      </c>
      <c r="G931" s="24">
        <f>TRUNC(F931*1.2882,2)</f>
        <v>795.37</v>
      </c>
      <c r="H931" s="24">
        <f>TRUNC(F931*E931,2)</f>
        <v>2840.17</v>
      </c>
      <c r="I931" s="24">
        <f>TRUNC(E931*G931,2)</f>
        <v>3658.7</v>
      </c>
    </row>
    <row r="932" spans="1:9" s="261" customFormat="1" ht="45">
      <c r="A932" s="92"/>
      <c r="B932" s="93" t="s">
        <v>1938</v>
      </c>
      <c r="C932" s="94" t="s">
        <v>1939</v>
      </c>
      <c r="D932" s="92" t="s">
        <v>17</v>
      </c>
      <c r="E932" s="95">
        <v>1</v>
      </c>
      <c r="F932" s="96">
        <f>G936</f>
        <v>617.42999999999995</v>
      </c>
      <c r="G932" s="96">
        <f>TRUNC(E932*F932,2)</f>
        <v>617.42999999999995</v>
      </c>
      <c r="H932" s="96"/>
      <c r="I932" s="95"/>
    </row>
    <row r="933" spans="1:9" s="261" customFormat="1" ht="15">
      <c r="A933" s="92"/>
      <c r="B933" s="93" t="s">
        <v>372</v>
      </c>
      <c r="C933" s="94" t="s">
        <v>373</v>
      </c>
      <c r="D933" s="92" t="s">
        <v>46</v>
      </c>
      <c r="E933" s="95">
        <v>14.003550000000001</v>
      </c>
      <c r="F933" s="96">
        <f>TRUNC(34.5,2)</f>
        <v>34.5</v>
      </c>
      <c r="G933" s="96">
        <f>TRUNC(E933*F933,2)</f>
        <v>483.12</v>
      </c>
      <c r="H933" s="96"/>
      <c r="I933" s="95"/>
    </row>
    <row r="934" spans="1:9" s="261" customFormat="1" ht="30">
      <c r="A934" s="92"/>
      <c r="B934" s="93" t="s">
        <v>49</v>
      </c>
      <c r="C934" s="94" t="s">
        <v>50</v>
      </c>
      <c r="D934" s="92" t="s">
        <v>51</v>
      </c>
      <c r="E934" s="95">
        <v>3.5534999999999997</v>
      </c>
      <c r="F934" s="96">
        <f>TRUNC(15.2,2)</f>
        <v>15.2</v>
      </c>
      <c r="G934" s="96">
        <f>TRUNC(E934*F934,2)</f>
        <v>54.01</v>
      </c>
      <c r="H934" s="96"/>
      <c r="I934" s="95"/>
    </row>
    <row r="935" spans="1:9" s="261" customFormat="1" ht="30">
      <c r="A935" s="92"/>
      <c r="B935" s="93" t="s">
        <v>374</v>
      </c>
      <c r="C935" s="94" t="s">
        <v>375</v>
      </c>
      <c r="D935" s="92" t="s">
        <v>51</v>
      </c>
      <c r="E935" s="95">
        <v>3.5534999999999997</v>
      </c>
      <c r="F935" s="96">
        <f>TRUNC(22.6,2)</f>
        <v>22.6</v>
      </c>
      <c r="G935" s="96">
        <f>TRUNC(E935*F935,2)</f>
        <v>80.3</v>
      </c>
      <c r="H935" s="96"/>
      <c r="I935" s="95"/>
    </row>
    <row r="936" spans="1:9" s="261" customFormat="1" ht="15">
      <c r="A936" s="92"/>
      <c r="B936" s="93"/>
      <c r="C936" s="94"/>
      <c r="D936" s="92"/>
      <c r="E936" s="95" t="s">
        <v>33</v>
      </c>
      <c r="F936" s="96"/>
      <c r="G936" s="96">
        <f>TRUNC(SUM(G933:G935),2)</f>
        <v>617.42999999999995</v>
      </c>
      <c r="H936" s="96"/>
      <c r="I936" s="95"/>
    </row>
    <row r="937" spans="1:9" ht="45">
      <c r="A937" s="68" t="s">
        <v>1742</v>
      </c>
      <c r="B937" s="98" t="s">
        <v>1938</v>
      </c>
      <c r="C937" s="23" t="s">
        <v>2067</v>
      </c>
      <c r="D937" s="68" t="s">
        <v>17</v>
      </c>
      <c r="E937" s="24">
        <v>7.28</v>
      </c>
      <c r="F937" s="24">
        <f>TRUNC(F938,2)</f>
        <v>617.42999999999995</v>
      </c>
      <c r="G937" s="24">
        <f>TRUNC(F937*1.2882,2)</f>
        <v>795.37</v>
      </c>
      <c r="H937" s="24">
        <f>TRUNC(F937*E937,2)</f>
        <v>4494.8900000000003</v>
      </c>
      <c r="I937" s="24">
        <f>TRUNC(E937*G937,2)</f>
        <v>5790.29</v>
      </c>
    </row>
    <row r="938" spans="1:9" s="261" customFormat="1" ht="45">
      <c r="A938" s="92"/>
      <c r="B938" s="93" t="s">
        <v>1938</v>
      </c>
      <c r="C938" s="94" t="s">
        <v>1939</v>
      </c>
      <c r="D938" s="92" t="s">
        <v>17</v>
      </c>
      <c r="E938" s="95">
        <v>1</v>
      </c>
      <c r="F938" s="96">
        <f>G942</f>
        <v>617.42999999999995</v>
      </c>
      <c r="G938" s="96">
        <f>TRUNC(E938*F938,2)</f>
        <v>617.42999999999995</v>
      </c>
      <c r="H938" s="96"/>
      <c r="I938" s="95"/>
    </row>
    <row r="939" spans="1:9" s="261" customFormat="1" ht="15">
      <c r="A939" s="92"/>
      <c r="B939" s="93" t="s">
        <v>372</v>
      </c>
      <c r="C939" s="94" t="s">
        <v>373</v>
      </c>
      <c r="D939" s="92" t="s">
        <v>46</v>
      </c>
      <c r="E939" s="95">
        <v>14.003550000000001</v>
      </c>
      <c r="F939" s="96">
        <f>TRUNC(34.5,2)</f>
        <v>34.5</v>
      </c>
      <c r="G939" s="96">
        <f>TRUNC(E939*F939,2)</f>
        <v>483.12</v>
      </c>
      <c r="H939" s="96"/>
      <c r="I939" s="95"/>
    </row>
    <row r="940" spans="1:9" s="261" customFormat="1" ht="30">
      <c r="A940" s="92"/>
      <c r="B940" s="93" t="s">
        <v>49</v>
      </c>
      <c r="C940" s="94" t="s">
        <v>50</v>
      </c>
      <c r="D940" s="92" t="s">
        <v>51</v>
      </c>
      <c r="E940" s="95">
        <v>3.5534999999999997</v>
      </c>
      <c r="F940" s="96">
        <f>TRUNC(15.2,2)</f>
        <v>15.2</v>
      </c>
      <c r="G940" s="96">
        <f>TRUNC(E940*F940,2)</f>
        <v>54.01</v>
      </c>
      <c r="H940" s="96"/>
      <c r="I940" s="95"/>
    </row>
    <row r="941" spans="1:9" s="261" customFormat="1" ht="30">
      <c r="A941" s="92"/>
      <c r="B941" s="93" t="s">
        <v>374</v>
      </c>
      <c r="C941" s="94" t="s">
        <v>375</v>
      </c>
      <c r="D941" s="92" t="s">
        <v>51</v>
      </c>
      <c r="E941" s="95">
        <v>3.5534999999999997</v>
      </c>
      <c r="F941" s="96">
        <f>TRUNC(22.6,2)</f>
        <v>22.6</v>
      </c>
      <c r="G941" s="96">
        <f>TRUNC(E941*F941,2)</f>
        <v>80.3</v>
      </c>
      <c r="H941" s="96"/>
      <c r="I941" s="95"/>
    </row>
    <row r="942" spans="1:9" s="261" customFormat="1" ht="15">
      <c r="A942" s="92"/>
      <c r="B942" s="93"/>
      <c r="C942" s="94"/>
      <c r="D942" s="92"/>
      <c r="E942" s="95" t="s">
        <v>33</v>
      </c>
      <c r="F942" s="96"/>
      <c r="G942" s="96">
        <f>TRUNC(SUM(G939:G941),2)</f>
        <v>617.42999999999995</v>
      </c>
      <c r="H942" s="96"/>
      <c r="I942" s="95"/>
    </row>
    <row r="943" spans="1:9" ht="45">
      <c r="A943" s="68" t="s">
        <v>1743</v>
      </c>
      <c r="B943" s="98" t="s">
        <v>1938</v>
      </c>
      <c r="C943" s="23" t="s">
        <v>2067</v>
      </c>
      <c r="D943" s="68" t="s">
        <v>17</v>
      </c>
      <c r="E943" s="24">
        <v>5.6</v>
      </c>
      <c r="F943" s="24">
        <f>TRUNC(F944,2)</f>
        <v>617.42999999999995</v>
      </c>
      <c r="G943" s="24">
        <f>TRUNC(F943*1.2882,2)</f>
        <v>795.37</v>
      </c>
      <c r="H943" s="24">
        <f>TRUNC(F943*E943,2)</f>
        <v>3457.6</v>
      </c>
      <c r="I943" s="24">
        <f>TRUNC(E943*G943,2)</f>
        <v>4454.07</v>
      </c>
    </row>
    <row r="944" spans="1:9" s="261" customFormat="1" ht="45">
      <c r="A944" s="92"/>
      <c r="B944" s="93" t="s">
        <v>1938</v>
      </c>
      <c r="C944" s="94" t="s">
        <v>1939</v>
      </c>
      <c r="D944" s="92" t="s">
        <v>17</v>
      </c>
      <c r="E944" s="95">
        <v>1</v>
      </c>
      <c r="F944" s="96">
        <f>G948</f>
        <v>617.42999999999995</v>
      </c>
      <c r="G944" s="96">
        <f>TRUNC(E944*F944,2)</f>
        <v>617.42999999999995</v>
      </c>
      <c r="H944" s="96"/>
      <c r="I944" s="95"/>
    </row>
    <row r="945" spans="1:9" s="261" customFormat="1" ht="15">
      <c r="A945" s="92"/>
      <c r="B945" s="93" t="s">
        <v>372</v>
      </c>
      <c r="C945" s="94" t="s">
        <v>373</v>
      </c>
      <c r="D945" s="92" t="s">
        <v>46</v>
      </c>
      <c r="E945" s="95">
        <v>14.003550000000001</v>
      </c>
      <c r="F945" s="96">
        <f>TRUNC(34.5,2)</f>
        <v>34.5</v>
      </c>
      <c r="G945" s="96">
        <f>TRUNC(E945*F945,2)</f>
        <v>483.12</v>
      </c>
      <c r="H945" s="96"/>
      <c r="I945" s="95"/>
    </row>
    <row r="946" spans="1:9" s="261" customFormat="1" ht="30">
      <c r="A946" s="92"/>
      <c r="B946" s="93" t="s">
        <v>49</v>
      </c>
      <c r="C946" s="94" t="s">
        <v>50</v>
      </c>
      <c r="D946" s="92" t="s">
        <v>51</v>
      </c>
      <c r="E946" s="95">
        <v>3.5534999999999997</v>
      </c>
      <c r="F946" s="96">
        <f>TRUNC(15.2,2)</f>
        <v>15.2</v>
      </c>
      <c r="G946" s="96">
        <f>TRUNC(E946*F946,2)</f>
        <v>54.01</v>
      </c>
      <c r="H946" s="96"/>
      <c r="I946" s="95"/>
    </row>
    <row r="947" spans="1:9" s="261" customFormat="1" ht="30">
      <c r="A947" s="92"/>
      <c r="B947" s="93" t="s">
        <v>374</v>
      </c>
      <c r="C947" s="94" t="s">
        <v>375</v>
      </c>
      <c r="D947" s="92" t="s">
        <v>51</v>
      </c>
      <c r="E947" s="95">
        <v>3.5534999999999997</v>
      </c>
      <c r="F947" s="96">
        <f>TRUNC(22.6,2)</f>
        <v>22.6</v>
      </c>
      <c r="G947" s="96">
        <f>TRUNC(E947*F947,2)</f>
        <v>80.3</v>
      </c>
      <c r="H947" s="96"/>
      <c r="I947" s="95"/>
    </row>
    <row r="948" spans="1:9" s="261" customFormat="1" ht="15">
      <c r="A948" s="92"/>
      <c r="B948" s="93"/>
      <c r="C948" s="94"/>
      <c r="D948" s="92"/>
      <c r="E948" s="95" t="s">
        <v>33</v>
      </c>
      <c r="F948" s="96"/>
      <c r="G948" s="96">
        <f>TRUNC(SUM(G945:G947),2)</f>
        <v>617.42999999999995</v>
      </c>
      <c r="H948" s="96"/>
      <c r="I948" s="95"/>
    </row>
    <row r="949" spans="1:9" ht="46.5">
      <c r="A949" s="68" t="s">
        <v>1744</v>
      </c>
      <c r="B949" s="98" t="s">
        <v>377</v>
      </c>
      <c r="C949" s="23" t="s">
        <v>1751</v>
      </c>
      <c r="D949" s="68" t="s">
        <v>17</v>
      </c>
      <c r="E949" s="24">
        <v>3.84</v>
      </c>
      <c r="F949" s="24">
        <f>TRUNC(F950,2)</f>
        <v>966.14</v>
      </c>
      <c r="G949" s="24">
        <f>TRUNC(F949*1.2882,2)</f>
        <v>1244.58</v>
      </c>
      <c r="H949" s="24">
        <f>TRUNC(F949*E949,2)</f>
        <v>3709.97</v>
      </c>
      <c r="I949" s="24">
        <f>TRUNC(E949*G949,2)</f>
        <v>4779.18</v>
      </c>
    </row>
    <row r="950" spans="1:9" s="261" customFormat="1" ht="45">
      <c r="A950" s="92"/>
      <c r="B950" s="93" t="s">
        <v>377</v>
      </c>
      <c r="C950" s="94" t="s">
        <v>378</v>
      </c>
      <c r="D950" s="92" t="s">
        <v>17</v>
      </c>
      <c r="E950" s="95">
        <v>1</v>
      </c>
      <c r="F950" s="96">
        <f>TRUNC(966.141,2)</f>
        <v>966.14</v>
      </c>
      <c r="G950" s="96">
        <f>TRUNC(E950*F950,2)</f>
        <v>966.14</v>
      </c>
      <c r="H950" s="96"/>
      <c r="I950" s="95"/>
    </row>
    <row r="951" spans="1:9" s="261" customFormat="1" ht="15">
      <c r="A951" s="92"/>
      <c r="B951" s="93" t="s">
        <v>372</v>
      </c>
      <c r="C951" s="94" t="s">
        <v>373</v>
      </c>
      <c r="D951" s="92" t="s">
        <v>46</v>
      </c>
      <c r="E951" s="95">
        <v>23.490000000000002</v>
      </c>
      <c r="F951" s="96">
        <f>TRUNC(34.5,2)</f>
        <v>34.5</v>
      </c>
      <c r="G951" s="96">
        <f>TRUNC(E951*F951,2)</f>
        <v>810.4</v>
      </c>
      <c r="H951" s="96"/>
      <c r="I951" s="95"/>
    </row>
    <row r="952" spans="1:9" s="261" customFormat="1" ht="30">
      <c r="A952" s="92"/>
      <c r="B952" s="93" t="s">
        <v>49</v>
      </c>
      <c r="C952" s="94" t="s">
        <v>50</v>
      </c>
      <c r="D952" s="92" t="s">
        <v>51</v>
      </c>
      <c r="E952" s="95">
        <v>4.12</v>
      </c>
      <c r="F952" s="96">
        <f>TRUNC(15.2,2)</f>
        <v>15.2</v>
      </c>
      <c r="G952" s="96">
        <f>TRUNC(E952*F952,2)</f>
        <v>62.62</v>
      </c>
      <c r="H952" s="96"/>
      <c r="I952" s="95"/>
    </row>
    <row r="953" spans="1:9" s="261" customFormat="1" ht="30">
      <c r="A953" s="92"/>
      <c r="B953" s="93" t="s">
        <v>374</v>
      </c>
      <c r="C953" s="94" t="s">
        <v>375</v>
      </c>
      <c r="D953" s="92" t="s">
        <v>51</v>
      </c>
      <c r="E953" s="95">
        <v>4.12</v>
      </c>
      <c r="F953" s="96">
        <f>TRUNC(22.6,2)</f>
        <v>22.6</v>
      </c>
      <c r="G953" s="96">
        <f>TRUNC(E953*F953,2)</f>
        <v>93.11</v>
      </c>
      <c r="H953" s="96"/>
      <c r="I953" s="95"/>
    </row>
    <row r="954" spans="1:9" s="261" customFormat="1" ht="15">
      <c r="A954" s="92"/>
      <c r="B954" s="93"/>
      <c r="C954" s="94"/>
      <c r="D954" s="92"/>
      <c r="E954" s="95" t="s">
        <v>33</v>
      </c>
      <c r="F954" s="96"/>
      <c r="G954" s="96">
        <f>TRUNC(SUM(G951:G953),2)</f>
        <v>966.13</v>
      </c>
      <c r="H954" s="96"/>
      <c r="I954" s="95"/>
    </row>
    <row r="955" spans="1:9" ht="46.5">
      <c r="A955" s="68" t="s">
        <v>1747</v>
      </c>
      <c r="B955" s="98" t="s">
        <v>1750</v>
      </c>
      <c r="C955" s="23" t="s">
        <v>1752</v>
      </c>
      <c r="D955" s="68" t="s">
        <v>17</v>
      </c>
      <c r="E955" s="24">
        <v>4.71</v>
      </c>
      <c r="F955" s="24">
        <f>TRUNC(F956,2)</f>
        <v>966.14</v>
      </c>
      <c r="G955" s="24">
        <f>TRUNC(F955*1.2882,2)</f>
        <v>1244.58</v>
      </c>
      <c r="H955" s="24">
        <f>TRUNC(F955*E955,2)</f>
        <v>4550.51</v>
      </c>
      <c r="I955" s="24">
        <f>TRUNC(E955*G955,2)</f>
        <v>5861.97</v>
      </c>
    </row>
    <row r="956" spans="1:9" s="261" customFormat="1" ht="45">
      <c r="A956" s="92"/>
      <c r="B956" s="93" t="s">
        <v>377</v>
      </c>
      <c r="C956" s="94" t="s">
        <v>378</v>
      </c>
      <c r="D956" s="92" t="s">
        <v>17</v>
      </c>
      <c r="E956" s="95">
        <v>1</v>
      </c>
      <c r="F956" s="96">
        <f>TRUNC(966.141,2)</f>
        <v>966.14</v>
      </c>
      <c r="G956" s="96">
        <f>TRUNC(E956*F956,2)</f>
        <v>966.14</v>
      </c>
      <c r="H956" s="96"/>
      <c r="I956" s="95"/>
    </row>
    <row r="957" spans="1:9" s="261" customFormat="1" ht="15">
      <c r="A957" s="92"/>
      <c r="B957" s="93" t="s">
        <v>372</v>
      </c>
      <c r="C957" s="94" t="s">
        <v>373</v>
      </c>
      <c r="D957" s="92" t="s">
        <v>46</v>
      </c>
      <c r="E957" s="95">
        <v>23.490000000000002</v>
      </c>
      <c r="F957" s="96">
        <f>TRUNC(34.5,2)</f>
        <v>34.5</v>
      </c>
      <c r="G957" s="96">
        <f>TRUNC(E957*F957,2)</f>
        <v>810.4</v>
      </c>
      <c r="H957" s="96"/>
      <c r="I957" s="95"/>
    </row>
    <row r="958" spans="1:9" s="261" customFormat="1" ht="30">
      <c r="A958" s="92"/>
      <c r="B958" s="93" t="s">
        <v>49</v>
      </c>
      <c r="C958" s="94" t="s">
        <v>50</v>
      </c>
      <c r="D958" s="92" t="s">
        <v>51</v>
      </c>
      <c r="E958" s="95">
        <v>4.12</v>
      </c>
      <c r="F958" s="96">
        <f>TRUNC(15.2,2)</f>
        <v>15.2</v>
      </c>
      <c r="G958" s="96">
        <f>TRUNC(E958*F958,2)</f>
        <v>62.62</v>
      </c>
      <c r="H958" s="96"/>
      <c r="I958" s="95"/>
    </row>
    <row r="959" spans="1:9" s="261" customFormat="1" ht="30">
      <c r="A959" s="92"/>
      <c r="B959" s="93" t="s">
        <v>374</v>
      </c>
      <c r="C959" s="94" t="s">
        <v>375</v>
      </c>
      <c r="D959" s="92" t="s">
        <v>51</v>
      </c>
      <c r="E959" s="95">
        <v>4.12</v>
      </c>
      <c r="F959" s="96">
        <f>TRUNC(22.6,2)</f>
        <v>22.6</v>
      </c>
      <c r="G959" s="96">
        <f>TRUNC(E959*F959,2)</f>
        <v>93.11</v>
      </c>
      <c r="H959" s="96"/>
      <c r="I959" s="95"/>
    </row>
    <row r="960" spans="1:9" s="261" customFormat="1" ht="15">
      <c r="A960" s="92"/>
      <c r="B960" s="93"/>
      <c r="C960" s="94"/>
      <c r="D960" s="92"/>
      <c r="E960" s="95" t="s">
        <v>33</v>
      </c>
      <c r="F960" s="96"/>
      <c r="G960" s="96">
        <f>TRUNC(SUM(G957:G959),2)</f>
        <v>966.13</v>
      </c>
      <c r="H960" s="96"/>
      <c r="I960" s="95"/>
    </row>
    <row r="961" spans="1:9" s="115" customFormat="1" ht="30.75">
      <c r="A961" s="68" t="s">
        <v>1782</v>
      </c>
      <c r="B961" s="98" t="s">
        <v>1620</v>
      </c>
      <c r="C961" s="23" t="s">
        <v>1749</v>
      </c>
      <c r="D961" s="68" t="s">
        <v>383</v>
      </c>
      <c r="E961" s="24">
        <v>1</v>
      </c>
      <c r="F961" s="24">
        <f>TRUNC(F962,2)</f>
        <v>1531.5</v>
      </c>
      <c r="G961" s="24">
        <f>TRUNC(F961*1.2285,2)</f>
        <v>1881.44</v>
      </c>
      <c r="H961" s="24">
        <f>TRUNC(F961*E961,2)</f>
        <v>1531.5</v>
      </c>
      <c r="I961" s="24">
        <f>TRUNC(E961*G961,2)</f>
        <v>1881.44</v>
      </c>
    </row>
    <row r="962" spans="1:9" s="132" customFormat="1" ht="31.5">
      <c r="A962" s="296"/>
      <c r="B962" s="297" t="s">
        <v>1620</v>
      </c>
      <c r="C962" s="258" t="s">
        <v>1748</v>
      </c>
      <c r="D962" s="296" t="s">
        <v>1621</v>
      </c>
      <c r="E962" s="259">
        <v>1</v>
      </c>
      <c r="F962" s="298">
        <f>E971</f>
        <v>1531.5</v>
      </c>
      <c r="G962" s="298">
        <f>TRUNC(E962*F962,2)</f>
        <v>1531.5</v>
      </c>
      <c r="H962" s="298"/>
      <c r="I962" s="259"/>
    </row>
    <row r="963" spans="1:9" s="115" customFormat="1" ht="15">
      <c r="A963" s="299"/>
      <c r="B963" s="300"/>
      <c r="C963" s="81"/>
      <c r="D963" s="299"/>
      <c r="E963" s="78"/>
      <c r="F963" s="301"/>
      <c r="G963" s="301"/>
      <c r="H963" s="301"/>
      <c r="I963" s="78"/>
    </row>
    <row r="964" spans="1:9" s="115" customFormat="1" ht="15">
      <c r="A964" s="299"/>
      <c r="B964" s="300"/>
      <c r="C964" s="81"/>
      <c r="D964" s="299"/>
      <c r="E964" s="78" t="s">
        <v>1622</v>
      </c>
      <c r="F964" s="301"/>
      <c r="G964" s="301"/>
      <c r="H964" s="301"/>
      <c r="I964" s="78"/>
    </row>
    <row r="965" spans="1:9" s="115" customFormat="1" ht="15">
      <c r="A965" s="123"/>
      <c r="B965" s="128"/>
      <c r="C965" s="127"/>
      <c r="D965" s="123"/>
      <c r="E965" s="129"/>
      <c r="F965" s="122"/>
      <c r="G965" s="122"/>
      <c r="H965" s="122"/>
      <c r="I965" s="129"/>
    </row>
    <row r="966" spans="1:9" s="115" customFormat="1" ht="30">
      <c r="A966" s="123"/>
      <c r="B966" s="128" t="s">
        <v>1657</v>
      </c>
      <c r="C966" s="127" t="s">
        <v>1748</v>
      </c>
      <c r="D966" s="123" t="s">
        <v>1621</v>
      </c>
      <c r="E966" s="129">
        <v>1440.57</v>
      </c>
      <c r="F966" s="122"/>
      <c r="G966" s="131"/>
      <c r="H966" s="122"/>
      <c r="I966" s="129"/>
    </row>
    <row r="967" spans="1:9" s="115" customFormat="1" ht="30">
      <c r="A967" s="123"/>
      <c r="B967" s="128" t="s">
        <v>1658</v>
      </c>
      <c r="C967" s="127" t="s">
        <v>1748</v>
      </c>
      <c r="D967" s="123" t="s">
        <v>1621</v>
      </c>
      <c r="E967" s="129">
        <v>1655</v>
      </c>
      <c r="F967" s="122"/>
      <c r="G967" s="131"/>
      <c r="H967" s="122"/>
      <c r="I967" s="129"/>
    </row>
    <row r="968" spans="1:9" s="115" customFormat="1" ht="30">
      <c r="A968" s="123"/>
      <c r="B968" s="128" t="s">
        <v>1656</v>
      </c>
      <c r="C968" s="127" t="s">
        <v>1748</v>
      </c>
      <c r="D968" s="123" t="s">
        <v>1621</v>
      </c>
      <c r="E968" s="129">
        <v>1531.5</v>
      </c>
      <c r="F968" s="122"/>
      <c r="G968" s="122"/>
      <c r="H968" s="122"/>
      <c r="I968" s="129"/>
    </row>
    <row r="969" spans="1:9" s="115" customFormat="1" ht="30">
      <c r="A969" s="123"/>
      <c r="B969" s="128" t="s">
        <v>1659</v>
      </c>
      <c r="C969" s="127" t="s">
        <v>1748</v>
      </c>
      <c r="D969" s="123" t="s">
        <v>1621</v>
      </c>
      <c r="E969" s="129">
        <v>4290</v>
      </c>
      <c r="F969" s="122"/>
      <c r="G969" s="122"/>
      <c r="H969" s="122"/>
      <c r="I969" s="129"/>
    </row>
    <row r="970" spans="1:9" s="115" customFormat="1" ht="30">
      <c r="A970" s="123"/>
      <c r="B970" s="128" t="s">
        <v>1655</v>
      </c>
      <c r="C970" s="127" t="s">
        <v>1748</v>
      </c>
      <c r="D970" s="123" t="s">
        <v>1621</v>
      </c>
      <c r="E970" s="129">
        <v>1431</v>
      </c>
      <c r="F970" s="122"/>
      <c r="G970" s="122"/>
      <c r="H970" s="122"/>
      <c r="I970" s="129"/>
    </row>
    <row r="971" spans="1:9" s="115" customFormat="1" ht="15">
      <c r="A971" s="299"/>
      <c r="B971" s="300"/>
      <c r="C971" s="81"/>
      <c r="D971" s="302" t="s">
        <v>1623</v>
      </c>
      <c r="E971" s="78">
        <f>MEDIAN(E966,E967,E968,E969,E970)</f>
        <v>1531.5</v>
      </c>
      <c r="F971" s="301"/>
      <c r="G971" s="301"/>
      <c r="H971" s="301"/>
      <c r="I971" s="78"/>
    </row>
    <row r="972" spans="1:9" s="115" customFormat="1" ht="60.75">
      <c r="A972" s="68" t="s">
        <v>1946</v>
      </c>
      <c r="B972" s="98" t="s">
        <v>1719</v>
      </c>
      <c r="C972" s="23" t="s">
        <v>2085</v>
      </c>
      <c r="D972" s="68" t="s">
        <v>1949</v>
      </c>
      <c r="E972" s="24">
        <v>3.35</v>
      </c>
      <c r="F972" s="24">
        <f>TRUNC(G973,2)</f>
        <v>575.48</v>
      </c>
      <c r="G972" s="24">
        <f>TRUNC(F972*1.2285,2)</f>
        <v>706.97</v>
      </c>
      <c r="H972" s="24">
        <f>TRUNC(F972*E972,2)</f>
        <v>1927.85</v>
      </c>
      <c r="I972" s="24">
        <f>TRUNC(E972*G972,2)</f>
        <v>2368.34</v>
      </c>
    </row>
    <row r="973" spans="1:9" s="115" customFormat="1" ht="60">
      <c r="A973" s="299"/>
      <c r="B973" s="300" t="s">
        <v>1709</v>
      </c>
      <c r="C973" s="81" t="s">
        <v>1710</v>
      </c>
      <c r="D973" s="299" t="s">
        <v>23</v>
      </c>
      <c r="E973" s="78">
        <v>1</v>
      </c>
      <c r="F973" s="301">
        <f>G981</f>
        <v>575.48</v>
      </c>
      <c r="G973" s="301">
        <f t="shared" ref="G973:G980" si="48">TRUNC(E973*F973,2)</f>
        <v>575.48</v>
      </c>
      <c r="H973" s="301"/>
      <c r="I973" s="78"/>
    </row>
    <row r="974" spans="1:9" s="115" customFormat="1" ht="15">
      <c r="A974" s="299"/>
      <c r="B974" s="300" t="s">
        <v>1711</v>
      </c>
      <c r="C974" s="81" t="s">
        <v>1712</v>
      </c>
      <c r="D974" s="299" t="s">
        <v>46</v>
      </c>
      <c r="E974" s="78">
        <v>25.08</v>
      </c>
      <c r="F974" s="301">
        <f>TRUNC(10.378,2)</f>
        <v>10.37</v>
      </c>
      <c r="G974" s="301">
        <f t="shared" si="48"/>
        <v>260.07</v>
      </c>
      <c r="H974" s="301"/>
      <c r="I974" s="78"/>
    </row>
    <row r="975" spans="1:9" s="115" customFormat="1" ht="15">
      <c r="A975" s="299"/>
      <c r="B975" s="300" t="s">
        <v>1713</v>
      </c>
      <c r="C975" s="81" t="s">
        <v>1714</v>
      </c>
      <c r="D975" s="299" t="s">
        <v>46</v>
      </c>
      <c r="E975" s="78">
        <v>5.0039999999999996</v>
      </c>
      <c r="F975" s="301">
        <f>TRUNC(9.27,2)</f>
        <v>9.27</v>
      </c>
      <c r="G975" s="301">
        <f t="shared" si="48"/>
        <v>46.38</v>
      </c>
      <c r="H975" s="301"/>
      <c r="I975" s="78"/>
    </row>
    <row r="976" spans="1:9" s="115" customFormat="1" ht="15">
      <c r="A976" s="299"/>
      <c r="B976" s="300" t="s">
        <v>1715</v>
      </c>
      <c r="C976" s="81" t="s">
        <v>1716</v>
      </c>
      <c r="D976" s="299" t="s">
        <v>46</v>
      </c>
      <c r="E976" s="78">
        <v>3.2759999999999998</v>
      </c>
      <c r="F976" s="301">
        <f>TRUNC(10.5265,2)</f>
        <v>10.52</v>
      </c>
      <c r="G976" s="301">
        <f t="shared" si="48"/>
        <v>34.46</v>
      </c>
      <c r="H976" s="301"/>
      <c r="I976" s="78"/>
    </row>
    <row r="977" spans="1:9" s="115" customFormat="1" ht="30">
      <c r="A977" s="299"/>
      <c r="B977" s="300" t="s">
        <v>49</v>
      </c>
      <c r="C977" s="81" t="s">
        <v>50</v>
      </c>
      <c r="D977" s="299" t="s">
        <v>51</v>
      </c>
      <c r="E977" s="78">
        <v>4.4805000000000001</v>
      </c>
      <c r="F977" s="301">
        <f>TRUNC(15.2,2)</f>
        <v>15.2</v>
      </c>
      <c r="G977" s="301">
        <f t="shared" si="48"/>
        <v>68.099999999999994</v>
      </c>
      <c r="H977" s="301"/>
      <c r="I977" s="78"/>
    </row>
    <row r="978" spans="1:9" s="115" customFormat="1" ht="30">
      <c r="A978" s="299"/>
      <c r="B978" s="300" t="s">
        <v>374</v>
      </c>
      <c r="C978" s="81" t="s">
        <v>375</v>
      </c>
      <c r="D978" s="299" t="s">
        <v>51</v>
      </c>
      <c r="E978" s="78">
        <v>4.4805000000000001</v>
      </c>
      <c r="F978" s="301">
        <f>TRUNC(22.6,2)</f>
        <v>22.6</v>
      </c>
      <c r="G978" s="301">
        <f t="shared" si="48"/>
        <v>101.25</v>
      </c>
      <c r="H978" s="301"/>
      <c r="I978" s="78"/>
    </row>
    <row r="979" spans="1:9" s="115" customFormat="1" ht="15">
      <c r="A979" s="299"/>
      <c r="B979" s="300" t="s">
        <v>1947</v>
      </c>
      <c r="C979" s="81" t="s">
        <v>1948</v>
      </c>
      <c r="D979" s="299" t="s">
        <v>17</v>
      </c>
      <c r="E979" s="78">
        <v>2.4</v>
      </c>
      <c r="F979" s="301">
        <f>TRUNC(18.926,2)</f>
        <v>18.920000000000002</v>
      </c>
      <c r="G979" s="301">
        <f t="shared" si="48"/>
        <v>45.4</v>
      </c>
      <c r="H979" s="301"/>
      <c r="I979" s="78"/>
    </row>
    <row r="980" spans="1:9" s="115" customFormat="1" ht="15">
      <c r="A980" s="299"/>
      <c r="B980" s="300" t="s">
        <v>1717</v>
      </c>
      <c r="C980" s="81" t="s">
        <v>1718</v>
      </c>
      <c r="D980" s="299" t="s">
        <v>55</v>
      </c>
      <c r="E980" s="78">
        <v>0.03</v>
      </c>
      <c r="F980" s="301">
        <f>TRUNC(660.8514,2)</f>
        <v>660.85</v>
      </c>
      <c r="G980" s="301">
        <f t="shared" si="48"/>
        <v>19.82</v>
      </c>
      <c r="H980" s="301"/>
      <c r="I980" s="78"/>
    </row>
    <row r="981" spans="1:9" s="115" customFormat="1" ht="15">
      <c r="A981" s="299"/>
      <c r="B981" s="300"/>
      <c r="C981" s="81"/>
      <c r="D981" s="299"/>
      <c r="E981" s="78" t="s">
        <v>33</v>
      </c>
      <c r="F981" s="301"/>
      <c r="G981" s="301">
        <f>TRUNC(SUM(G974:G980),2)</f>
        <v>575.48</v>
      </c>
      <c r="H981" s="301"/>
      <c r="I981" s="78"/>
    </row>
    <row r="982" spans="1:9" ht="45.75">
      <c r="A982" s="68" t="s">
        <v>2036</v>
      </c>
      <c r="B982" s="98" t="s">
        <v>2035</v>
      </c>
      <c r="C982" s="23" t="s">
        <v>2086</v>
      </c>
      <c r="D982" s="68" t="s">
        <v>383</v>
      </c>
      <c r="E982" s="24">
        <v>10</v>
      </c>
      <c r="F982" s="24">
        <f>TRUNC(G983,2)</f>
        <v>640.11</v>
      </c>
      <c r="G982" s="24">
        <f>TRUNC(F982*1.2882,2)</f>
        <v>824.58</v>
      </c>
      <c r="H982" s="24">
        <f>TRUNC(F982*E982,2)</f>
        <v>6401.1</v>
      </c>
      <c r="I982" s="24">
        <f>TRUNC(E982*G982,2)</f>
        <v>8245.7999999999993</v>
      </c>
    </row>
    <row r="983" spans="1:9" ht="30">
      <c r="A983" s="74"/>
      <c r="B983" s="80" t="s">
        <v>2029</v>
      </c>
      <c r="C983" s="81" t="s">
        <v>2030</v>
      </c>
      <c r="D983" s="74" t="s">
        <v>17</v>
      </c>
      <c r="E983" s="78">
        <f>0.6*1.6</f>
        <v>0.96</v>
      </c>
      <c r="F983" s="64">
        <f>G990</f>
        <v>666.79</v>
      </c>
      <c r="G983" s="260">
        <f t="shared" ref="G983:G989" si="49">TRUNC(E983*F983,2)</f>
        <v>640.11</v>
      </c>
      <c r="H983" s="64"/>
      <c r="I983" s="78"/>
    </row>
    <row r="984" spans="1:9" ht="30">
      <c r="A984" s="74"/>
      <c r="B984" s="80" t="s">
        <v>2031</v>
      </c>
      <c r="C984" s="81" t="s">
        <v>2032</v>
      </c>
      <c r="D984" s="74" t="s">
        <v>7</v>
      </c>
      <c r="E984" s="78">
        <v>0.54730000000000001</v>
      </c>
      <c r="F984" s="64">
        <f>TRUNC(709.77,2)</f>
        <v>709.77</v>
      </c>
      <c r="G984" s="64">
        <f t="shared" si="49"/>
        <v>388.45</v>
      </c>
      <c r="H984" s="64"/>
      <c r="I984" s="78"/>
    </row>
    <row r="985" spans="1:9" ht="45">
      <c r="A985" s="74"/>
      <c r="B985" s="80" t="s">
        <v>2033</v>
      </c>
      <c r="C985" s="81" t="s">
        <v>2034</v>
      </c>
      <c r="D985" s="74" t="s">
        <v>23</v>
      </c>
      <c r="E985" s="78">
        <v>6.8503999999999996</v>
      </c>
      <c r="F985" s="64">
        <f>TRUNC(33.98,2)</f>
        <v>33.979999999999997</v>
      </c>
      <c r="G985" s="64">
        <f t="shared" si="49"/>
        <v>232.77</v>
      </c>
      <c r="H985" s="64"/>
      <c r="I985" s="78"/>
    </row>
    <row r="986" spans="1:9" ht="30">
      <c r="A986" s="74"/>
      <c r="B986" s="80" t="s">
        <v>1705</v>
      </c>
      <c r="C986" s="81" t="s">
        <v>448</v>
      </c>
      <c r="D986" s="74" t="s">
        <v>7</v>
      </c>
      <c r="E986" s="78">
        <v>4.8166000000000002</v>
      </c>
      <c r="F986" s="64">
        <f>TRUNC(0.61,2)</f>
        <v>0.61</v>
      </c>
      <c r="G986" s="64">
        <f t="shared" si="49"/>
        <v>2.93</v>
      </c>
      <c r="H986" s="64"/>
      <c r="I986" s="78"/>
    </row>
    <row r="987" spans="1:9" ht="30">
      <c r="A987" s="74"/>
      <c r="B987" s="80" t="s">
        <v>717</v>
      </c>
      <c r="C987" s="81" t="s">
        <v>718</v>
      </c>
      <c r="D987" s="74" t="s">
        <v>719</v>
      </c>
      <c r="E987" s="78">
        <v>0.88290000000000002</v>
      </c>
      <c r="F987" s="64">
        <f>TRUNC(30.59,2)</f>
        <v>30.59</v>
      </c>
      <c r="G987" s="64">
        <f t="shared" si="49"/>
        <v>27</v>
      </c>
      <c r="H987" s="64"/>
      <c r="I987" s="78"/>
    </row>
    <row r="988" spans="1:9" ht="15">
      <c r="A988" s="74"/>
      <c r="B988" s="80" t="s">
        <v>56</v>
      </c>
      <c r="C988" s="81" t="s">
        <v>57</v>
      </c>
      <c r="D988" s="74" t="s">
        <v>51</v>
      </c>
      <c r="E988" s="78">
        <v>0.191</v>
      </c>
      <c r="F988" s="64">
        <f>TRUNC(22.72,2)</f>
        <v>22.72</v>
      </c>
      <c r="G988" s="64">
        <f t="shared" si="49"/>
        <v>4.33</v>
      </c>
      <c r="H988" s="64"/>
      <c r="I988" s="78"/>
    </row>
    <row r="989" spans="1:9" ht="15">
      <c r="A989" s="74"/>
      <c r="B989" s="80" t="s">
        <v>58</v>
      </c>
      <c r="C989" s="81" t="s">
        <v>59</v>
      </c>
      <c r="D989" s="74" t="s">
        <v>51</v>
      </c>
      <c r="E989" s="78">
        <v>0.3826</v>
      </c>
      <c r="F989" s="64">
        <f>TRUNC(29.57,2)</f>
        <v>29.57</v>
      </c>
      <c r="G989" s="64">
        <f t="shared" si="49"/>
        <v>11.31</v>
      </c>
      <c r="H989" s="64"/>
      <c r="I989" s="78"/>
    </row>
    <row r="990" spans="1:9" ht="15">
      <c r="A990" s="74"/>
      <c r="B990" s="80"/>
      <c r="C990" s="81"/>
      <c r="D990" s="74"/>
      <c r="E990" s="78" t="s">
        <v>33</v>
      </c>
      <c r="F990" s="64"/>
      <c r="G990" s="64">
        <f>TRUNC(SUM(G984:G989),2)</f>
        <v>666.79</v>
      </c>
      <c r="H990" s="64"/>
      <c r="I990" s="78"/>
    </row>
    <row r="991" spans="1:9" ht="120">
      <c r="A991" s="68" t="s">
        <v>2044</v>
      </c>
      <c r="B991" s="98" t="s">
        <v>2045</v>
      </c>
      <c r="C991" s="23" t="s">
        <v>2093</v>
      </c>
      <c r="D991" s="68" t="s">
        <v>17</v>
      </c>
      <c r="E991" s="24">
        <v>1.8</v>
      </c>
      <c r="F991" s="24">
        <f>TRUNC(F992,2)</f>
        <v>1183.93</v>
      </c>
      <c r="G991" s="24">
        <f>TRUNC(F991*1.2882,2)</f>
        <v>1525.13</v>
      </c>
      <c r="H991" s="24">
        <f>TRUNC(F991*E991,2)</f>
        <v>2131.0700000000002</v>
      </c>
      <c r="I991" s="24">
        <f>TRUNC(E991*G991,2)</f>
        <v>2745.23</v>
      </c>
    </row>
    <row r="992" spans="1:9" ht="90">
      <c r="A992" s="74"/>
      <c r="B992" s="80" t="s">
        <v>2045</v>
      </c>
      <c r="C992" s="81" t="s">
        <v>2046</v>
      </c>
      <c r="D992" s="74" t="s">
        <v>17</v>
      </c>
      <c r="E992" s="78">
        <v>1</v>
      </c>
      <c r="F992" s="64">
        <f>G998</f>
        <v>1183.93</v>
      </c>
      <c r="G992" s="64">
        <f t="shared" ref="G992:G997" si="50">TRUNC(E992*F992,2)</f>
        <v>1183.93</v>
      </c>
      <c r="H992" s="64"/>
      <c r="I992" s="78"/>
    </row>
    <row r="993" spans="1:9" ht="30">
      <c r="A993" s="74"/>
      <c r="B993" s="80" t="s">
        <v>2047</v>
      </c>
      <c r="C993" s="81" t="s">
        <v>2048</v>
      </c>
      <c r="D993" s="74" t="s">
        <v>46</v>
      </c>
      <c r="E993" s="78">
        <v>12.19</v>
      </c>
      <c r="F993" s="64">
        <f>TRUNC(17.5517,2)</f>
        <v>17.55</v>
      </c>
      <c r="G993" s="64">
        <f t="shared" si="50"/>
        <v>213.93</v>
      </c>
      <c r="H993" s="64"/>
      <c r="I993" s="78"/>
    </row>
    <row r="994" spans="1:9" ht="15">
      <c r="A994" s="74"/>
      <c r="B994" s="80" t="s">
        <v>454</v>
      </c>
      <c r="C994" s="81" t="s">
        <v>455</v>
      </c>
      <c r="D994" s="74" t="s">
        <v>17</v>
      </c>
      <c r="E994" s="78">
        <v>1</v>
      </c>
      <c r="F994" s="64">
        <f>TRUNC(94.5123,2)</f>
        <v>94.51</v>
      </c>
      <c r="G994" s="64">
        <f t="shared" si="50"/>
        <v>94.51</v>
      </c>
      <c r="H994" s="64"/>
      <c r="I994" s="78"/>
    </row>
    <row r="995" spans="1:9" ht="30">
      <c r="A995" s="74"/>
      <c r="B995" s="80" t="s">
        <v>396</v>
      </c>
      <c r="C995" s="81" t="s">
        <v>397</v>
      </c>
      <c r="D995" s="74" t="s">
        <v>46</v>
      </c>
      <c r="E995" s="78">
        <v>19.779999999999998</v>
      </c>
      <c r="F995" s="64">
        <f>TRUNC(10.8,2)</f>
        <v>10.8</v>
      </c>
      <c r="G995" s="64">
        <f t="shared" si="50"/>
        <v>213.62</v>
      </c>
      <c r="H995" s="64"/>
      <c r="I995" s="78"/>
    </row>
    <row r="996" spans="1:9" ht="30">
      <c r="A996" s="74"/>
      <c r="B996" s="80" t="s">
        <v>49</v>
      </c>
      <c r="C996" s="81" t="s">
        <v>50</v>
      </c>
      <c r="D996" s="74" t="s">
        <v>51</v>
      </c>
      <c r="E996" s="78">
        <v>17.510000000000002</v>
      </c>
      <c r="F996" s="64">
        <f>TRUNC(15.2,2)</f>
        <v>15.2</v>
      </c>
      <c r="G996" s="64">
        <f t="shared" si="50"/>
        <v>266.14999999999998</v>
      </c>
      <c r="H996" s="64"/>
      <c r="I996" s="78"/>
    </row>
    <row r="997" spans="1:9" ht="30">
      <c r="A997" s="74"/>
      <c r="B997" s="80" t="s">
        <v>374</v>
      </c>
      <c r="C997" s="81" t="s">
        <v>375</v>
      </c>
      <c r="D997" s="74" t="s">
        <v>51</v>
      </c>
      <c r="E997" s="78">
        <v>17.510000000000002</v>
      </c>
      <c r="F997" s="64">
        <f>TRUNC(22.6,2)</f>
        <v>22.6</v>
      </c>
      <c r="G997" s="64">
        <f t="shared" si="50"/>
        <v>395.72</v>
      </c>
      <c r="H997" s="64"/>
      <c r="I997" s="78"/>
    </row>
    <row r="998" spans="1:9" ht="15">
      <c r="A998" s="74"/>
      <c r="B998" s="80"/>
      <c r="C998" s="81"/>
      <c r="D998" s="74"/>
      <c r="E998" s="78" t="s">
        <v>33</v>
      </c>
      <c r="F998" s="64"/>
      <c r="G998" s="64">
        <f>TRUNC(SUM(G993:G997),2)</f>
        <v>1183.93</v>
      </c>
      <c r="H998" s="64"/>
      <c r="I998" s="78"/>
    </row>
    <row r="999" spans="1:9" ht="90">
      <c r="A999" s="68" t="s">
        <v>2079</v>
      </c>
      <c r="B999" s="98" t="s">
        <v>2080</v>
      </c>
      <c r="C999" s="23" t="s">
        <v>2081</v>
      </c>
      <c r="D999" s="68" t="s">
        <v>379</v>
      </c>
      <c r="E999" s="24">
        <v>1</v>
      </c>
      <c r="F999" s="24">
        <f>TRUNC(G1000+G1005,2)</f>
        <v>4980.9399999999996</v>
      </c>
      <c r="G999" s="24">
        <f>TRUNC(F999*1.2882,2)</f>
        <v>6416.44</v>
      </c>
      <c r="H999" s="24">
        <f>TRUNC(F999*E999,2)</f>
        <v>4980.9399999999996</v>
      </c>
      <c r="I999" s="24">
        <f>TRUNC(E999*G999,2)</f>
        <v>6416.44</v>
      </c>
    </row>
    <row r="1000" spans="1:9" ht="30">
      <c r="A1000" s="74"/>
      <c r="B1000" s="80" t="s">
        <v>370</v>
      </c>
      <c r="C1000" s="81" t="s">
        <v>371</v>
      </c>
      <c r="D1000" s="74" t="s">
        <v>17</v>
      </c>
      <c r="E1000" s="78">
        <f>1.7*2.1</f>
        <v>3.57</v>
      </c>
      <c r="F1000" s="64">
        <f>G1004</f>
        <v>1235.1099999999999</v>
      </c>
      <c r="G1000" s="260">
        <f>TRUNC(E1000*F1000,2)</f>
        <v>4409.34</v>
      </c>
      <c r="H1000" s="64"/>
      <c r="I1000" s="78"/>
    </row>
    <row r="1001" spans="1:9" ht="15">
      <c r="A1001" s="74"/>
      <c r="B1001" s="80" t="s">
        <v>372</v>
      </c>
      <c r="C1001" s="81" t="s">
        <v>373</v>
      </c>
      <c r="D1001" s="74" t="s">
        <v>46</v>
      </c>
      <c r="E1001" s="78">
        <v>34.75</v>
      </c>
      <c r="F1001" s="64">
        <v>34.5</v>
      </c>
      <c r="G1001" s="64">
        <f>TRUNC(E1001*F1001,2)</f>
        <v>1198.8699999999999</v>
      </c>
      <c r="H1001" s="64"/>
      <c r="I1001" s="78"/>
    </row>
    <row r="1002" spans="1:9" ht="30">
      <c r="A1002" s="74"/>
      <c r="B1002" s="80" t="s">
        <v>49</v>
      </c>
      <c r="C1002" s="81" t="s">
        <v>50</v>
      </c>
      <c r="D1002" s="74" t="s">
        <v>51</v>
      </c>
      <c r="E1002" s="78">
        <v>0.6</v>
      </c>
      <c r="F1002" s="64">
        <f>TRUNC(15.2,2)</f>
        <v>15.2</v>
      </c>
      <c r="G1002" s="64">
        <f>TRUNC(E1002*F1002,2)</f>
        <v>9.1199999999999992</v>
      </c>
      <c r="H1002" s="64"/>
      <c r="I1002" s="78"/>
    </row>
    <row r="1003" spans="1:9" ht="30">
      <c r="A1003" s="74"/>
      <c r="B1003" s="80" t="s">
        <v>374</v>
      </c>
      <c r="C1003" s="81" t="s">
        <v>375</v>
      </c>
      <c r="D1003" s="74" t="s">
        <v>51</v>
      </c>
      <c r="E1003" s="78">
        <v>1.2</v>
      </c>
      <c r="F1003" s="64">
        <f>TRUNC(22.6,2)</f>
        <v>22.6</v>
      </c>
      <c r="G1003" s="64">
        <f>TRUNC(E1003*F1003,2)</f>
        <v>27.12</v>
      </c>
      <c r="H1003" s="64"/>
      <c r="I1003" s="78"/>
    </row>
    <row r="1004" spans="1:9" ht="15">
      <c r="A1004" s="74"/>
      <c r="B1004" s="80"/>
      <c r="C1004" s="81"/>
      <c r="D1004" s="74"/>
      <c r="E1004" s="78" t="s">
        <v>33</v>
      </c>
      <c r="F1004" s="64"/>
      <c r="G1004" s="64">
        <f>TRUNC(SUM(G1001:G1003),2)</f>
        <v>1235.1099999999999</v>
      </c>
      <c r="H1004" s="64"/>
      <c r="I1004" s="78"/>
    </row>
    <row r="1005" spans="1:9" ht="45">
      <c r="A1005" s="74"/>
      <c r="B1005" s="80" t="s">
        <v>377</v>
      </c>
      <c r="C1005" s="81" t="s">
        <v>378</v>
      </c>
      <c r="D1005" s="74" t="s">
        <v>17</v>
      </c>
      <c r="E1005" s="78">
        <f>0.4*1.7</f>
        <v>0.68</v>
      </c>
      <c r="F1005" s="64">
        <f>G1009</f>
        <v>840.6</v>
      </c>
      <c r="G1005" s="260">
        <f>TRUNC(E1005*F1005,2)</f>
        <v>571.6</v>
      </c>
      <c r="H1005" s="64"/>
      <c r="I1005" s="78"/>
    </row>
    <row r="1006" spans="1:9" ht="15">
      <c r="A1006" s="74"/>
      <c r="B1006" s="80" t="s">
        <v>372</v>
      </c>
      <c r="C1006" s="81" t="s">
        <v>373</v>
      </c>
      <c r="D1006" s="74" t="s">
        <v>46</v>
      </c>
      <c r="E1006" s="78">
        <v>23.490000000000002</v>
      </c>
      <c r="F1006" s="64">
        <v>34.5</v>
      </c>
      <c r="G1006" s="64">
        <f>TRUNC(E1006*F1006,2)</f>
        <v>810.4</v>
      </c>
      <c r="H1006" s="64"/>
      <c r="I1006" s="78"/>
    </row>
    <row r="1007" spans="1:9" ht="30">
      <c r="A1007" s="74"/>
      <c r="B1007" s="80" t="s">
        <v>49</v>
      </c>
      <c r="C1007" s="81" t="s">
        <v>50</v>
      </c>
      <c r="D1007" s="74" t="s">
        <v>51</v>
      </c>
      <c r="E1007" s="78">
        <v>0.5</v>
      </c>
      <c r="F1007" s="64">
        <f>TRUNC(15.2,2)</f>
        <v>15.2</v>
      </c>
      <c r="G1007" s="64">
        <f>TRUNC(E1007*F1007,2)</f>
        <v>7.6</v>
      </c>
      <c r="H1007" s="64"/>
      <c r="I1007" s="78"/>
    </row>
    <row r="1008" spans="1:9" ht="30">
      <c r="A1008" s="74"/>
      <c r="B1008" s="80" t="s">
        <v>374</v>
      </c>
      <c r="C1008" s="81" t="s">
        <v>375</v>
      </c>
      <c r="D1008" s="74" t="s">
        <v>51</v>
      </c>
      <c r="E1008" s="78">
        <v>1</v>
      </c>
      <c r="F1008" s="64">
        <f>TRUNC(22.6,2)</f>
        <v>22.6</v>
      </c>
      <c r="G1008" s="64">
        <f>TRUNC(E1008*F1008,2)</f>
        <v>22.6</v>
      </c>
      <c r="H1008" s="64"/>
      <c r="I1008" s="78"/>
    </row>
    <row r="1009" spans="1:9" ht="15">
      <c r="A1009" s="74"/>
      <c r="B1009" s="80"/>
      <c r="C1009" s="81"/>
      <c r="D1009" s="74"/>
      <c r="E1009" s="78" t="s">
        <v>33</v>
      </c>
      <c r="F1009" s="64"/>
      <c r="G1009" s="64">
        <f>TRUNC(SUM(G1006:G1008),2)</f>
        <v>840.6</v>
      </c>
      <c r="H1009" s="64"/>
      <c r="I1009" s="78"/>
    </row>
    <row r="1010" spans="1:9" s="169" customFormat="1" ht="15.75">
      <c r="A1010" s="240" t="s">
        <v>18</v>
      </c>
      <c r="B1010" s="241"/>
      <c r="C1010" s="242"/>
      <c r="D1010" s="240"/>
      <c r="E1010" s="243"/>
      <c r="F1010" s="244"/>
      <c r="G1010" s="335" t="s">
        <v>421</v>
      </c>
      <c r="H1010" s="336"/>
      <c r="I1010" s="244">
        <f>I655+I672+I689+I699+I709+I715+I726+I737+I742+I749+I761+I773+I785+I797+I809+I821+I833+I845+I857+I869+I880+I890+I900+I908+I916+I925+I931+I937+I943+I949+I955+I961+I972+I982+I991+I999</f>
        <v>237417.64000000004</v>
      </c>
    </row>
    <row r="1011" spans="1:9" ht="14.25" customHeight="1">
      <c r="A1011" s="53" t="s">
        <v>24</v>
      </c>
      <c r="B1011" s="54"/>
      <c r="C1011" s="334" t="s">
        <v>422</v>
      </c>
      <c r="D1011" s="334"/>
      <c r="E1011" s="334"/>
      <c r="F1011" s="334"/>
      <c r="G1011" s="334"/>
      <c r="H1011" s="334"/>
      <c r="I1011" s="334"/>
    </row>
    <row r="1012" spans="1:9" ht="45">
      <c r="A1012" s="68" t="s">
        <v>423</v>
      </c>
      <c r="B1012" s="98" t="s">
        <v>433</v>
      </c>
      <c r="C1012" s="23" t="s">
        <v>1895</v>
      </c>
      <c r="D1012" s="68" t="s">
        <v>23</v>
      </c>
      <c r="E1012" s="24">
        <v>8.85</v>
      </c>
      <c r="F1012" s="24">
        <f>TRUNC(F1013,2)</f>
        <v>217.61</v>
      </c>
      <c r="G1012" s="24">
        <f>TRUNC(F1012*1.2882,2)</f>
        <v>280.32</v>
      </c>
      <c r="H1012" s="24">
        <f>TRUNC(F1012*E1012,2)</f>
        <v>1925.84</v>
      </c>
      <c r="I1012" s="24">
        <f>TRUNC(E1012*G1012,2)</f>
        <v>2480.83</v>
      </c>
    </row>
    <row r="1013" spans="1:9" ht="45">
      <c r="A1013" s="74"/>
      <c r="B1013" s="80" t="s">
        <v>424</v>
      </c>
      <c r="C1013" s="81" t="s">
        <v>425</v>
      </c>
      <c r="D1013" s="74" t="s">
        <v>23</v>
      </c>
      <c r="E1013" s="78">
        <v>1</v>
      </c>
      <c r="F1013" s="64">
        <f>G1020</f>
        <v>217.61</v>
      </c>
      <c r="G1013" s="64">
        <f t="shared" ref="G1013:G1019" si="51">TRUNC(E1013*F1013,2)</f>
        <v>217.61</v>
      </c>
      <c r="H1013" s="64"/>
      <c r="I1013" s="78"/>
    </row>
    <row r="1014" spans="1:9" ht="30">
      <c r="A1014" s="74"/>
      <c r="B1014" s="80" t="s">
        <v>426</v>
      </c>
      <c r="C1014" s="81" t="s">
        <v>427</v>
      </c>
      <c r="D1014" s="74" t="s">
        <v>23</v>
      </c>
      <c r="E1014" s="78">
        <v>1</v>
      </c>
      <c r="F1014" s="64">
        <v>186.95</v>
      </c>
      <c r="G1014" s="64">
        <f t="shared" si="51"/>
        <v>186.95</v>
      </c>
      <c r="H1014" s="64"/>
      <c r="I1014" s="78"/>
    </row>
    <row r="1015" spans="1:9" ht="30">
      <c r="A1015" s="74"/>
      <c r="B1015" s="80" t="s">
        <v>49</v>
      </c>
      <c r="C1015" s="81" t="s">
        <v>50</v>
      </c>
      <c r="D1015" s="74" t="s">
        <v>51</v>
      </c>
      <c r="E1015" s="78">
        <v>0.43259999999999998</v>
      </c>
      <c r="F1015" s="64">
        <v>15.2</v>
      </c>
      <c r="G1015" s="64">
        <f t="shared" si="51"/>
        <v>6.57</v>
      </c>
      <c r="H1015" s="64"/>
      <c r="I1015" s="78"/>
    </row>
    <row r="1016" spans="1:9" ht="15">
      <c r="A1016" s="74"/>
      <c r="B1016" s="80" t="s">
        <v>76</v>
      </c>
      <c r="C1016" s="81" t="s">
        <v>77</v>
      </c>
      <c r="D1016" s="74" t="s">
        <v>51</v>
      </c>
      <c r="E1016" s="78">
        <v>0.43259999999999998</v>
      </c>
      <c r="F1016" s="64">
        <v>21</v>
      </c>
      <c r="G1016" s="64">
        <f t="shared" si="51"/>
        <v>9.08</v>
      </c>
      <c r="H1016" s="64"/>
      <c r="I1016" s="78"/>
    </row>
    <row r="1017" spans="1:9" s="169" customFormat="1" ht="15.75">
      <c r="A1017" s="256"/>
      <c r="B1017" s="257" t="s">
        <v>1896</v>
      </c>
      <c r="C1017" s="258" t="s">
        <v>1897</v>
      </c>
      <c r="D1017" s="256" t="s">
        <v>23</v>
      </c>
      <c r="E1017" s="259">
        <v>0.5</v>
      </c>
      <c r="F1017" s="260">
        <v>30.031400000000001</v>
      </c>
      <c r="G1017" s="260">
        <f>TRUNC(E1017*F1017,2)</f>
        <v>15.01</v>
      </c>
      <c r="H1017" s="260"/>
      <c r="I1017" s="259"/>
    </row>
    <row r="1018" spans="1:9" s="169" customFormat="1" ht="15.75">
      <c r="A1018" s="256"/>
      <c r="B1018" s="257" t="s">
        <v>428</v>
      </c>
      <c r="C1018" s="258" t="s">
        <v>429</v>
      </c>
      <c r="D1018" s="256" t="s">
        <v>17</v>
      </c>
      <c r="E1018" s="259"/>
      <c r="F1018" s="260">
        <v>57.034500000000001</v>
      </c>
      <c r="G1018" s="260">
        <f t="shared" si="51"/>
        <v>0</v>
      </c>
      <c r="H1018" s="260"/>
      <c r="I1018" s="259"/>
    </row>
    <row r="1019" spans="1:9" s="169" customFormat="1" ht="15.75">
      <c r="A1019" s="256"/>
      <c r="B1019" s="257" t="s">
        <v>430</v>
      </c>
      <c r="C1019" s="258" t="s">
        <v>431</v>
      </c>
      <c r="D1019" s="256" t="s">
        <v>55</v>
      </c>
      <c r="E1019" s="259"/>
      <c r="F1019" s="260">
        <v>2256.2469000000001</v>
      </c>
      <c r="G1019" s="260">
        <f t="shared" si="51"/>
        <v>0</v>
      </c>
      <c r="H1019" s="260"/>
      <c r="I1019" s="259"/>
    </row>
    <row r="1020" spans="1:9" ht="15">
      <c r="A1020" s="74"/>
      <c r="B1020" s="80"/>
      <c r="C1020" s="81"/>
      <c r="D1020" s="74"/>
      <c r="E1020" s="78" t="s">
        <v>33</v>
      </c>
      <c r="F1020" s="64"/>
      <c r="G1020" s="64">
        <f>TRUNC(SUM(G1014:G1019),2)</f>
        <v>217.61</v>
      </c>
      <c r="H1020" s="64"/>
      <c r="I1020" s="78"/>
    </row>
    <row r="1021" spans="1:9" ht="45">
      <c r="A1021" s="68" t="s">
        <v>432</v>
      </c>
      <c r="B1021" s="98" t="s">
        <v>433</v>
      </c>
      <c r="C1021" s="23" t="s">
        <v>1894</v>
      </c>
      <c r="D1021" s="68" t="s">
        <v>23</v>
      </c>
      <c r="E1021" s="24">
        <v>6</v>
      </c>
      <c r="F1021" s="24">
        <f>TRUNC(F1022,2)</f>
        <v>217.61</v>
      </c>
      <c r="G1021" s="24">
        <f>TRUNC(F1021*1.2882,2)</f>
        <v>280.32</v>
      </c>
      <c r="H1021" s="24">
        <f>TRUNC(F1021*E1021,2)</f>
        <v>1305.6600000000001</v>
      </c>
      <c r="I1021" s="24">
        <f>TRUNC(E1021*G1021,2)</f>
        <v>1681.92</v>
      </c>
    </row>
    <row r="1022" spans="1:9" ht="45">
      <c r="A1022" s="74"/>
      <c r="B1022" s="80" t="s">
        <v>424</v>
      </c>
      <c r="C1022" s="81" t="s">
        <v>425</v>
      </c>
      <c r="D1022" s="74" t="s">
        <v>23</v>
      </c>
      <c r="E1022" s="78">
        <v>1</v>
      </c>
      <c r="F1022" s="64">
        <f>G1029</f>
        <v>217.61</v>
      </c>
      <c r="G1022" s="64">
        <f t="shared" ref="G1022:G1028" si="52">TRUNC(E1022*F1022,2)</f>
        <v>217.61</v>
      </c>
      <c r="H1022" s="64"/>
      <c r="I1022" s="78"/>
    </row>
    <row r="1023" spans="1:9" ht="30">
      <c r="A1023" s="74"/>
      <c r="B1023" s="80" t="s">
        <v>426</v>
      </c>
      <c r="C1023" s="81" t="s">
        <v>427</v>
      </c>
      <c r="D1023" s="74" t="s">
        <v>23</v>
      </c>
      <c r="E1023" s="78">
        <v>1</v>
      </c>
      <c r="F1023" s="64">
        <v>186.95</v>
      </c>
      <c r="G1023" s="64">
        <f t="shared" si="52"/>
        <v>186.95</v>
      </c>
      <c r="H1023" s="64"/>
      <c r="I1023" s="78"/>
    </row>
    <row r="1024" spans="1:9" ht="30">
      <c r="A1024" s="74"/>
      <c r="B1024" s="80" t="s">
        <v>49</v>
      </c>
      <c r="C1024" s="81" t="s">
        <v>50</v>
      </c>
      <c r="D1024" s="74" t="s">
        <v>51</v>
      </c>
      <c r="E1024" s="78">
        <v>0.43259999999999998</v>
      </c>
      <c r="F1024" s="64">
        <v>15.2</v>
      </c>
      <c r="G1024" s="64">
        <f t="shared" si="52"/>
        <v>6.57</v>
      </c>
      <c r="H1024" s="64"/>
      <c r="I1024" s="78"/>
    </row>
    <row r="1025" spans="1:9" ht="15">
      <c r="A1025" s="74"/>
      <c r="B1025" s="80" t="s">
        <v>76</v>
      </c>
      <c r="C1025" s="81" t="s">
        <v>77</v>
      </c>
      <c r="D1025" s="74" t="s">
        <v>51</v>
      </c>
      <c r="E1025" s="78">
        <v>0.43259999999999998</v>
      </c>
      <c r="F1025" s="64">
        <v>21</v>
      </c>
      <c r="G1025" s="64">
        <f t="shared" si="52"/>
        <v>9.08</v>
      </c>
      <c r="H1025" s="64"/>
      <c r="I1025" s="78"/>
    </row>
    <row r="1026" spans="1:9" s="169" customFormat="1" ht="15.75">
      <c r="A1026" s="256"/>
      <c r="B1026" s="257" t="s">
        <v>1896</v>
      </c>
      <c r="C1026" s="258" t="s">
        <v>1897</v>
      </c>
      <c r="D1026" s="256" t="s">
        <v>23</v>
      </c>
      <c r="E1026" s="259">
        <v>0.5</v>
      </c>
      <c r="F1026" s="260">
        <v>30.031400000000001</v>
      </c>
      <c r="G1026" s="260">
        <f>TRUNC(E1026*F1026,2)</f>
        <v>15.01</v>
      </c>
      <c r="H1026" s="260"/>
      <c r="I1026" s="259"/>
    </row>
    <row r="1027" spans="1:9" s="169" customFormat="1" ht="15.75">
      <c r="A1027" s="256"/>
      <c r="B1027" s="257" t="s">
        <v>428</v>
      </c>
      <c r="C1027" s="258" t="s">
        <v>429</v>
      </c>
      <c r="D1027" s="256" t="s">
        <v>17</v>
      </c>
      <c r="E1027" s="259"/>
      <c r="F1027" s="260">
        <v>57.034500000000001</v>
      </c>
      <c r="G1027" s="260">
        <f t="shared" si="52"/>
        <v>0</v>
      </c>
      <c r="H1027" s="260"/>
      <c r="I1027" s="259"/>
    </row>
    <row r="1028" spans="1:9" s="169" customFormat="1" ht="15.75">
      <c r="A1028" s="256"/>
      <c r="B1028" s="257" t="s">
        <v>430</v>
      </c>
      <c r="C1028" s="258" t="s">
        <v>431</v>
      </c>
      <c r="D1028" s="256" t="s">
        <v>55</v>
      </c>
      <c r="E1028" s="259"/>
      <c r="F1028" s="260">
        <v>2256.2469000000001</v>
      </c>
      <c r="G1028" s="260">
        <f t="shared" si="52"/>
        <v>0</v>
      </c>
      <c r="H1028" s="260"/>
      <c r="I1028" s="259"/>
    </row>
    <row r="1029" spans="1:9" ht="15">
      <c r="A1029" s="74"/>
      <c r="B1029" s="80"/>
      <c r="C1029" s="81"/>
      <c r="D1029" s="74"/>
      <c r="E1029" s="78" t="s">
        <v>33</v>
      </c>
      <c r="F1029" s="64"/>
      <c r="G1029" s="64">
        <f>TRUNC(SUM(G1023:G1028),2)</f>
        <v>217.61</v>
      </c>
      <c r="H1029" s="64"/>
      <c r="I1029" s="78"/>
    </row>
    <row r="1030" spans="1:9" ht="60">
      <c r="A1030" s="68" t="s">
        <v>434</v>
      </c>
      <c r="B1030" s="98" t="s">
        <v>435</v>
      </c>
      <c r="C1030" s="23" t="s">
        <v>1753</v>
      </c>
      <c r="D1030" s="68" t="s">
        <v>17</v>
      </c>
      <c r="E1030" s="24">
        <v>30.8</v>
      </c>
      <c r="F1030" s="24">
        <f>TRUNC(F1031,2)</f>
        <v>493.88</v>
      </c>
      <c r="G1030" s="24">
        <f>TRUNC(F1030*1.2882,2)</f>
        <v>636.21</v>
      </c>
      <c r="H1030" s="24">
        <f>TRUNC(F1030*E1030,2)</f>
        <v>15211.5</v>
      </c>
      <c r="I1030" s="24">
        <f>TRUNC(E1030*G1030,2)</f>
        <v>19595.259999999998</v>
      </c>
    </row>
    <row r="1031" spans="1:9" ht="60">
      <c r="A1031" s="74"/>
      <c r="B1031" s="80" t="s">
        <v>435</v>
      </c>
      <c r="C1031" s="81" t="s">
        <v>436</v>
      </c>
      <c r="D1031" s="74" t="s">
        <v>17</v>
      </c>
      <c r="E1031" s="78">
        <v>1</v>
      </c>
      <c r="F1031" s="64">
        <f>G1035</f>
        <v>493.88</v>
      </c>
      <c r="G1031" s="64">
        <f>TRUNC(E1031*F1031,2)</f>
        <v>493.88</v>
      </c>
      <c r="H1031" s="64"/>
      <c r="I1031" s="78"/>
    </row>
    <row r="1032" spans="1:9" ht="15">
      <c r="A1032" s="74"/>
      <c r="B1032" s="80" t="s">
        <v>437</v>
      </c>
      <c r="C1032" s="81" t="s">
        <v>438</v>
      </c>
      <c r="D1032" s="74" t="s">
        <v>17</v>
      </c>
      <c r="E1032" s="78">
        <v>1</v>
      </c>
      <c r="F1032" s="64">
        <v>388</v>
      </c>
      <c r="G1032" s="64">
        <f>TRUNC(E1032*F1032,2)</f>
        <v>388</v>
      </c>
      <c r="H1032" s="64"/>
      <c r="I1032" s="78"/>
    </row>
    <row r="1033" spans="1:9" ht="30">
      <c r="A1033" s="74"/>
      <c r="B1033" s="80" t="s">
        <v>49</v>
      </c>
      <c r="C1033" s="81" t="s">
        <v>50</v>
      </c>
      <c r="D1033" s="74" t="s">
        <v>51</v>
      </c>
      <c r="E1033" s="78">
        <v>4.12</v>
      </c>
      <c r="F1033" s="64">
        <f>TRUNC(15.2,2)</f>
        <v>15.2</v>
      </c>
      <c r="G1033" s="64">
        <f>TRUNC(E1033*F1033,2)</f>
        <v>62.62</v>
      </c>
      <c r="H1033" s="64"/>
      <c r="I1033" s="78"/>
    </row>
    <row r="1034" spans="1:9" ht="15">
      <c r="A1034" s="74"/>
      <c r="B1034" s="80" t="s">
        <v>76</v>
      </c>
      <c r="C1034" s="81" t="s">
        <v>77</v>
      </c>
      <c r="D1034" s="74" t="s">
        <v>51</v>
      </c>
      <c r="E1034" s="78">
        <v>2.06</v>
      </c>
      <c r="F1034" s="64">
        <f>TRUNC(21,2)</f>
        <v>21</v>
      </c>
      <c r="G1034" s="64">
        <f>TRUNC(E1034*F1034,2)</f>
        <v>43.26</v>
      </c>
      <c r="H1034" s="64"/>
      <c r="I1034" s="78"/>
    </row>
    <row r="1035" spans="1:9" ht="15">
      <c r="A1035" s="74"/>
      <c r="B1035" s="80"/>
      <c r="C1035" s="81"/>
      <c r="D1035" s="74"/>
      <c r="E1035" s="78" t="s">
        <v>33</v>
      </c>
      <c r="F1035" s="64"/>
      <c r="G1035" s="64">
        <f>TRUNC(SUM(G1032:G1034),2)</f>
        <v>493.88</v>
      </c>
      <c r="H1035" s="64"/>
      <c r="I1035" s="78"/>
    </row>
    <row r="1036" spans="1:9" ht="75">
      <c r="A1036" s="68" t="s">
        <v>439</v>
      </c>
      <c r="B1036" s="98" t="s">
        <v>440</v>
      </c>
      <c r="C1036" s="23" t="s">
        <v>1754</v>
      </c>
      <c r="D1036" s="68" t="s">
        <v>7</v>
      </c>
      <c r="E1036" s="24">
        <v>17</v>
      </c>
      <c r="F1036" s="24">
        <f>TRUNC(F1037,2)</f>
        <v>219.08</v>
      </c>
      <c r="G1036" s="24">
        <f>TRUNC(F1036*1.2882,2)</f>
        <v>282.20999999999998</v>
      </c>
      <c r="H1036" s="24">
        <f>TRUNC(F1036*E1036,2)</f>
        <v>3724.36</v>
      </c>
      <c r="I1036" s="24">
        <f>TRUNC(E1036*G1036,2)</f>
        <v>4797.57</v>
      </c>
    </row>
    <row r="1037" spans="1:9" ht="75">
      <c r="A1037" s="74"/>
      <c r="B1037" s="80" t="s">
        <v>440</v>
      </c>
      <c r="C1037" s="81" t="s">
        <v>441</v>
      </c>
      <c r="D1037" s="74" t="s">
        <v>7</v>
      </c>
      <c r="E1037" s="78">
        <v>1</v>
      </c>
      <c r="F1037" s="64">
        <f>TRUNC(219.08,2)</f>
        <v>219.08</v>
      </c>
      <c r="G1037" s="64">
        <f>TRUNC(E1037*F1037,2)</f>
        <v>219.08</v>
      </c>
      <c r="H1037" s="64"/>
      <c r="I1037" s="78"/>
    </row>
    <row r="1038" spans="1:9" ht="30">
      <c r="A1038" s="74"/>
      <c r="B1038" s="80" t="s">
        <v>442</v>
      </c>
      <c r="C1038" s="81" t="s">
        <v>443</v>
      </c>
      <c r="D1038" s="74" t="s">
        <v>7</v>
      </c>
      <c r="E1038" s="78">
        <v>12</v>
      </c>
      <c r="F1038" s="64">
        <v>9.27</v>
      </c>
      <c r="G1038" s="64">
        <f>TRUNC(E1038*F1038,2)</f>
        <v>111.24</v>
      </c>
      <c r="H1038" s="64"/>
      <c r="I1038" s="78"/>
    </row>
    <row r="1039" spans="1:9" ht="15">
      <c r="A1039" s="74"/>
      <c r="B1039" s="80" t="s">
        <v>444</v>
      </c>
      <c r="C1039" s="81" t="s">
        <v>445</v>
      </c>
      <c r="D1039" s="74" t="s">
        <v>7</v>
      </c>
      <c r="E1039" s="78">
        <v>4</v>
      </c>
      <c r="F1039" s="64">
        <v>26.96</v>
      </c>
      <c r="G1039" s="64">
        <f>TRUNC(E1039*F1039,2)</f>
        <v>107.84</v>
      </c>
      <c r="H1039" s="64"/>
      <c r="I1039" s="78"/>
    </row>
    <row r="1040" spans="1:9" ht="15">
      <c r="A1040" s="74"/>
      <c r="B1040" s="80"/>
      <c r="C1040" s="81"/>
      <c r="D1040" s="74"/>
      <c r="E1040" s="78" t="s">
        <v>33</v>
      </c>
      <c r="F1040" s="64"/>
      <c r="G1040" s="64">
        <f>TRUNC(SUM(G1038:G1039),2)</f>
        <v>219.08</v>
      </c>
      <c r="H1040" s="64"/>
      <c r="I1040" s="78"/>
    </row>
    <row r="1041" spans="1:9" ht="36">
      <c r="A1041" s="68" t="s">
        <v>446</v>
      </c>
      <c r="B1041" s="98" t="s">
        <v>1755</v>
      </c>
      <c r="C1041" s="23" t="s">
        <v>1950</v>
      </c>
      <c r="D1041" s="68" t="s">
        <v>23</v>
      </c>
      <c r="E1041" s="24">
        <v>28</v>
      </c>
      <c r="F1041" s="24">
        <f>TRUNC(F1042,2)</f>
        <v>98.05</v>
      </c>
      <c r="G1041" s="24">
        <f>TRUNC(F1041*1.2882,2)</f>
        <v>126.3</v>
      </c>
      <c r="H1041" s="24">
        <f>TRUNC(F1041*E1041,2)</f>
        <v>2745.4</v>
      </c>
      <c r="I1041" s="24">
        <f>TRUNC(E1041*G1041,2)</f>
        <v>3536.4</v>
      </c>
    </row>
    <row r="1042" spans="1:9" ht="15">
      <c r="A1042" s="74"/>
      <c r="B1042" s="80" t="s">
        <v>1755</v>
      </c>
      <c r="C1042" s="81" t="s">
        <v>1756</v>
      </c>
      <c r="D1042" s="74" t="s">
        <v>23</v>
      </c>
      <c r="E1042" s="78">
        <v>1</v>
      </c>
      <c r="F1042" s="64">
        <f>G1049</f>
        <v>98.05</v>
      </c>
      <c r="G1042" s="64">
        <f t="shared" ref="G1042:G1048" si="53">TRUNC(E1042*F1042,2)</f>
        <v>98.05</v>
      </c>
      <c r="H1042" s="64"/>
      <c r="I1042" s="78"/>
    </row>
    <row r="1043" spans="1:9" ht="15">
      <c r="A1043" s="74"/>
      <c r="B1043" s="80" t="s">
        <v>1745</v>
      </c>
      <c r="C1043" s="81" t="s">
        <v>1746</v>
      </c>
      <c r="D1043" s="74" t="s">
        <v>46</v>
      </c>
      <c r="E1043" s="78">
        <v>0.47699999999999998</v>
      </c>
      <c r="F1043" s="64">
        <f>TRUNC(41.11,2)</f>
        <v>41.11</v>
      </c>
      <c r="G1043" s="64">
        <f t="shared" si="53"/>
        <v>19.600000000000001</v>
      </c>
      <c r="H1043" s="64"/>
      <c r="I1043" s="78"/>
    </row>
    <row r="1044" spans="1:9" ht="30">
      <c r="A1044" s="74"/>
      <c r="B1044" s="80" t="s">
        <v>1705</v>
      </c>
      <c r="C1044" s="81" t="s">
        <v>448</v>
      </c>
      <c r="D1044" s="74" t="s">
        <v>7</v>
      </c>
      <c r="E1044" s="78">
        <v>2.1819999999999999</v>
      </c>
      <c r="F1044" s="64">
        <f>TRUNC(0.61,2)</f>
        <v>0.61</v>
      </c>
      <c r="G1044" s="64">
        <f t="shared" si="53"/>
        <v>1.33</v>
      </c>
      <c r="H1044" s="64"/>
      <c r="I1044" s="78"/>
    </row>
    <row r="1045" spans="1:9" ht="15">
      <c r="A1045" s="74"/>
      <c r="B1045" s="80" t="s">
        <v>713</v>
      </c>
      <c r="C1045" s="81" t="s">
        <v>714</v>
      </c>
      <c r="D1045" s="74" t="s">
        <v>46</v>
      </c>
      <c r="E1045" s="78">
        <v>2E-3</v>
      </c>
      <c r="F1045" s="64">
        <f>TRUNC(67.02,2)</f>
        <v>67.02</v>
      </c>
      <c r="G1045" s="64">
        <f t="shared" si="53"/>
        <v>0.13</v>
      </c>
      <c r="H1045" s="64"/>
      <c r="I1045" s="78"/>
    </row>
    <row r="1046" spans="1:9" ht="15">
      <c r="A1046" s="74"/>
      <c r="B1046" s="80" t="s">
        <v>1757</v>
      </c>
      <c r="C1046" s="81" t="s">
        <v>447</v>
      </c>
      <c r="D1046" s="74" t="s">
        <v>7</v>
      </c>
      <c r="E1046" s="78">
        <v>1.091</v>
      </c>
      <c r="F1046" s="64">
        <f>TRUNC(10.47,2)</f>
        <v>10.47</v>
      </c>
      <c r="G1046" s="64">
        <f t="shared" si="53"/>
        <v>11.42</v>
      </c>
      <c r="H1046" s="64"/>
      <c r="I1046" s="78"/>
    </row>
    <row r="1047" spans="1:9" ht="15">
      <c r="A1047" s="74"/>
      <c r="B1047" s="80" t="s">
        <v>1707</v>
      </c>
      <c r="C1047" s="81" t="s">
        <v>449</v>
      </c>
      <c r="D1047" s="74" t="s">
        <v>51</v>
      </c>
      <c r="E1047" s="78">
        <v>1.33</v>
      </c>
      <c r="F1047" s="64">
        <f>TRUNC(29.4,2)</f>
        <v>29.4</v>
      </c>
      <c r="G1047" s="64">
        <f t="shared" si="53"/>
        <v>39.1</v>
      </c>
      <c r="H1047" s="64"/>
      <c r="I1047" s="78"/>
    </row>
    <row r="1048" spans="1:9" ht="15">
      <c r="A1048" s="74"/>
      <c r="B1048" s="80" t="s">
        <v>1708</v>
      </c>
      <c r="C1048" s="81" t="s">
        <v>450</v>
      </c>
      <c r="D1048" s="74" t="s">
        <v>51</v>
      </c>
      <c r="E1048" s="78">
        <v>1.093</v>
      </c>
      <c r="F1048" s="64">
        <f>TRUNC(24.22,2)</f>
        <v>24.22</v>
      </c>
      <c r="G1048" s="64">
        <f t="shared" si="53"/>
        <v>26.47</v>
      </c>
      <c r="H1048" s="64"/>
      <c r="I1048" s="78"/>
    </row>
    <row r="1049" spans="1:9" ht="15">
      <c r="A1049" s="74"/>
      <c r="B1049" s="80"/>
      <c r="C1049" s="81"/>
      <c r="D1049" s="74"/>
      <c r="E1049" s="78" t="s">
        <v>33</v>
      </c>
      <c r="F1049" s="64"/>
      <c r="G1049" s="64">
        <f>TRUNC(SUM(G1043:G1048),2)</f>
        <v>98.05</v>
      </c>
      <c r="H1049" s="64"/>
      <c r="I1049" s="78"/>
    </row>
    <row r="1050" spans="1:9" ht="61.5">
      <c r="A1050" s="68" t="s">
        <v>451</v>
      </c>
      <c r="B1050" s="98" t="s">
        <v>452</v>
      </c>
      <c r="C1050" s="23" t="s">
        <v>2087</v>
      </c>
      <c r="D1050" s="68" t="s">
        <v>17</v>
      </c>
      <c r="E1050" s="24">
        <v>9.66</v>
      </c>
      <c r="F1050" s="24">
        <f>TRUNC(F1051,2)</f>
        <v>582.88</v>
      </c>
      <c r="G1050" s="24">
        <f>TRUNC(F1050*1.2882,2)</f>
        <v>750.86</v>
      </c>
      <c r="H1050" s="24">
        <f>TRUNC(F1050*E1050,2)</f>
        <v>5630.62</v>
      </c>
      <c r="I1050" s="24">
        <f>TRUNC(E1050*G1050,2)</f>
        <v>7253.3</v>
      </c>
    </row>
    <row r="1051" spans="1:9" ht="45">
      <c r="A1051" s="74"/>
      <c r="B1051" s="80" t="s">
        <v>452</v>
      </c>
      <c r="C1051" s="81" t="s">
        <v>453</v>
      </c>
      <c r="D1051" s="74" t="s">
        <v>17</v>
      </c>
      <c r="E1051" s="78">
        <v>1</v>
      </c>
      <c r="F1051" s="64">
        <f>G1057</f>
        <v>582.88</v>
      </c>
      <c r="G1051" s="64">
        <f t="shared" ref="G1051:G1056" si="54">TRUNC(E1051*F1051,2)</f>
        <v>582.88</v>
      </c>
      <c r="H1051" s="64"/>
      <c r="I1051" s="78"/>
    </row>
    <row r="1052" spans="1:9" ht="15">
      <c r="A1052" s="74"/>
      <c r="B1052" s="80" t="s">
        <v>454</v>
      </c>
      <c r="C1052" s="81" t="s">
        <v>455</v>
      </c>
      <c r="D1052" s="74" t="s">
        <v>17</v>
      </c>
      <c r="E1052" s="78">
        <v>0</v>
      </c>
      <c r="F1052" s="64">
        <v>94.512299999999996</v>
      </c>
      <c r="G1052" s="64">
        <f t="shared" si="54"/>
        <v>0</v>
      </c>
      <c r="H1052" s="64"/>
      <c r="I1052" s="78"/>
    </row>
    <row r="1053" spans="1:9" s="169" customFormat="1" ht="15.75">
      <c r="A1053" s="256"/>
      <c r="B1053" s="257" t="s">
        <v>1739</v>
      </c>
      <c r="C1053" s="258" t="s">
        <v>2049</v>
      </c>
      <c r="D1053" s="256" t="s">
        <v>17</v>
      </c>
      <c r="E1053" s="259">
        <v>1.1000000000000001</v>
      </c>
      <c r="F1053" s="260">
        <v>60</v>
      </c>
      <c r="G1053" s="260">
        <f t="shared" si="54"/>
        <v>66</v>
      </c>
      <c r="H1053" s="260"/>
      <c r="I1053" s="259"/>
    </row>
    <row r="1054" spans="1:9" ht="30">
      <c r="A1054" s="74"/>
      <c r="B1054" s="80" t="s">
        <v>396</v>
      </c>
      <c r="C1054" s="81" t="s">
        <v>397</v>
      </c>
      <c r="D1054" s="74" t="s">
        <v>46</v>
      </c>
      <c r="E1054" s="78">
        <v>4.5999999999999996</v>
      </c>
      <c r="F1054" s="64">
        <v>10.8</v>
      </c>
      <c r="G1054" s="64">
        <f t="shared" si="54"/>
        <v>49.68</v>
      </c>
      <c r="H1054" s="64"/>
      <c r="I1054" s="78"/>
    </row>
    <row r="1055" spans="1:9" ht="30">
      <c r="A1055" s="74"/>
      <c r="B1055" s="80" t="s">
        <v>49</v>
      </c>
      <c r="C1055" s="81" t="s">
        <v>50</v>
      </c>
      <c r="D1055" s="74" t="s">
        <v>51</v>
      </c>
      <c r="E1055" s="78">
        <v>12.36</v>
      </c>
      <c r="F1055" s="64">
        <v>15.2</v>
      </c>
      <c r="G1055" s="64">
        <f t="shared" si="54"/>
        <v>187.87</v>
      </c>
      <c r="H1055" s="64"/>
      <c r="I1055" s="78"/>
    </row>
    <row r="1056" spans="1:9" ht="30">
      <c r="A1056" s="74"/>
      <c r="B1056" s="80" t="s">
        <v>374</v>
      </c>
      <c r="C1056" s="81" t="s">
        <v>375</v>
      </c>
      <c r="D1056" s="74" t="s">
        <v>51</v>
      </c>
      <c r="E1056" s="78">
        <v>12.36</v>
      </c>
      <c r="F1056" s="64">
        <v>22.6</v>
      </c>
      <c r="G1056" s="64">
        <f t="shared" si="54"/>
        <v>279.33</v>
      </c>
      <c r="H1056" s="64"/>
      <c r="I1056" s="78"/>
    </row>
    <row r="1057" spans="1:9" ht="15">
      <c r="A1057" s="74"/>
      <c r="B1057" s="80"/>
      <c r="C1057" s="81"/>
      <c r="D1057" s="74"/>
      <c r="E1057" s="78" t="s">
        <v>33</v>
      </c>
      <c r="F1057" s="64"/>
      <c r="G1057" s="64">
        <f>TRUNC(SUM(G1052:G1056),2)</f>
        <v>582.88</v>
      </c>
      <c r="H1057" s="64"/>
      <c r="I1057" s="78"/>
    </row>
    <row r="1058" spans="1:9" ht="61.5">
      <c r="A1058" s="68" t="s">
        <v>456</v>
      </c>
      <c r="B1058" s="98" t="s">
        <v>452</v>
      </c>
      <c r="C1058" s="23" t="s">
        <v>2088</v>
      </c>
      <c r="D1058" s="68" t="s">
        <v>17</v>
      </c>
      <c r="E1058" s="24">
        <v>2</v>
      </c>
      <c r="F1058" s="24">
        <f>TRUNC(F1059,2)</f>
        <v>582.88</v>
      </c>
      <c r="G1058" s="24">
        <f>TRUNC(F1058*1.2882,2)</f>
        <v>750.86</v>
      </c>
      <c r="H1058" s="24">
        <f>TRUNC(F1058*E1058,2)</f>
        <v>1165.76</v>
      </c>
      <c r="I1058" s="24">
        <f>TRUNC(E1058*G1058,2)</f>
        <v>1501.72</v>
      </c>
    </row>
    <row r="1059" spans="1:9" ht="45">
      <c r="A1059" s="74"/>
      <c r="B1059" s="80" t="s">
        <v>452</v>
      </c>
      <c r="C1059" s="81" t="s">
        <v>453</v>
      </c>
      <c r="D1059" s="74" t="s">
        <v>17</v>
      </c>
      <c r="E1059" s="78">
        <v>1</v>
      </c>
      <c r="F1059" s="64">
        <f>G1065</f>
        <v>582.88</v>
      </c>
      <c r="G1059" s="64">
        <f t="shared" ref="G1059:G1064" si="55">TRUNC(E1059*F1059,2)</f>
        <v>582.88</v>
      </c>
      <c r="H1059" s="64"/>
      <c r="I1059" s="78"/>
    </row>
    <row r="1060" spans="1:9" ht="15">
      <c r="A1060" s="74"/>
      <c r="B1060" s="80" t="s">
        <v>454</v>
      </c>
      <c r="C1060" s="81" t="s">
        <v>455</v>
      </c>
      <c r="D1060" s="74" t="s">
        <v>17</v>
      </c>
      <c r="E1060" s="78">
        <v>0</v>
      </c>
      <c r="F1060" s="64">
        <v>94.512299999999996</v>
      </c>
      <c r="G1060" s="64">
        <f t="shared" si="55"/>
        <v>0</v>
      </c>
      <c r="H1060" s="64"/>
      <c r="I1060" s="78"/>
    </row>
    <row r="1061" spans="1:9" s="169" customFormat="1" ht="15.75">
      <c r="A1061" s="256"/>
      <c r="B1061" s="257" t="s">
        <v>1739</v>
      </c>
      <c r="C1061" s="258" t="s">
        <v>2049</v>
      </c>
      <c r="D1061" s="256" t="s">
        <v>17</v>
      </c>
      <c r="E1061" s="259">
        <v>1.1000000000000001</v>
      </c>
      <c r="F1061" s="260">
        <v>60</v>
      </c>
      <c r="G1061" s="260">
        <f t="shared" si="55"/>
        <v>66</v>
      </c>
      <c r="H1061" s="260"/>
      <c r="I1061" s="259"/>
    </row>
    <row r="1062" spans="1:9" ht="30">
      <c r="A1062" s="74"/>
      <c r="B1062" s="80" t="s">
        <v>396</v>
      </c>
      <c r="C1062" s="81" t="s">
        <v>397</v>
      </c>
      <c r="D1062" s="74" t="s">
        <v>46</v>
      </c>
      <c r="E1062" s="78">
        <v>4.5999999999999996</v>
      </c>
      <c r="F1062" s="64">
        <v>10.8</v>
      </c>
      <c r="G1062" s="64">
        <f t="shared" si="55"/>
        <v>49.68</v>
      </c>
      <c r="H1062" s="64"/>
      <c r="I1062" s="78"/>
    </row>
    <row r="1063" spans="1:9" ht="30">
      <c r="A1063" s="74"/>
      <c r="B1063" s="80" t="s">
        <v>49</v>
      </c>
      <c r="C1063" s="81" t="s">
        <v>50</v>
      </c>
      <c r="D1063" s="74" t="s">
        <v>51</v>
      </c>
      <c r="E1063" s="78">
        <v>12.36</v>
      </c>
      <c r="F1063" s="64">
        <v>15.2</v>
      </c>
      <c r="G1063" s="64">
        <f t="shared" si="55"/>
        <v>187.87</v>
      </c>
      <c r="H1063" s="64"/>
      <c r="I1063" s="78"/>
    </row>
    <row r="1064" spans="1:9" ht="30">
      <c r="A1064" s="74"/>
      <c r="B1064" s="80" t="s">
        <v>374</v>
      </c>
      <c r="C1064" s="81" t="s">
        <v>375</v>
      </c>
      <c r="D1064" s="74" t="s">
        <v>51</v>
      </c>
      <c r="E1064" s="78">
        <v>12.36</v>
      </c>
      <c r="F1064" s="64">
        <v>22.6</v>
      </c>
      <c r="G1064" s="64">
        <f t="shared" si="55"/>
        <v>279.33</v>
      </c>
      <c r="H1064" s="64"/>
      <c r="I1064" s="78"/>
    </row>
    <row r="1065" spans="1:9" ht="15">
      <c r="A1065" s="74"/>
      <c r="B1065" s="80"/>
      <c r="C1065" s="81"/>
      <c r="D1065" s="74"/>
      <c r="E1065" s="78" t="s">
        <v>33</v>
      </c>
      <c r="F1065" s="64"/>
      <c r="G1065" s="64">
        <f>TRUNC(SUM(G1060:G1064),2)</f>
        <v>582.88</v>
      </c>
      <c r="H1065" s="64"/>
      <c r="I1065" s="78"/>
    </row>
    <row r="1066" spans="1:9" ht="105">
      <c r="A1066" s="68" t="s">
        <v>465</v>
      </c>
      <c r="B1066" s="98" t="s">
        <v>2091</v>
      </c>
      <c r="C1066" s="23" t="s">
        <v>2089</v>
      </c>
      <c r="D1066" s="68" t="s">
        <v>7</v>
      </c>
      <c r="E1066" s="24">
        <v>2</v>
      </c>
      <c r="F1066" s="24">
        <f>TRUNC(F1067+G1073,2)</f>
        <v>1785.84</v>
      </c>
      <c r="G1066" s="24">
        <f>TRUNC(F1066*1.2882,2)</f>
        <v>2300.5100000000002</v>
      </c>
      <c r="H1066" s="24">
        <f>TRUNC(F1066*E1066,2)</f>
        <v>3571.68</v>
      </c>
      <c r="I1066" s="24">
        <f>TRUNC(E1066*G1066,2)</f>
        <v>4601.0200000000004</v>
      </c>
    </row>
    <row r="1067" spans="1:9" ht="45">
      <c r="A1067" s="74"/>
      <c r="B1067" s="80" t="s">
        <v>457</v>
      </c>
      <c r="C1067" s="81" t="s">
        <v>458</v>
      </c>
      <c r="D1067" s="74" t="s">
        <v>7</v>
      </c>
      <c r="E1067" s="78">
        <v>1</v>
      </c>
      <c r="F1067" s="64">
        <f>G1072</f>
        <v>1760.69</v>
      </c>
      <c r="G1067" s="64">
        <f>TRUNC(E1067*F1067,2)</f>
        <v>1760.69</v>
      </c>
      <c r="H1067" s="64"/>
      <c r="I1067" s="78"/>
    </row>
    <row r="1068" spans="1:9" ht="15">
      <c r="A1068" s="74"/>
      <c r="B1068" s="80" t="s">
        <v>459</v>
      </c>
      <c r="C1068" s="81" t="s">
        <v>460</v>
      </c>
      <c r="D1068" s="74" t="s">
        <v>23</v>
      </c>
      <c r="E1068" s="78">
        <v>9.36</v>
      </c>
      <c r="F1068" s="64">
        <v>143.85669999999999</v>
      </c>
      <c r="G1068" s="64">
        <f>TRUNC(E1068*F1068,2)</f>
        <v>1346.49</v>
      </c>
      <c r="H1068" s="64"/>
      <c r="I1068" s="78"/>
    </row>
    <row r="1069" spans="1:9" ht="30">
      <c r="A1069" s="74"/>
      <c r="B1069" s="80" t="s">
        <v>49</v>
      </c>
      <c r="C1069" s="81" t="s">
        <v>50</v>
      </c>
      <c r="D1069" s="74" t="s">
        <v>51</v>
      </c>
      <c r="E1069" s="78">
        <v>8.24</v>
      </c>
      <c r="F1069" s="64">
        <f>TRUNC(15.2,2)</f>
        <v>15.2</v>
      </c>
      <c r="G1069" s="64">
        <f>TRUNC(E1069*F1069,2)</f>
        <v>125.24</v>
      </c>
      <c r="H1069" s="64"/>
      <c r="I1069" s="78"/>
    </row>
    <row r="1070" spans="1:9" ht="15">
      <c r="A1070" s="74"/>
      <c r="B1070" s="80" t="s">
        <v>76</v>
      </c>
      <c r="C1070" s="81" t="s">
        <v>77</v>
      </c>
      <c r="D1070" s="74" t="s">
        <v>51</v>
      </c>
      <c r="E1070" s="78">
        <v>8.24</v>
      </c>
      <c r="F1070" s="64">
        <f>TRUNC(21,2)</f>
        <v>21</v>
      </c>
      <c r="G1070" s="64">
        <f>TRUNC(E1070*F1070,2)</f>
        <v>173.04</v>
      </c>
      <c r="H1070" s="64"/>
      <c r="I1070" s="78"/>
    </row>
    <row r="1071" spans="1:9" ht="15">
      <c r="A1071" s="74"/>
      <c r="B1071" s="80" t="s">
        <v>461</v>
      </c>
      <c r="C1071" s="81" t="s">
        <v>462</v>
      </c>
      <c r="D1071" s="74" t="s">
        <v>55</v>
      </c>
      <c r="E1071" s="78">
        <v>0.31200000000000006</v>
      </c>
      <c r="F1071" s="64">
        <v>371.56720000000001</v>
      </c>
      <c r="G1071" s="64">
        <f>TRUNC(E1071*F1071,2)</f>
        <v>115.92</v>
      </c>
      <c r="H1071" s="64"/>
      <c r="I1071" s="78"/>
    </row>
    <row r="1072" spans="1:9" ht="15">
      <c r="A1072" s="74"/>
      <c r="B1072" s="80"/>
      <c r="C1072" s="81"/>
      <c r="D1072" s="74"/>
      <c r="E1072" s="78" t="s">
        <v>33</v>
      </c>
      <c r="F1072" s="64"/>
      <c r="G1072" s="64">
        <f>TRUNC(SUM(G1068:G1071),2)</f>
        <v>1760.69</v>
      </c>
      <c r="H1072" s="64"/>
      <c r="I1072" s="78"/>
    </row>
    <row r="1073" spans="1:9" ht="75">
      <c r="A1073" s="74"/>
      <c r="B1073" s="80" t="s">
        <v>792</v>
      </c>
      <c r="C1073" s="81" t="s">
        <v>793</v>
      </c>
      <c r="D1073" s="74" t="s">
        <v>17</v>
      </c>
      <c r="E1073" s="78">
        <v>1.32</v>
      </c>
      <c r="F1073" s="64">
        <f>G1079</f>
        <v>19.059999999999999</v>
      </c>
      <c r="G1073" s="260">
        <f t="shared" ref="G1073:G1078" si="56">TRUNC(E1073*F1073,2)</f>
        <v>25.15</v>
      </c>
      <c r="H1073" s="64"/>
      <c r="I1073" s="78"/>
    </row>
    <row r="1074" spans="1:9" ht="15">
      <c r="A1074" s="74"/>
      <c r="B1074" s="80" t="s">
        <v>794</v>
      </c>
      <c r="C1074" s="81" t="s">
        <v>795</v>
      </c>
      <c r="D1074" s="74" t="s">
        <v>477</v>
      </c>
      <c r="E1074" s="78">
        <v>0.03</v>
      </c>
      <c r="F1074" s="64">
        <v>63.73</v>
      </c>
      <c r="G1074" s="64">
        <f t="shared" si="56"/>
        <v>1.91</v>
      </c>
      <c r="H1074" s="64"/>
      <c r="I1074" s="78"/>
    </row>
    <row r="1075" spans="1:9" ht="15">
      <c r="A1075" s="74"/>
      <c r="B1075" s="80" t="s">
        <v>650</v>
      </c>
      <c r="C1075" s="81" t="s">
        <v>651</v>
      </c>
      <c r="D1075" s="74" t="s">
        <v>7</v>
      </c>
      <c r="E1075" s="78">
        <v>0.5</v>
      </c>
      <c r="F1075" s="64">
        <v>1.85</v>
      </c>
      <c r="G1075" s="64">
        <f t="shared" si="56"/>
        <v>0.92</v>
      </c>
      <c r="H1075" s="64"/>
      <c r="I1075" s="78"/>
    </row>
    <row r="1076" spans="1:9" ht="15">
      <c r="A1076" s="74"/>
      <c r="B1076" s="80" t="s">
        <v>796</v>
      </c>
      <c r="C1076" s="81" t="s">
        <v>797</v>
      </c>
      <c r="D1076" s="74" t="s">
        <v>477</v>
      </c>
      <c r="E1076" s="78">
        <v>0.05</v>
      </c>
      <c r="F1076" s="64">
        <v>101.03</v>
      </c>
      <c r="G1076" s="64">
        <f t="shared" si="56"/>
        <v>5.05</v>
      </c>
      <c r="H1076" s="64"/>
      <c r="I1076" s="78"/>
    </row>
    <row r="1077" spans="1:9" ht="30">
      <c r="A1077" s="74"/>
      <c r="B1077" s="80" t="s">
        <v>49</v>
      </c>
      <c r="C1077" s="81" t="s">
        <v>50</v>
      </c>
      <c r="D1077" s="74" t="s">
        <v>51</v>
      </c>
      <c r="E1077" s="78">
        <v>0.19570000000000001</v>
      </c>
      <c r="F1077" s="64">
        <f>TRUNC(15.2,2)</f>
        <v>15.2</v>
      </c>
      <c r="G1077" s="64">
        <f t="shared" si="56"/>
        <v>2.97</v>
      </c>
      <c r="H1077" s="64"/>
      <c r="I1077" s="78"/>
    </row>
    <row r="1078" spans="1:9" ht="15">
      <c r="A1078" s="74"/>
      <c r="B1078" s="80" t="s">
        <v>782</v>
      </c>
      <c r="C1078" s="81" t="s">
        <v>783</v>
      </c>
      <c r="D1078" s="74" t="s">
        <v>51</v>
      </c>
      <c r="E1078" s="78">
        <v>0.39140000000000003</v>
      </c>
      <c r="F1078" s="64">
        <f>TRUNC(21,2)</f>
        <v>21</v>
      </c>
      <c r="G1078" s="64">
        <f t="shared" si="56"/>
        <v>8.2100000000000009</v>
      </c>
      <c r="H1078" s="64"/>
      <c r="I1078" s="78"/>
    </row>
    <row r="1079" spans="1:9" ht="15">
      <c r="A1079" s="74"/>
      <c r="B1079" s="80"/>
      <c r="C1079" s="81"/>
      <c r="D1079" s="74"/>
      <c r="E1079" s="78" t="s">
        <v>33</v>
      </c>
      <c r="F1079" s="64"/>
      <c r="G1079" s="64">
        <f>TRUNC(SUM(G1074:G1078),2)</f>
        <v>19.059999999999999</v>
      </c>
      <c r="H1079" s="64"/>
      <c r="I1079" s="78"/>
    </row>
    <row r="1080" spans="1:9" ht="105">
      <c r="A1080" s="68" t="s">
        <v>466</v>
      </c>
      <c r="B1080" s="98" t="s">
        <v>2092</v>
      </c>
      <c r="C1080" s="23" t="s">
        <v>2090</v>
      </c>
      <c r="D1080" s="68" t="s">
        <v>7</v>
      </c>
      <c r="E1080" s="24">
        <v>1</v>
      </c>
      <c r="F1080" s="24">
        <f>TRUNC(F1081+G1087,2)</f>
        <v>1922.78</v>
      </c>
      <c r="G1080" s="24">
        <f>TRUNC(F1080*1.2882,2)</f>
        <v>2476.92</v>
      </c>
      <c r="H1080" s="24">
        <f>TRUNC(F1080*E1080,2)</f>
        <v>1922.78</v>
      </c>
      <c r="I1080" s="24">
        <f>TRUNC(E1080*G1080,2)</f>
        <v>2476.92</v>
      </c>
    </row>
    <row r="1081" spans="1:9" ht="45">
      <c r="A1081" s="74"/>
      <c r="B1081" s="80" t="s">
        <v>463</v>
      </c>
      <c r="C1081" s="81" t="s">
        <v>464</v>
      </c>
      <c r="D1081" s="74" t="s">
        <v>7</v>
      </c>
      <c r="E1081" s="78">
        <v>1</v>
      </c>
      <c r="F1081" s="64">
        <f>G1086</f>
        <v>1895.34</v>
      </c>
      <c r="G1081" s="64">
        <f>TRUNC(E1081*F1081,2)</f>
        <v>1895.34</v>
      </c>
      <c r="H1081" s="64"/>
      <c r="I1081" s="78"/>
    </row>
    <row r="1082" spans="1:9" ht="15">
      <c r="A1082" s="74"/>
      <c r="B1082" s="80" t="s">
        <v>459</v>
      </c>
      <c r="C1082" s="81" t="s">
        <v>460</v>
      </c>
      <c r="D1082" s="74" t="s">
        <v>23</v>
      </c>
      <c r="E1082" s="78">
        <v>10.295999999999999</v>
      </c>
      <c r="F1082" s="64">
        <v>143.85669999999999</v>
      </c>
      <c r="G1082" s="64">
        <f>TRUNC(E1082*F1082,2)</f>
        <v>1481.14</v>
      </c>
      <c r="H1082" s="64"/>
      <c r="I1082" s="78"/>
    </row>
    <row r="1083" spans="1:9" ht="30">
      <c r="A1083" s="74"/>
      <c r="B1083" s="80" t="s">
        <v>49</v>
      </c>
      <c r="C1083" s="81" t="s">
        <v>50</v>
      </c>
      <c r="D1083" s="74" t="s">
        <v>51</v>
      </c>
      <c r="E1083" s="78">
        <v>8.24</v>
      </c>
      <c r="F1083" s="64">
        <f>TRUNC(15.2,2)</f>
        <v>15.2</v>
      </c>
      <c r="G1083" s="64">
        <f>TRUNC(E1083*F1083,2)</f>
        <v>125.24</v>
      </c>
      <c r="H1083" s="64"/>
      <c r="I1083" s="78"/>
    </row>
    <row r="1084" spans="1:9" ht="15">
      <c r="A1084" s="74"/>
      <c r="B1084" s="80" t="s">
        <v>76</v>
      </c>
      <c r="C1084" s="81" t="s">
        <v>77</v>
      </c>
      <c r="D1084" s="74" t="s">
        <v>51</v>
      </c>
      <c r="E1084" s="78">
        <v>8.24</v>
      </c>
      <c r="F1084" s="64">
        <f>TRUNC(21,2)</f>
        <v>21</v>
      </c>
      <c r="G1084" s="64">
        <f>TRUNC(E1084*F1084,2)</f>
        <v>173.04</v>
      </c>
      <c r="H1084" s="64"/>
      <c r="I1084" s="78"/>
    </row>
    <row r="1085" spans="1:9" ht="15">
      <c r="A1085" s="74"/>
      <c r="B1085" s="80" t="s">
        <v>461</v>
      </c>
      <c r="C1085" s="81" t="s">
        <v>462</v>
      </c>
      <c r="D1085" s="74" t="s">
        <v>55</v>
      </c>
      <c r="E1085" s="78">
        <v>0.31200000000000006</v>
      </c>
      <c r="F1085" s="64">
        <v>371.56720000000001</v>
      </c>
      <c r="G1085" s="64">
        <f>TRUNC(E1085*F1085,2)</f>
        <v>115.92</v>
      </c>
      <c r="H1085" s="64"/>
      <c r="I1085" s="78"/>
    </row>
    <row r="1086" spans="1:9" ht="15">
      <c r="A1086" s="74"/>
      <c r="B1086" s="80"/>
      <c r="C1086" s="81"/>
      <c r="D1086" s="74"/>
      <c r="E1086" s="78" t="s">
        <v>33</v>
      </c>
      <c r="F1086" s="64"/>
      <c r="G1086" s="64">
        <f>TRUNC(SUM(G1082:G1085),2)</f>
        <v>1895.34</v>
      </c>
      <c r="H1086" s="64"/>
      <c r="I1086" s="78"/>
    </row>
    <row r="1087" spans="1:9" ht="75">
      <c r="A1087" s="74"/>
      <c r="B1087" s="80" t="s">
        <v>792</v>
      </c>
      <c r="C1087" s="81" t="s">
        <v>793</v>
      </c>
      <c r="D1087" s="74" t="s">
        <v>17</v>
      </c>
      <c r="E1087" s="78">
        <v>1.44</v>
      </c>
      <c r="F1087" s="64">
        <f>G1093</f>
        <v>19.059999999999999</v>
      </c>
      <c r="G1087" s="260">
        <f t="shared" ref="G1087:G1092" si="57">TRUNC(E1087*F1087,2)</f>
        <v>27.44</v>
      </c>
      <c r="H1087" s="64"/>
      <c r="I1087" s="78"/>
    </row>
    <row r="1088" spans="1:9" ht="15">
      <c r="A1088" s="74"/>
      <c r="B1088" s="80" t="s">
        <v>794</v>
      </c>
      <c r="C1088" s="81" t="s">
        <v>795</v>
      </c>
      <c r="D1088" s="74" t="s">
        <v>477</v>
      </c>
      <c r="E1088" s="78">
        <v>0.03</v>
      </c>
      <c r="F1088" s="64">
        <v>63.73</v>
      </c>
      <c r="G1088" s="64">
        <f t="shared" si="57"/>
        <v>1.91</v>
      </c>
      <c r="H1088" s="64"/>
      <c r="I1088" s="78"/>
    </row>
    <row r="1089" spans="1:9" ht="15">
      <c r="A1089" s="74"/>
      <c r="B1089" s="80" t="s">
        <v>650</v>
      </c>
      <c r="C1089" s="81" t="s">
        <v>651</v>
      </c>
      <c r="D1089" s="74" t="s">
        <v>7</v>
      </c>
      <c r="E1089" s="78">
        <v>0.5</v>
      </c>
      <c r="F1089" s="64">
        <v>1.85</v>
      </c>
      <c r="G1089" s="64">
        <f t="shared" si="57"/>
        <v>0.92</v>
      </c>
      <c r="H1089" s="64"/>
      <c r="I1089" s="78"/>
    </row>
    <row r="1090" spans="1:9" ht="15">
      <c r="A1090" s="74"/>
      <c r="B1090" s="80" t="s">
        <v>796</v>
      </c>
      <c r="C1090" s="81" t="s">
        <v>797</v>
      </c>
      <c r="D1090" s="74" t="s">
        <v>477</v>
      </c>
      <c r="E1090" s="78">
        <v>0.05</v>
      </c>
      <c r="F1090" s="64">
        <v>101.03</v>
      </c>
      <c r="G1090" s="64">
        <f t="shared" si="57"/>
        <v>5.05</v>
      </c>
      <c r="H1090" s="64"/>
      <c r="I1090" s="78"/>
    </row>
    <row r="1091" spans="1:9" ht="30">
      <c r="A1091" s="74"/>
      <c r="B1091" s="80" t="s">
        <v>49</v>
      </c>
      <c r="C1091" s="81" t="s">
        <v>50</v>
      </c>
      <c r="D1091" s="74" t="s">
        <v>51</v>
      </c>
      <c r="E1091" s="78">
        <v>0.19570000000000001</v>
      </c>
      <c r="F1091" s="64">
        <f>TRUNC(15.2,2)</f>
        <v>15.2</v>
      </c>
      <c r="G1091" s="64">
        <f t="shared" si="57"/>
        <v>2.97</v>
      </c>
      <c r="H1091" s="64"/>
      <c r="I1091" s="78"/>
    </row>
    <row r="1092" spans="1:9" ht="15">
      <c r="A1092" s="74"/>
      <c r="B1092" s="80" t="s">
        <v>782</v>
      </c>
      <c r="C1092" s="81" t="s">
        <v>783</v>
      </c>
      <c r="D1092" s="74" t="s">
        <v>51</v>
      </c>
      <c r="E1092" s="78">
        <v>0.39140000000000003</v>
      </c>
      <c r="F1092" s="64">
        <f>TRUNC(21,2)</f>
        <v>21</v>
      </c>
      <c r="G1092" s="64">
        <f t="shared" si="57"/>
        <v>8.2100000000000009</v>
      </c>
      <c r="H1092" s="64"/>
      <c r="I1092" s="78"/>
    </row>
    <row r="1093" spans="1:9" ht="15">
      <c r="A1093" s="74"/>
      <c r="B1093" s="80"/>
      <c r="C1093" s="81"/>
      <c r="D1093" s="74"/>
      <c r="E1093" s="78" t="s">
        <v>33</v>
      </c>
      <c r="F1093" s="64"/>
      <c r="G1093" s="64">
        <f>TRUNC(SUM(G1088:G1092),2)</f>
        <v>19.059999999999999</v>
      </c>
      <c r="H1093" s="64"/>
      <c r="I1093" s="78"/>
    </row>
    <row r="1094" spans="1:9" ht="35.25">
      <c r="A1094" s="68" t="s">
        <v>485</v>
      </c>
      <c r="B1094" s="98" t="s">
        <v>484</v>
      </c>
      <c r="C1094" s="23" t="s">
        <v>2050</v>
      </c>
      <c r="D1094" s="68" t="s">
        <v>7</v>
      </c>
      <c r="E1094" s="24">
        <v>5</v>
      </c>
      <c r="F1094" s="24">
        <f>TRUNC(F1095,2)</f>
        <v>1903.57</v>
      </c>
      <c r="G1094" s="24">
        <f>TRUNC(F1094*1.2882,2)</f>
        <v>2452.17</v>
      </c>
      <c r="H1094" s="24">
        <f>TRUNC(F1094*E1094,2)</f>
        <v>9517.85</v>
      </c>
      <c r="I1094" s="24">
        <f>TRUNC(E1094*G1094,2)</f>
        <v>12260.85</v>
      </c>
    </row>
    <row r="1095" spans="1:9" ht="75">
      <c r="A1095" s="74"/>
      <c r="B1095" s="80" t="s">
        <v>467</v>
      </c>
      <c r="C1095" s="81" t="s">
        <v>468</v>
      </c>
      <c r="D1095" s="74" t="s">
        <v>7</v>
      </c>
      <c r="E1095" s="78">
        <v>1</v>
      </c>
      <c r="F1095" s="64">
        <f>G1105</f>
        <v>1903.57</v>
      </c>
      <c r="G1095" s="64">
        <f t="shared" ref="G1095:G1104" si="58">TRUNC(E1095*F1095,2)</f>
        <v>1903.57</v>
      </c>
      <c r="H1095" s="64"/>
      <c r="I1095" s="78"/>
    </row>
    <row r="1096" spans="1:9" ht="15">
      <c r="A1096" s="74"/>
      <c r="B1096" s="80" t="s">
        <v>469</v>
      </c>
      <c r="C1096" s="81" t="s">
        <v>470</v>
      </c>
      <c r="D1096" s="74" t="s">
        <v>7</v>
      </c>
      <c r="E1096" s="78">
        <v>14</v>
      </c>
      <c r="F1096" s="64">
        <v>0.2266</v>
      </c>
      <c r="G1096" s="64">
        <f t="shared" si="58"/>
        <v>3.17</v>
      </c>
      <c r="H1096" s="64"/>
      <c r="I1096" s="78"/>
    </row>
    <row r="1097" spans="1:9" ht="15">
      <c r="A1097" s="74"/>
      <c r="B1097" s="80" t="s">
        <v>471</v>
      </c>
      <c r="C1097" s="81" t="s">
        <v>472</v>
      </c>
      <c r="D1097" s="74" t="s">
        <v>7</v>
      </c>
      <c r="E1097" s="78">
        <v>14</v>
      </c>
      <c r="F1097" s="64">
        <v>0.04</v>
      </c>
      <c r="G1097" s="64">
        <f t="shared" si="58"/>
        <v>0.56000000000000005</v>
      </c>
      <c r="H1097" s="64"/>
      <c r="I1097" s="78"/>
    </row>
    <row r="1098" spans="1:9" ht="30">
      <c r="A1098" s="74"/>
      <c r="B1098" s="80" t="s">
        <v>473</v>
      </c>
      <c r="C1098" s="81" t="s">
        <v>474</v>
      </c>
      <c r="D1098" s="74" t="s">
        <v>17</v>
      </c>
      <c r="E1098" s="78">
        <v>6.6</v>
      </c>
      <c r="F1098" s="64">
        <v>43.315100000000001</v>
      </c>
      <c r="G1098" s="64">
        <f t="shared" si="58"/>
        <v>285.87</v>
      </c>
      <c r="H1098" s="64"/>
      <c r="I1098" s="78"/>
    </row>
    <row r="1099" spans="1:9" ht="15">
      <c r="A1099" s="74"/>
      <c r="B1099" s="80" t="s">
        <v>475</v>
      </c>
      <c r="C1099" s="81" t="s">
        <v>476</v>
      </c>
      <c r="D1099" s="74" t="s">
        <v>477</v>
      </c>
      <c r="E1099" s="78">
        <v>0.15</v>
      </c>
      <c r="F1099" s="64">
        <v>72.069999999999993</v>
      </c>
      <c r="G1099" s="64">
        <f t="shared" si="58"/>
        <v>10.81</v>
      </c>
      <c r="H1099" s="64"/>
      <c r="I1099" s="78"/>
    </row>
    <row r="1100" spans="1:9" ht="15">
      <c r="A1100" s="74"/>
      <c r="B1100" s="80" t="s">
        <v>478</v>
      </c>
      <c r="C1100" s="81" t="s">
        <v>479</v>
      </c>
      <c r="D1100" s="74" t="s">
        <v>55</v>
      </c>
      <c r="E1100" s="78">
        <v>0.04</v>
      </c>
      <c r="F1100" s="64">
        <v>7725</v>
      </c>
      <c r="G1100" s="64">
        <f t="shared" si="58"/>
        <v>309</v>
      </c>
      <c r="H1100" s="64"/>
      <c r="I1100" s="78"/>
    </row>
    <row r="1101" spans="1:9" ht="30">
      <c r="A1101" s="74"/>
      <c r="B1101" s="80" t="s">
        <v>480</v>
      </c>
      <c r="C1101" s="81" t="s">
        <v>481</v>
      </c>
      <c r="D1101" s="74" t="s">
        <v>477</v>
      </c>
      <c r="E1101" s="78">
        <v>0.6</v>
      </c>
      <c r="F1101" s="64">
        <v>83.17</v>
      </c>
      <c r="G1101" s="64">
        <f t="shared" si="58"/>
        <v>49.9</v>
      </c>
      <c r="H1101" s="64"/>
      <c r="I1101" s="78"/>
    </row>
    <row r="1102" spans="1:9" ht="30">
      <c r="A1102" s="74"/>
      <c r="B1102" s="80" t="s">
        <v>482</v>
      </c>
      <c r="C1102" s="81" t="s">
        <v>483</v>
      </c>
      <c r="D1102" s="74" t="s">
        <v>7</v>
      </c>
      <c r="E1102" s="78">
        <v>2</v>
      </c>
      <c r="F1102" s="64">
        <v>372.87540000000001</v>
      </c>
      <c r="G1102" s="64">
        <f t="shared" si="58"/>
        <v>745.75</v>
      </c>
      <c r="H1102" s="64"/>
      <c r="I1102" s="78"/>
    </row>
    <row r="1103" spans="1:9" ht="30">
      <c r="A1103" s="74"/>
      <c r="B1103" s="80" t="s">
        <v>49</v>
      </c>
      <c r="C1103" s="81" t="s">
        <v>50</v>
      </c>
      <c r="D1103" s="74" t="s">
        <v>51</v>
      </c>
      <c r="E1103" s="78">
        <v>14.42</v>
      </c>
      <c r="F1103" s="64">
        <f>TRUNC(15.2,2)</f>
        <v>15.2</v>
      </c>
      <c r="G1103" s="64">
        <f t="shared" si="58"/>
        <v>219.18</v>
      </c>
      <c r="H1103" s="64"/>
      <c r="I1103" s="78"/>
    </row>
    <row r="1104" spans="1:9" ht="30">
      <c r="A1104" s="74"/>
      <c r="B1104" s="80" t="s">
        <v>52</v>
      </c>
      <c r="C1104" s="81" t="s">
        <v>53</v>
      </c>
      <c r="D1104" s="74" t="s">
        <v>51</v>
      </c>
      <c r="E1104" s="78">
        <v>12.36</v>
      </c>
      <c r="F1104" s="64">
        <v>22.6</v>
      </c>
      <c r="G1104" s="64">
        <f t="shared" si="58"/>
        <v>279.33</v>
      </c>
      <c r="H1104" s="64"/>
      <c r="I1104" s="78"/>
    </row>
    <row r="1105" spans="1:9" ht="15">
      <c r="A1105" s="74"/>
      <c r="B1105" s="80"/>
      <c r="C1105" s="81"/>
      <c r="D1105" s="74"/>
      <c r="E1105" s="78" t="s">
        <v>33</v>
      </c>
      <c r="F1105" s="64"/>
      <c r="G1105" s="64">
        <f>TRUNC(SUM(G1096:G1104),2)</f>
        <v>1903.57</v>
      </c>
      <c r="H1105" s="64"/>
      <c r="I1105" s="78"/>
    </row>
    <row r="1106" spans="1:9" ht="35.25">
      <c r="A1106" s="68" t="s">
        <v>490</v>
      </c>
      <c r="B1106" s="98" t="s">
        <v>491</v>
      </c>
      <c r="C1106" s="23" t="s">
        <v>2051</v>
      </c>
      <c r="D1106" s="68" t="s">
        <v>7</v>
      </c>
      <c r="E1106" s="24">
        <v>3</v>
      </c>
      <c r="F1106" s="24">
        <f>TRUNC(F1107,2)</f>
        <v>674.66</v>
      </c>
      <c r="G1106" s="24">
        <f>TRUNC(F1106*1.2882,2)</f>
        <v>869.09</v>
      </c>
      <c r="H1106" s="24">
        <f>TRUNC(F1106*E1106,2)</f>
        <v>2023.98</v>
      </c>
      <c r="I1106" s="24">
        <f>TRUNC(E1106*G1106,2)</f>
        <v>2607.27</v>
      </c>
    </row>
    <row r="1107" spans="1:9" ht="60">
      <c r="A1107" s="74"/>
      <c r="B1107" s="80" t="s">
        <v>486</v>
      </c>
      <c r="C1107" s="81" t="s">
        <v>487</v>
      </c>
      <c r="D1107" s="74" t="s">
        <v>7</v>
      </c>
      <c r="E1107" s="78">
        <v>1</v>
      </c>
      <c r="F1107" s="64">
        <f>G1117</f>
        <v>674.66</v>
      </c>
      <c r="G1107" s="64">
        <f t="shared" ref="G1107:G1116" si="59">TRUNC(E1107*F1107,2)</f>
        <v>674.66</v>
      </c>
      <c r="H1107" s="64"/>
      <c r="I1107" s="78"/>
    </row>
    <row r="1108" spans="1:9" ht="15">
      <c r="A1108" s="74"/>
      <c r="B1108" s="80" t="s">
        <v>469</v>
      </c>
      <c r="C1108" s="81" t="s">
        <v>470</v>
      </c>
      <c r="D1108" s="74" t="s">
        <v>7</v>
      </c>
      <c r="E1108" s="78">
        <v>8</v>
      </c>
      <c r="F1108" s="64">
        <v>0.2266</v>
      </c>
      <c r="G1108" s="64">
        <f t="shared" si="59"/>
        <v>1.81</v>
      </c>
      <c r="H1108" s="64"/>
      <c r="I1108" s="78"/>
    </row>
    <row r="1109" spans="1:9" ht="15">
      <c r="A1109" s="74"/>
      <c r="B1109" s="80" t="s">
        <v>471</v>
      </c>
      <c r="C1109" s="81" t="s">
        <v>472</v>
      </c>
      <c r="D1109" s="74" t="s">
        <v>7</v>
      </c>
      <c r="E1109" s="78">
        <v>8</v>
      </c>
      <c r="F1109" s="64">
        <v>0.04</v>
      </c>
      <c r="G1109" s="64">
        <f t="shared" si="59"/>
        <v>0.32</v>
      </c>
      <c r="H1109" s="64"/>
      <c r="I1109" s="78"/>
    </row>
    <row r="1110" spans="1:9" ht="30">
      <c r="A1110" s="74"/>
      <c r="B1110" s="80" t="s">
        <v>473</v>
      </c>
      <c r="C1110" s="81" t="s">
        <v>474</v>
      </c>
      <c r="D1110" s="74" t="s">
        <v>17</v>
      </c>
      <c r="E1110" s="78">
        <v>2.64</v>
      </c>
      <c r="F1110" s="64">
        <v>43.315100000000001</v>
      </c>
      <c r="G1110" s="64">
        <f t="shared" si="59"/>
        <v>114.35</v>
      </c>
      <c r="H1110" s="64"/>
      <c r="I1110" s="78"/>
    </row>
    <row r="1111" spans="1:9" ht="15">
      <c r="A1111" s="74"/>
      <c r="B1111" s="80" t="s">
        <v>475</v>
      </c>
      <c r="C1111" s="81" t="s">
        <v>476</v>
      </c>
      <c r="D1111" s="74" t="s">
        <v>477</v>
      </c>
      <c r="E1111" s="78">
        <v>7.0000000000000007E-2</v>
      </c>
      <c r="F1111" s="64">
        <v>72.069999999999993</v>
      </c>
      <c r="G1111" s="64">
        <f t="shared" si="59"/>
        <v>5.04</v>
      </c>
      <c r="H1111" s="64"/>
      <c r="I1111" s="78"/>
    </row>
    <row r="1112" spans="1:9" ht="15">
      <c r="A1112" s="74"/>
      <c r="B1112" s="80" t="s">
        <v>478</v>
      </c>
      <c r="C1112" s="81" t="s">
        <v>479</v>
      </c>
      <c r="D1112" s="74" t="s">
        <v>55</v>
      </c>
      <c r="E1112" s="78">
        <v>0.02</v>
      </c>
      <c r="F1112" s="64">
        <v>7725</v>
      </c>
      <c r="G1112" s="64">
        <f t="shared" si="59"/>
        <v>154.5</v>
      </c>
      <c r="H1112" s="64"/>
      <c r="I1112" s="78"/>
    </row>
    <row r="1113" spans="1:9" ht="30">
      <c r="A1113" s="74"/>
      <c r="B1113" s="80" t="s">
        <v>488</v>
      </c>
      <c r="C1113" s="81" t="s">
        <v>489</v>
      </c>
      <c r="D1113" s="74" t="s">
        <v>7</v>
      </c>
      <c r="E1113" s="78">
        <v>1</v>
      </c>
      <c r="F1113" s="64">
        <v>83.17</v>
      </c>
      <c r="G1113" s="64">
        <f t="shared" si="59"/>
        <v>83.17</v>
      </c>
      <c r="H1113" s="64"/>
      <c r="I1113" s="78"/>
    </row>
    <row r="1114" spans="1:9" ht="30">
      <c r="A1114" s="74"/>
      <c r="B1114" s="80" t="s">
        <v>480</v>
      </c>
      <c r="C1114" s="81" t="s">
        <v>481</v>
      </c>
      <c r="D1114" s="74" t="s">
        <v>477</v>
      </c>
      <c r="E1114" s="78">
        <v>0.24</v>
      </c>
      <c r="F1114" s="64">
        <v>372.87540000000001</v>
      </c>
      <c r="G1114" s="64">
        <f t="shared" si="59"/>
        <v>89.49</v>
      </c>
      <c r="H1114" s="64"/>
      <c r="I1114" s="78"/>
    </row>
    <row r="1115" spans="1:9" ht="30">
      <c r="A1115" s="74"/>
      <c r="B1115" s="80" t="s">
        <v>49</v>
      </c>
      <c r="C1115" s="81" t="s">
        <v>50</v>
      </c>
      <c r="D1115" s="74" t="s">
        <v>51</v>
      </c>
      <c r="E1115" s="78">
        <v>7.21</v>
      </c>
      <c r="F1115" s="64">
        <f>TRUNC(15.2,2)</f>
        <v>15.2</v>
      </c>
      <c r="G1115" s="64">
        <f t="shared" si="59"/>
        <v>109.59</v>
      </c>
      <c r="H1115" s="64"/>
      <c r="I1115" s="78"/>
    </row>
    <row r="1116" spans="1:9" ht="30">
      <c r="A1116" s="74"/>
      <c r="B1116" s="80" t="s">
        <v>52</v>
      </c>
      <c r="C1116" s="81" t="s">
        <v>53</v>
      </c>
      <c r="D1116" s="74" t="s">
        <v>51</v>
      </c>
      <c r="E1116" s="78">
        <v>5.15</v>
      </c>
      <c r="F1116" s="64">
        <v>22.6</v>
      </c>
      <c r="G1116" s="64">
        <f t="shared" si="59"/>
        <v>116.39</v>
      </c>
      <c r="H1116" s="64"/>
      <c r="I1116" s="78"/>
    </row>
    <row r="1117" spans="1:9" ht="15">
      <c r="A1117" s="74"/>
      <c r="B1117" s="80"/>
      <c r="C1117" s="81"/>
      <c r="D1117" s="74"/>
      <c r="E1117" s="78" t="s">
        <v>33</v>
      </c>
      <c r="F1117" s="64"/>
      <c r="G1117" s="64">
        <f>TRUNC(SUM(G1108:G1116),2)</f>
        <v>674.66</v>
      </c>
      <c r="H1117" s="64"/>
      <c r="I1117" s="78"/>
    </row>
    <row r="1118" spans="1:9" ht="35.25">
      <c r="A1118" s="68" t="s">
        <v>492</v>
      </c>
      <c r="B1118" s="98" t="s">
        <v>491</v>
      </c>
      <c r="C1118" s="23" t="s">
        <v>2052</v>
      </c>
      <c r="D1118" s="68" t="s">
        <v>7</v>
      </c>
      <c r="E1118" s="24">
        <v>3</v>
      </c>
      <c r="F1118" s="24">
        <f>TRUNC(F1119,2)</f>
        <v>674.66</v>
      </c>
      <c r="G1118" s="24">
        <f>TRUNC(F1118*1.2882,2)</f>
        <v>869.09</v>
      </c>
      <c r="H1118" s="24">
        <f>TRUNC(F1118*E1118,2)</f>
        <v>2023.98</v>
      </c>
      <c r="I1118" s="24">
        <f>TRUNC(E1118*G1118,2)</f>
        <v>2607.27</v>
      </c>
    </row>
    <row r="1119" spans="1:9" ht="60">
      <c r="A1119" s="74"/>
      <c r="B1119" s="80" t="s">
        <v>486</v>
      </c>
      <c r="C1119" s="81" t="s">
        <v>487</v>
      </c>
      <c r="D1119" s="74" t="s">
        <v>7</v>
      </c>
      <c r="E1119" s="78">
        <v>1</v>
      </c>
      <c r="F1119" s="64">
        <f>G1129</f>
        <v>674.66</v>
      </c>
      <c r="G1119" s="64">
        <f t="shared" ref="G1119:G1128" si="60">TRUNC(E1119*F1119,2)</f>
        <v>674.66</v>
      </c>
      <c r="H1119" s="64"/>
      <c r="I1119" s="78"/>
    </row>
    <row r="1120" spans="1:9" ht="15">
      <c r="A1120" s="74"/>
      <c r="B1120" s="80" t="s">
        <v>469</v>
      </c>
      <c r="C1120" s="81" t="s">
        <v>470</v>
      </c>
      <c r="D1120" s="74" t="s">
        <v>7</v>
      </c>
      <c r="E1120" s="78">
        <v>8</v>
      </c>
      <c r="F1120" s="64">
        <v>0.2266</v>
      </c>
      <c r="G1120" s="64">
        <f t="shared" si="60"/>
        <v>1.81</v>
      </c>
      <c r="H1120" s="64"/>
      <c r="I1120" s="78"/>
    </row>
    <row r="1121" spans="1:9" ht="15">
      <c r="A1121" s="74"/>
      <c r="B1121" s="80" t="s">
        <v>471</v>
      </c>
      <c r="C1121" s="81" t="s">
        <v>472</v>
      </c>
      <c r="D1121" s="74" t="s">
        <v>7</v>
      </c>
      <c r="E1121" s="78">
        <v>8</v>
      </c>
      <c r="F1121" s="64">
        <v>0.04</v>
      </c>
      <c r="G1121" s="64">
        <f t="shared" si="60"/>
        <v>0.32</v>
      </c>
      <c r="H1121" s="64"/>
      <c r="I1121" s="78"/>
    </row>
    <row r="1122" spans="1:9" ht="30">
      <c r="A1122" s="74"/>
      <c r="B1122" s="80" t="s">
        <v>473</v>
      </c>
      <c r="C1122" s="81" t="s">
        <v>474</v>
      </c>
      <c r="D1122" s="74" t="s">
        <v>17</v>
      </c>
      <c r="E1122" s="78">
        <v>2.64</v>
      </c>
      <c r="F1122" s="64">
        <v>43.315100000000001</v>
      </c>
      <c r="G1122" s="64">
        <f t="shared" si="60"/>
        <v>114.35</v>
      </c>
      <c r="H1122" s="64"/>
      <c r="I1122" s="78"/>
    </row>
    <row r="1123" spans="1:9" ht="15">
      <c r="A1123" s="74"/>
      <c r="B1123" s="80" t="s">
        <v>475</v>
      </c>
      <c r="C1123" s="81" t="s">
        <v>476</v>
      </c>
      <c r="D1123" s="74" t="s">
        <v>477</v>
      </c>
      <c r="E1123" s="78">
        <v>7.0000000000000007E-2</v>
      </c>
      <c r="F1123" s="64">
        <v>72.069999999999993</v>
      </c>
      <c r="G1123" s="64">
        <f t="shared" si="60"/>
        <v>5.04</v>
      </c>
      <c r="H1123" s="64"/>
      <c r="I1123" s="78"/>
    </row>
    <row r="1124" spans="1:9" ht="15">
      <c r="A1124" s="74"/>
      <c r="B1124" s="80" t="s">
        <v>478</v>
      </c>
      <c r="C1124" s="81" t="s">
        <v>479</v>
      </c>
      <c r="D1124" s="74" t="s">
        <v>55</v>
      </c>
      <c r="E1124" s="78">
        <v>0.02</v>
      </c>
      <c r="F1124" s="64">
        <v>7725</v>
      </c>
      <c r="G1124" s="64">
        <f t="shared" si="60"/>
        <v>154.5</v>
      </c>
      <c r="H1124" s="64"/>
      <c r="I1124" s="78"/>
    </row>
    <row r="1125" spans="1:9" ht="30">
      <c r="A1125" s="74"/>
      <c r="B1125" s="80" t="s">
        <v>488</v>
      </c>
      <c r="C1125" s="81" t="s">
        <v>489</v>
      </c>
      <c r="D1125" s="74" t="s">
        <v>7</v>
      </c>
      <c r="E1125" s="78">
        <v>1</v>
      </c>
      <c r="F1125" s="64">
        <v>83.17</v>
      </c>
      <c r="G1125" s="64">
        <f t="shared" si="60"/>
        <v>83.17</v>
      </c>
      <c r="H1125" s="64"/>
      <c r="I1125" s="78"/>
    </row>
    <row r="1126" spans="1:9" ht="30">
      <c r="A1126" s="74"/>
      <c r="B1126" s="80" t="s">
        <v>480</v>
      </c>
      <c r="C1126" s="81" t="s">
        <v>481</v>
      </c>
      <c r="D1126" s="74" t="s">
        <v>477</v>
      </c>
      <c r="E1126" s="78">
        <v>0.24</v>
      </c>
      <c r="F1126" s="64">
        <v>372.87540000000001</v>
      </c>
      <c r="G1126" s="64">
        <f t="shared" si="60"/>
        <v>89.49</v>
      </c>
      <c r="H1126" s="64"/>
      <c r="I1126" s="78"/>
    </row>
    <row r="1127" spans="1:9" ht="30">
      <c r="A1127" s="74"/>
      <c r="B1127" s="80" t="s">
        <v>49</v>
      </c>
      <c r="C1127" s="81" t="s">
        <v>50</v>
      </c>
      <c r="D1127" s="74" t="s">
        <v>51</v>
      </c>
      <c r="E1127" s="78">
        <v>7.21</v>
      </c>
      <c r="F1127" s="64">
        <f>TRUNC(15.2,2)</f>
        <v>15.2</v>
      </c>
      <c r="G1127" s="64">
        <f t="shared" si="60"/>
        <v>109.59</v>
      </c>
      <c r="H1127" s="64"/>
      <c r="I1127" s="78"/>
    </row>
    <row r="1128" spans="1:9" ht="30">
      <c r="A1128" s="74"/>
      <c r="B1128" s="80" t="s">
        <v>52</v>
      </c>
      <c r="C1128" s="81" t="s">
        <v>53</v>
      </c>
      <c r="D1128" s="74" t="s">
        <v>51</v>
      </c>
      <c r="E1128" s="78">
        <v>5.15</v>
      </c>
      <c r="F1128" s="64">
        <v>22.6</v>
      </c>
      <c r="G1128" s="64">
        <f t="shared" si="60"/>
        <v>116.39</v>
      </c>
      <c r="H1128" s="64"/>
      <c r="I1128" s="78"/>
    </row>
    <row r="1129" spans="1:9" ht="15">
      <c r="A1129" s="74"/>
      <c r="B1129" s="80"/>
      <c r="C1129" s="81"/>
      <c r="D1129" s="74"/>
      <c r="E1129" s="78" t="s">
        <v>33</v>
      </c>
      <c r="F1129" s="64"/>
      <c r="G1129" s="64">
        <f>TRUNC(SUM(G1120:G1128),2)</f>
        <v>674.66</v>
      </c>
      <c r="H1129" s="64"/>
      <c r="I1129" s="78"/>
    </row>
    <row r="1130" spans="1:9" ht="90">
      <c r="A1130" s="68" t="s">
        <v>497</v>
      </c>
      <c r="B1130" s="98" t="s">
        <v>1902</v>
      </c>
      <c r="C1130" s="23" t="s">
        <v>2057</v>
      </c>
      <c r="D1130" s="68" t="s">
        <v>23</v>
      </c>
      <c r="E1130" s="24">
        <v>47</v>
      </c>
      <c r="F1130" s="24">
        <f>TRUNC(F1131+G1138,2)</f>
        <v>97.38</v>
      </c>
      <c r="G1130" s="24">
        <f>TRUNC(F1130*1.2882,2)</f>
        <v>125.44</v>
      </c>
      <c r="H1130" s="24">
        <f>TRUNC(F1130*E1130,2)</f>
        <v>4576.8599999999997</v>
      </c>
      <c r="I1130" s="24">
        <f>TRUNC(E1130*G1130,2)</f>
        <v>5895.68</v>
      </c>
    </row>
    <row r="1131" spans="1:9" ht="30">
      <c r="A1131" s="74"/>
      <c r="B1131" s="80" t="s">
        <v>493</v>
      </c>
      <c r="C1131" s="81" t="s">
        <v>494</v>
      </c>
      <c r="D1131" s="74" t="s">
        <v>23</v>
      </c>
      <c r="E1131" s="78">
        <v>1</v>
      </c>
      <c r="F1131" s="64">
        <f>G1137</f>
        <v>95.2</v>
      </c>
      <c r="G1131" s="64">
        <f t="shared" ref="G1131:G1136" si="61">TRUNC(E1131*F1131,2)</f>
        <v>95.2</v>
      </c>
      <c r="H1131" s="64"/>
      <c r="I1131" s="78"/>
    </row>
    <row r="1132" spans="1:9" ht="15">
      <c r="A1132" s="74"/>
      <c r="B1132" s="80" t="s">
        <v>469</v>
      </c>
      <c r="C1132" s="81" t="s">
        <v>470</v>
      </c>
      <c r="D1132" s="74" t="s">
        <v>7</v>
      </c>
      <c r="E1132" s="78">
        <v>4</v>
      </c>
      <c r="F1132" s="64">
        <v>0.2266</v>
      </c>
      <c r="G1132" s="64">
        <f t="shared" si="61"/>
        <v>0.9</v>
      </c>
      <c r="H1132" s="64"/>
      <c r="I1132" s="78"/>
    </row>
    <row r="1133" spans="1:9" ht="15">
      <c r="A1133" s="74"/>
      <c r="B1133" s="80" t="s">
        <v>471</v>
      </c>
      <c r="C1133" s="81" t="s">
        <v>472</v>
      </c>
      <c r="D1133" s="74" t="s">
        <v>7</v>
      </c>
      <c r="E1133" s="78">
        <v>4</v>
      </c>
      <c r="F1133" s="64">
        <v>0.04</v>
      </c>
      <c r="G1133" s="64">
        <f t="shared" si="61"/>
        <v>0.16</v>
      </c>
      <c r="H1133" s="64"/>
      <c r="I1133" s="78"/>
    </row>
    <row r="1134" spans="1:9" ht="15">
      <c r="A1134" s="74"/>
      <c r="B1134" s="80" t="s">
        <v>495</v>
      </c>
      <c r="C1134" s="81" t="s">
        <v>496</v>
      </c>
      <c r="D1134" s="74" t="s">
        <v>23</v>
      </c>
      <c r="E1134" s="78">
        <v>0.52500000000000002</v>
      </c>
      <c r="F1134" s="64">
        <v>120</v>
      </c>
      <c r="G1134" s="64">
        <f t="shared" si="61"/>
        <v>63</v>
      </c>
      <c r="H1134" s="64"/>
      <c r="I1134" s="78"/>
    </row>
    <row r="1135" spans="1:9" ht="30">
      <c r="A1135" s="74"/>
      <c r="B1135" s="80" t="s">
        <v>49</v>
      </c>
      <c r="C1135" s="81" t="s">
        <v>50</v>
      </c>
      <c r="D1135" s="74" t="s">
        <v>51</v>
      </c>
      <c r="E1135" s="78">
        <v>0.82400000000000007</v>
      </c>
      <c r="F1135" s="64">
        <f>TRUNC(15.2,2)</f>
        <v>15.2</v>
      </c>
      <c r="G1135" s="64">
        <f t="shared" si="61"/>
        <v>12.52</v>
      </c>
      <c r="H1135" s="64"/>
      <c r="I1135" s="78"/>
    </row>
    <row r="1136" spans="1:9" ht="30">
      <c r="A1136" s="74"/>
      <c r="B1136" s="80" t="s">
        <v>52</v>
      </c>
      <c r="C1136" s="81" t="s">
        <v>53</v>
      </c>
      <c r="D1136" s="74" t="s">
        <v>51</v>
      </c>
      <c r="E1136" s="78">
        <v>0.82400000000000007</v>
      </c>
      <c r="F1136" s="64">
        <f>TRUNC(22.6,2)</f>
        <v>22.6</v>
      </c>
      <c r="G1136" s="64">
        <f t="shared" si="61"/>
        <v>18.62</v>
      </c>
      <c r="H1136" s="64"/>
      <c r="I1136" s="78"/>
    </row>
    <row r="1137" spans="1:9" ht="15">
      <c r="A1137" s="74"/>
      <c r="B1137" s="80"/>
      <c r="C1137" s="81"/>
      <c r="D1137" s="74"/>
      <c r="E1137" s="78" t="s">
        <v>33</v>
      </c>
      <c r="F1137" s="64"/>
      <c r="G1137" s="64">
        <f>TRUNC(SUM(G1132:G1136),2)</f>
        <v>95.2</v>
      </c>
      <c r="H1137" s="64"/>
      <c r="I1137" s="78"/>
    </row>
    <row r="1138" spans="1:9" ht="60">
      <c r="A1138" s="74"/>
      <c r="B1138" s="80" t="s">
        <v>1898</v>
      </c>
      <c r="C1138" s="81" t="s">
        <v>1899</v>
      </c>
      <c r="D1138" s="74" t="s">
        <v>17</v>
      </c>
      <c r="E1138" s="78">
        <v>0.15</v>
      </c>
      <c r="F1138" s="64">
        <f>G1144</f>
        <v>14.57</v>
      </c>
      <c r="G1138" s="260">
        <f t="shared" ref="G1138:G1143" si="62">TRUNC(E1138*F1138,2)</f>
        <v>2.1800000000000002</v>
      </c>
      <c r="H1138" s="64"/>
      <c r="I1138" s="78"/>
    </row>
    <row r="1139" spans="1:9" ht="15">
      <c r="A1139" s="74"/>
      <c r="B1139" s="80" t="s">
        <v>802</v>
      </c>
      <c r="C1139" s="81" t="s">
        <v>803</v>
      </c>
      <c r="D1139" s="74" t="s">
        <v>477</v>
      </c>
      <c r="E1139" s="78">
        <v>2.8000000000000001E-2</v>
      </c>
      <c r="F1139" s="64">
        <f>TRUNC(98.52,2)</f>
        <v>98.52</v>
      </c>
      <c r="G1139" s="64">
        <f t="shared" si="62"/>
        <v>2.75</v>
      </c>
      <c r="H1139" s="64"/>
      <c r="I1139" s="78"/>
    </row>
    <row r="1140" spans="1:9" ht="15">
      <c r="A1140" s="74"/>
      <c r="B1140" s="80" t="s">
        <v>806</v>
      </c>
      <c r="C1140" s="81" t="s">
        <v>807</v>
      </c>
      <c r="D1140" s="74" t="s">
        <v>7</v>
      </c>
      <c r="E1140" s="78">
        <v>0.5</v>
      </c>
      <c r="F1140" s="64">
        <f>TRUNC(0.85,2)</f>
        <v>0.85</v>
      </c>
      <c r="G1140" s="64">
        <f t="shared" si="62"/>
        <v>0.42</v>
      </c>
      <c r="H1140" s="64"/>
      <c r="I1140" s="78"/>
    </row>
    <row r="1141" spans="1:9" ht="15">
      <c r="A1141" s="74"/>
      <c r="B1141" s="80" t="s">
        <v>1900</v>
      </c>
      <c r="C1141" s="81" t="s">
        <v>1901</v>
      </c>
      <c r="D1141" s="74" t="s">
        <v>477</v>
      </c>
      <c r="E1141" s="78">
        <v>3.5000000000000003E-2</v>
      </c>
      <c r="F1141" s="64">
        <f>TRUNC(73.95,2)</f>
        <v>73.95</v>
      </c>
      <c r="G1141" s="64">
        <f t="shared" si="62"/>
        <v>2.58</v>
      </c>
      <c r="H1141" s="64"/>
      <c r="I1141" s="78"/>
    </row>
    <row r="1142" spans="1:9" ht="30">
      <c r="A1142" s="74"/>
      <c r="B1142" s="80" t="s">
        <v>49</v>
      </c>
      <c r="C1142" s="81" t="s">
        <v>50</v>
      </c>
      <c r="D1142" s="74" t="s">
        <v>51</v>
      </c>
      <c r="E1142" s="78">
        <v>0.1545</v>
      </c>
      <c r="F1142" s="64">
        <f>TRUNC(15.2,2)</f>
        <v>15.2</v>
      </c>
      <c r="G1142" s="64">
        <f t="shared" si="62"/>
        <v>2.34</v>
      </c>
      <c r="H1142" s="64"/>
      <c r="I1142" s="78"/>
    </row>
    <row r="1143" spans="1:9" ht="15">
      <c r="A1143" s="74"/>
      <c r="B1143" s="80" t="s">
        <v>782</v>
      </c>
      <c r="C1143" s="81" t="s">
        <v>783</v>
      </c>
      <c r="D1143" s="74" t="s">
        <v>51</v>
      </c>
      <c r="E1143" s="78">
        <v>0.309</v>
      </c>
      <c r="F1143" s="64">
        <f>TRUNC(21,2)</f>
        <v>21</v>
      </c>
      <c r="G1143" s="64">
        <f t="shared" si="62"/>
        <v>6.48</v>
      </c>
      <c r="H1143" s="64"/>
      <c r="I1143" s="78"/>
    </row>
    <row r="1144" spans="1:9" ht="15">
      <c r="A1144" s="74"/>
      <c r="B1144" s="80"/>
      <c r="C1144" s="81"/>
      <c r="D1144" s="74"/>
      <c r="E1144" s="78" t="s">
        <v>33</v>
      </c>
      <c r="F1144" s="64"/>
      <c r="G1144" s="64">
        <f>TRUNC(SUM(G1139:G1143),2)</f>
        <v>14.57</v>
      </c>
      <c r="H1144" s="64"/>
      <c r="I1144" s="78"/>
    </row>
    <row r="1145" spans="1:9" ht="95.25">
      <c r="A1145" s="68" t="s">
        <v>498</v>
      </c>
      <c r="B1145" s="98" t="s">
        <v>1903</v>
      </c>
      <c r="C1145" s="23" t="s">
        <v>2058</v>
      </c>
      <c r="D1145" s="68" t="s">
        <v>23</v>
      </c>
      <c r="E1145" s="24">
        <v>207.7</v>
      </c>
      <c r="F1145" s="24">
        <f>TRUNC(G1146+G1153,2)</f>
        <v>45.43</v>
      </c>
      <c r="G1145" s="24">
        <f>TRUNC(F1145*1.2882,2)</f>
        <v>58.52</v>
      </c>
      <c r="H1145" s="24">
        <f>TRUNC(F1145*E1145,2)</f>
        <v>9435.81</v>
      </c>
      <c r="I1145" s="24">
        <f>TRUNC(E1145*G1145,2)</f>
        <v>12154.6</v>
      </c>
    </row>
    <row r="1146" spans="1:9" ht="30">
      <c r="A1146" s="74"/>
      <c r="B1146" s="80" t="s">
        <v>493</v>
      </c>
      <c r="C1146" s="81" t="s">
        <v>494</v>
      </c>
      <c r="D1146" s="74" t="s">
        <v>23</v>
      </c>
      <c r="E1146" s="78">
        <f>7/15</f>
        <v>0.46666666666666667</v>
      </c>
      <c r="F1146" s="64">
        <f>G1152</f>
        <v>95.2</v>
      </c>
      <c r="G1146" s="260">
        <f t="shared" ref="G1146:G1151" si="63">TRUNC(E1146*F1146,2)</f>
        <v>44.42</v>
      </c>
      <c r="H1146" s="64"/>
      <c r="I1146" s="78"/>
    </row>
    <row r="1147" spans="1:9" ht="15">
      <c r="A1147" s="74"/>
      <c r="B1147" s="80" t="s">
        <v>469</v>
      </c>
      <c r="C1147" s="81" t="s">
        <v>470</v>
      </c>
      <c r="D1147" s="74" t="s">
        <v>7</v>
      </c>
      <c r="E1147" s="78">
        <v>4</v>
      </c>
      <c r="F1147" s="64">
        <v>0.2266</v>
      </c>
      <c r="G1147" s="64">
        <f t="shared" si="63"/>
        <v>0.9</v>
      </c>
      <c r="H1147" s="64"/>
      <c r="I1147" s="78"/>
    </row>
    <row r="1148" spans="1:9" ht="15">
      <c r="A1148" s="74"/>
      <c r="B1148" s="80" t="s">
        <v>471</v>
      </c>
      <c r="C1148" s="81" t="s">
        <v>472</v>
      </c>
      <c r="D1148" s="74" t="s">
        <v>7</v>
      </c>
      <c r="E1148" s="78">
        <v>4</v>
      </c>
      <c r="F1148" s="64">
        <v>0.04</v>
      </c>
      <c r="G1148" s="64">
        <f t="shared" si="63"/>
        <v>0.16</v>
      </c>
      <c r="H1148" s="64"/>
      <c r="I1148" s="78"/>
    </row>
    <row r="1149" spans="1:9" ht="15">
      <c r="A1149" s="74"/>
      <c r="B1149" s="80" t="s">
        <v>495</v>
      </c>
      <c r="C1149" s="81" t="s">
        <v>496</v>
      </c>
      <c r="D1149" s="74" t="s">
        <v>23</v>
      </c>
      <c r="E1149" s="78">
        <v>0.52500000000000002</v>
      </c>
      <c r="F1149" s="64">
        <v>120</v>
      </c>
      <c r="G1149" s="64">
        <f t="shared" si="63"/>
        <v>63</v>
      </c>
      <c r="H1149" s="64"/>
      <c r="I1149" s="78"/>
    </row>
    <row r="1150" spans="1:9" ht="30">
      <c r="A1150" s="74"/>
      <c r="B1150" s="80" t="s">
        <v>49</v>
      </c>
      <c r="C1150" s="81" t="s">
        <v>50</v>
      </c>
      <c r="D1150" s="74" t="s">
        <v>51</v>
      </c>
      <c r="E1150" s="78">
        <v>0.82400000000000007</v>
      </c>
      <c r="F1150" s="64">
        <f>TRUNC(15.2,2)</f>
        <v>15.2</v>
      </c>
      <c r="G1150" s="64">
        <f t="shared" si="63"/>
        <v>12.52</v>
      </c>
      <c r="H1150" s="64"/>
      <c r="I1150" s="78"/>
    </row>
    <row r="1151" spans="1:9" ht="30">
      <c r="A1151" s="74"/>
      <c r="B1151" s="80" t="s">
        <v>52</v>
      </c>
      <c r="C1151" s="81" t="s">
        <v>53</v>
      </c>
      <c r="D1151" s="74" t="s">
        <v>51</v>
      </c>
      <c r="E1151" s="78">
        <v>0.82400000000000007</v>
      </c>
      <c r="F1151" s="64">
        <f>TRUNC(22.6,2)</f>
        <v>22.6</v>
      </c>
      <c r="G1151" s="64">
        <f t="shared" si="63"/>
        <v>18.62</v>
      </c>
      <c r="H1151" s="64"/>
      <c r="I1151" s="78"/>
    </row>
    <row r="1152" spans="1:9" ht="15">
      <c r="A1152" s="74"/>
      <c r="B1152" s="80"/>
      <c r="C1152" s="81"/>
      <c r="D1152" s="74"/>
      <c r="E1152" s="78" t="s">
        <v>33</v>
      </c>
      <c r="F1152" s="64"/>
      <c r="G1152" s="64">
        <f>TRUNC(SUM(G1147:G1151),2)</f>
        <v>95.2</v>
      </c>
      <c r="H1152" s="64"/>
      <c r="I1152" s="78"/>
    </row>
    <row r="1153" spans="1:9" ht="60">
      <c r="A1153" s="74"/>
      <c r="B1153" s="80" t="s">
        <v>1898</v>
      </c>
      <c r="C1153" s="81" t="s">
        <v>1899</v>
      </c>
      <c r="D1153" s="74" t="s">
        <v>17</v>
      </c>
      <c r="E1153" s="78">
        <v>7.0000000000000007E-2</v>
      </c>
      <c r="F1153" s="64">
        <f>G1159</f>
        <v>14.57</v>
      </c>
      <c r="G1153" s="260">
        <f t="shared" ref="G1153:G1158" si="64">TRUNC(E1153*F1153,2)</f>
        <v>1.01</v>
      </c>
      <c r="H1153" s="64"/>
      <c r="I1153" s="78"/>
    </row>
    <row r="1154" spans="1:9" ht="15">
      <c r="A1154" s="74"/>
      <c r="B1154" s="80" t="s">
        <v>802</v>
      </c>
      <c r="C1154" s="81" t="s">
        <v>803</v>
      </c>
      <c r="D1154" s="74" t="s">
        <v>477</v>
      </c>
      <c r="E1154" s="78">
        <v>2.8000000000000001E-2</v>
      </c>
      <c r="F1154" s="64">
        <f>TRUNC(98.52,2)</f>
        <v>98.52</v>
      </c>
      <c r="G1154" s="64">
        <f t="shared" si="64"/>
        <v>2.75</v>
      </c>
      <c r="H1154" s="64"/>
      <c r="I1154" s="78"/>
    </row>
    <row r="1155" spans="1:9" ht="15">
      <c r="A1155" s="74"/>
      <c r="B1155" s="80" t="s">
        <v>806</v>
      </c>
      <c r="C1155" s="81" t="s">
        <v>807</v>
      </c>
      <c r="D1155" s="74" t="s">
        <v>7</v>
      </c>
      <c r="E1155" s="78">
        <v>0.5</v>
      </c>
      <c r="F1155" s="64">
        <f>TRUNC(0.85,2)</f>
        <v>0.85</v>
      </c>
      <c r="G1155" s="64">
        <f t="shared" si="64"/>
        <v>0.42</v>
      </c>
      <c r="H1155" s="64"/>
      <c r="I1155" s="78"/>
    </row>
    <row r="1156" spans="1:9" ht="15">
      <c r="A1156" s="74"/>
      <c r="B1156" s="80" t="s">
        <v>1900</v>
      </c>
      <c r="C1156" s="81" t="s">
        <v>1901</v>
      </c>
      <c r="D1156" s="74" t="s">
        <v>477</v>
      </c>
      <c r="E1156" s="78">
        <v>3.5000000000000003E-2</v>
      </c>
      <c r="F1156" s="64">
        <f>TRUNC(73.95,2)</f>
        <v>73.95</v>
      </c>
      <c r="G1156" s="64">
        <f t="shared" si="64"/>
        <v>2.58</v>
      </c>
      <c r="H1156" s="64"/>
      <c r="I1156" s="78"/>
    </row>
    <row r="1157" spans="1:9" ht="30">
      <c r="A1157" s="74"/>
      <c r="B1157" s="80" t="s">
        <v>49</v>
      </c>
      <c r="C1157" s="81" t="s">
        <v>50</v>
      </c>
      <c r="D1157" s="74" t="s">
        <v>51</v>
      </c>
      <c r="E1157" s="78">
        <v>0.1545</v>
      </c>
      <c r="F1157" s="64">
        <f>TRUNC(15.2,2)</f>
        <v>15.2</v>
      </c>
      <c r="G1157" s="64">
        <f t="shared" si="64"/>
        <v>2.34</v>
      </c>
      <c r="H1157" s="64"/>
      <c r="I1157" s="78"/>
    </row>
    <row r="1158" spans="1:9" ht="15">
      <c r="A1158" s="74"/>
      <c r="B1158" s="80" t="s">
        <v>782</v>
      </c>
      <c r="C1158" s="81" t="s">
        <v>783</v>
      </c>
      <c r="D1158" s="74" t="s">
        <v>51</v>
      </c>
      <c r="E1158" s="78">
        <v>0.309</v>
      </c>
      <c r="F1158" s="64">
        <f>TRUNC(21,2)</f>
        <v>21</v>
      </c>
      <c r="G1158" s="64">
        <f t="shared" si="64"/>
        <v>6.48</v>
      </c>
      <c r="H1158" s="64"/>
      <c r="I1158" s="78"/>
    </row>
    <row r="1159" spans="1:9" ht="15">
      <c r="A1159" s="74"/>
      <c r="B1159" s="80"/>
      <c r="C1159" s="81"/>
      <c r="D1159" s="74"/>
      <c r="E1159" s="78" t="s">
        <v>33</v>
      </c>
      <c r="F1159" s="64"/>
      <c r="G1159" s="64">
        <f>TRUNC(SUM(G1154:G1158),2)</f>
        <v>14.57</v>
      </c>
      <c r="H1159" s="64"/>
      <c r="I1159" s="78"/>
    </row>
    <row r="1160" spans="1:9" ht="30">
      <c r="A1160" s="68" t="s">
        <v>505</v>
      </c>
      <c r="B1160" s="98" t="s">
        <v>502</v>
      </c>
      <c r="C1160" s="23" t="s">
        <v>499</v>
      </c>
      <c r="D1160" s="68" t="s">
        <v>7</v>
      </c>
      <c r="E1160" s="24">
        <v>2</v>
      </c>
      <c r="F1160" s="24">
        <f>TRUNC(F1161,2)</f>
        <v>301.64</v>
      </c>
      <c r="G1160" s="24">
        <f>TRUNC(F1160*1.2882,2)</f>
        <v>388.57</v>
      </c>
      <c r="H1160" s="24">
        <f>TRUNC(F1160*E1160,2)</f>
        <v>603.28</v>
      </c>
      <c r="I1160" s="24">
        <f>TRUNC(E1160*G1160,2)</f>
        <v>777.14</v>
      </c>
    </row>
    <row r="1161" spans="1:9" ht="30">
      <c r="A1161" s="74"/>
      <c r="B1161" s="80" t="s">
        <v>502</v>
      </c>
      <c r="C1161" s="81" t="s">
        <v>499</v>
      </c>
      <c r="D1161" s="74" t="s">
        <v>7</v>
      </c>
      <c r="E1161" s="78">
        <v>1</v>
      </c>
      <c r="F1161" s="64">
        <f>G1166</f>
        <v>301.64</v>
      </c>
      <c r="G1161" s="64">
        <f>TRUNC(E1161*F1161,2)</f>
        <v>301.64</v>
      </c>
      <c r="H1161" s="64"/>
      <c r="I1161" s="78"/>
    </row>
    <row r="1162" spans="1:9" ht="30">
      <c r="A1162" s="74"/>
      <c r="B1162" s="80" t="s">
        <v>503</v>
      </c>
      <c r="C1162" s="81" t="s">
        <v>500</v>
      </c>
      <c r="D1162" s="74" t="s">
        <v>7</v>
      </c>
      <c r="E1162" s="78">
        <v>1</v>
      </c>
      <c r="F1162" s="64">
        <v>107.85</v>
      </c>
      <c r="G1162" s="64">
        <f>TRUNC(E1162*F1162,2)</f>
        <v>107.85</v>
      </c>
      <c r="H1162" s="64"/>
      <c r="I1162" s="78"/>
    </row>
    <row r="1163" spans="1:9" ht="30">
      <c r="A1163" s="74"/>
      <c r="B1163" s="80" t="s">
        <v>504</v>
      </c>
      <c r="C1163" s="81" t="s">
        <v>501</v>
      </c>
      <c r="D1163" s="74" t="s">
        <v>7</v>
      </c>
      <c r="E1163" s="78">
        <v>6</v>
      </c>
      <c r="F1163" s="64">
        <v>26.57</v>
      </c>
      <c r="G1163" s="64">
        <f>TRUNC(E1163*F1163,2)</f>
        <v>159.41999999999999</v>
      </c>
      <c r="H1163" s="64"/>
      <c r="I1163" s="78"/>
    </row>
    <row r="1164" spans="1:9" ht="15">
      <c r="A1164" s="74"/>
      <c r="B1164" s="80" t="s">
        <v>56</v>
      </c>
      <c r="C1164" s="81" t="s">
        <v>57</v>
      </c>
      <c r="D1164" s="74" t="s">
        <v>51</v>
      </c>
      <c r="E1164" s="78">
        <v>0.29880000000000001</v>
      </c>
      <c r="F1164" s="64">
        <f>TRUNC(22.72,2)</f>
        <v>22.72</v>
      </c>
      <c r="G1164" s="64">
        <f>TRUNC(E1164*F1164,2)</f>
        <v>6.78</v>
      </c>
      <c r="H1164" s="64"/>
      <c r="I1164" s="78"/>
    </row>
    <row r="1165" spans="1:9" ht="15">
      <c r="A1165" s="74"/>
      <c r="B1165" s="80" t="s">
        <v>146</v>
      </c>
      <c r="C1165" s="81" t="s">
        <v>147</v>
      </c>
      <c r="D1165" s="74" t="s">
        <v>51</v>
      </c>
      <c r="E1165" s="78">
        <v>0.94850000000000001</v>
      </c>
      <c r="F1165" s="64">
        <f>TRUNC(29.09,2)</f>
        <v>29.09</v>
      </c>
      <c r="G1165" s="64">
        <f>TRUNC(E1165*F1165,2)</f>
        <v>27.59</v>
      </c>
      <c r="H1165" s="64"/>
      <c r="I1165" s="78"/>
    </row>
    <row r="1166" spans="1:9" ht="15">
      <c r="A1166" s="74"/>
      <c r="B1166" s="80"/>
      <c r="C1166" s="81"/>
      <c r="D1166" s="74"/>
      <c r="E1166" s="78" t="s">
        <v>33</v>
      </c>
      <c r="F1166" s="64"/>
      <c r="G1166" s="64">
        <f>TRUNC(SUM(G1162:G1165),2)</f>
        <v>301.64</v>
      </c>
      <c r="H1166" s="64"/>
      <c r="I1166" s="78"/>
    </row>
    <row r="1167" spans="1:9" ht="75">
      <c r="A1167" s="68" t="s">
        <v>506</v>
      </c>
      <c r="B1167" s="98" t="s">
        <v>512</v>
      </c>
      <c r="C1167" s="23" t="s">
        <v>513</v>
      </c>
      <c r="D1167" s="68" t="s">
        <v>7</v>
      </c>
      <c r="E1167" s="24">
        <v>6</v>
      </c>
      <c r="F1167" s="24">
        <f>TRUNC(F1168,2)</f>
        <v>87.33</v>
      </c>
      <c r="G1167" s="24">
        <f>TRUNC(F1167*1.2882,2)</f>
        <v>112.49</v>
      </c>
      <c r="H1167" s="24">
        <f>TRUNC(F1167*E1167,2)</f>
        <v>523.98</v>
      </c>
      <c r="I1167" s="24">
        <f>TRUNC(E1167*G1167,2)</f>
        <v>674.94</v>
      </c>
    </row>
    <row r="1168" spans="1:9" ht="75">
      <c r="A1168" s="74"/>
      <c r="B1168" s="80" t="s">
        <v>512</v>
      </c>
      <c r="C1168" s="81" t="s">
        <v>513</v>
      </c>
      <c r="D1168" s="74" t="s">
        <v>7</v>
      </c>
      <c r="E1168" s="78">
        <v>1</v>
      </c>
      <c r="F1168" s="64">
        <f>G1172</f>
        <v>87.33</v>
      </c>
      <c r="G1168" s="64">
        <f>TRUNC(E1168*F1168,2)</f>
        <v>87.33</v>
      </c>
      <c r="H1168" s="64"/>
      <c r="I1168" s="78"/>
    </row>
    <row r="1169" spans="1:9" ht="30">
      <c r="A1169" s="74"/>
      <c r="B1169" s="80" t="s">
        <v>514</v>
      </c>
      <c r="C1169" s="81" t="s">
        <v>515</v>
      </c>
      <c r="D1169" s="74" t="s">
        <v>7</v>
      </c>
      <c r="E1169" s="78">
        <v>1</v>
      </c>
      <c r="F1169" s="64">
        <v>67.88</v>
      </c>
      <c r="G1169" s="64">
        <f>TRUNC(E1169*F1169,2)</f>
        <v>67.88</v>
      </c>
      <c r="H1169" s="64"/>
      <c r="I1169" s="78"/>
    </row>
    <row r="1170" spans="1:9" ht="30">
      <c r="A1170" s="74"/>
      <c r="B1170" s="80" t="s">
        <v>49</v>
      </c>
      <c r="C1170" s="81" t="s">
        <v>50</v>
      </c>
      <c r="D1170" s="74" t="s">
        <v>51</v>
      </c>
      <c r="E1170" s="78">
        <v>0.51500000000000001</v>
      </c>
      <c r="F1170" s="64">
        <f>TRUNC(15.2,2)</f>
        <v>15.2</v>
      </c>
      <c r="G1170" s="64">
        <f>TRUNC(E1170*F1170,2)</f>
        <v>7.82</v>
      </c>
      <c r="H1170" s="64"/>
      <c r="I1170" s="78"/>
    </row>
    <row r="1171" spans="1:9" ht="30">
      <c r="A1171" s="74"/>
      <c r="B1171" s="80" t="s">
        <v>52</v>
      </c>
      <c r="C1171" s="81" t="s">
        <v>53</v>
      </c>
      <c r="D1171" s="74" t="s">
        <v>51</v>
      </c>
      <c r="E1171" s="78">
        <v>0.51500000000000001</v>
      </c>
      <c r="F1171" s="64">
        <f>TRUNC(22.6,2)</f>
        <v>22.6</v>
      </c>
      <c r="G1171" s="64">
        <f>TRUNC(E1171*F1171,2)</f>
        <v>11.63</v>
      </c>
      <c r="H1171" s="64"/>
      <c r="I1171" s="78"/>
    </row>
    <row r="1172" spans="1:9" ht="15">
      <c r="A1172" s="74"/>
      <c r="B1172" s="80"/>
      <c r="C1172" s="81"/>
      <c r="D1172" s="74"/>
      <c r="E1172" s="78" t="s">
        <v>33</v>
      </c>
      <c r="F1172" s="64"/>
      <c r="G1172" s="64">
        <f>TRUNC(SUM(G1169:G1171),2)</f>
        <v>87.33</v>
      </c>
      <c r="H1172" s="64"/>
      <c r="I1172" s="78"/>
    </row>
    <row r="1173" spans="1:9" ht="30">
      <c r="A1173" s="68" t="s">
        <v>507</v>
      </c>
      <c r="B1173" s="98" t="s">
        <v>508</v>
      </c>
      <c r="C1173" s="23" t="s">
        <v>509</v>
      </c>
      <c r="D1173" s="68" t="s">
        <v>7</v>
      </c>
      <c r="E1173" s="24">
        <v>6</v>
      </c>
      <c r="F1173" s="24">
        <f>TRUNC(F1174,2)</f>
        <v>308.79000000000002</v>
      </c>
      <c r="G1173" s="24">
        <f>TRUNC(F1173*1.2882,2)</f>
        <v>397.78</v>
      </c>
      <c r="H1173" s="24">
        <f>TRUNC(F1173*E1173,2)</f>
        <v>1852.74</v>
      </c>
      <c r="I1173" s="24">
        <f>TRUNC(E1173*G1173,2)</f>
        <v>2386.6799999999998</v>
      </c>
    </row>
    <row r="1174" spans="1:9" ht="30">
      <c r="A1174" s="74"/>
      <c r="B1174" s="80" t="s">
        <v>508</v>
      </c>
      <c r="C1174" s="81" t="s">
        <v>509</v>
      </c>
      <c r="D1174" s="74" t="s">
        <v>7</v>
      </c>
      <c r="E1174" s="78">
        <v>1</v>
      </c>
      <c r="F1174" s="64">
        <f>G1179</f>
        <v>308.79000000000002</v>
      </c>
      <c r="G1174" s="64">
        <f>TRUNC(E1174*F1174,2)</f>
        <v>308.79000000000002</v>
      </c>
      <c r="H1174" s="64"/>
      <c r="I1174" s="78"/>
    </row>
    <row r="1175" spans="1:9" ht="30">
      <c r="A1175" s="74"/>
      <c r="B1175" s="80" t="s">
        <v>510</v>
      </c>
      <c r="C1175" s="81" t="s">
        <v>511</v>
      </c>
      <c r="D1175" s="74" t="s">
        <v>7</v>
      </c>
      <c r="E1175" s="78">
        <v>1</v>
      </c>
      <c r="F1175" s="64">
        <v>115</v>
      </c>
      <c r="G1175" s="64">
        <f>TRUNC(E1175*F1175,2)</f>
        <v>115</v>
      </c>
      <c r="H1175" s="64"/>
      <c r="I1175" s="78"/>
    </row>
    <row r="1176" spans="1:9" ht="30">
      <c r="A1176" s="74"/>
      <c r="B1176" s="80" t="s">
        <v>504</v>
      </c>
      <c r="C1176" s="81" t="s">
        <v>501</v>
      </c>
      <c r="D1176" s="74" t="s">
        <v>7</v>
      </c>
      <c r="E1176" s="78">
        <v>6</v>
      </c>
      <c r="F1176" s="64">
        <v>26.57</v>
      </c>
      <c r="G1176" s="64">
        <f>TRUNC(E1176*F1176,2)</f>
        <v>159.41999999999999</v>
      </c>
      <c r="H1176" s="64"/>
      <c r="I1176" s="78"/>
    </row>
    <row r="1177" spans="1:9" ht="15">
      <c r="A1177" s="74"/>
      <c r="B1177" s="80" t="s">
        <v>56</v>
      </c>
      <c r="C1177" s="81" t="s">
        <v>57</v>
      </c>
      <c r="D1177" s="74" t="s">
        <v>51</v>
      </c>
      <c r="E1177" s="78">
        <v>0.29880000000000001</v>
      </c>
      <c r="F1177" s="64">
        <f>TRUNC(22.72,2)</f>
        <v>22.72</v>
      </c>
      <c r="G1177" s="64">
        <f>TRUNC(E1177*F1177,2)</f>
        <v>6.78</v>
      </c>
      <c r="H1177" s="64"/>
      <c r="I1177" s="78"/>
    </row>
    <row r="1178" spans="1:9" ht="15">
      <c r="A1178" s="74"/>
      <c r="B1178" s="80" t="s">
        <v>146</v>
      </c>
      <c r="C1178" s="81" t="s">
        <v>147</v>
      </c>
      <c r="D1178" s="74" t="s">
        <v>51</v>
      </c>
      <c r="E1178" s="78">
        <v>0.94850000000000001</v>
      </c>
      <c r="F1178" s="64">
        <f>TRUNC(29.09,2)</f>
        <v>29.09</v>
      </c>
      <c r="G1178" s="64">
        <f>TRUNC(E1178*F1178,2)</f>
        <v>27.59</v>
      </c>
      <c r="H1178" s="64"/>
      <c r="I1178" s="78"/>
    </row>
    <row r="1179" spans="1:9" ht="15">
      <c r="A1179" s="74"/>
      <c r="B1179" s="80"/>
      <c r="C1179" s="81"/>
      <c r="D1179" s="74"/>
      <c r="E1179" s="78" t="s">
        <v>33</v>
      </c>
      <c r="F1179" s="64"/>
      <c r="G1179" s="64">
        <f>TRUNC(SUM(G1175:G1178),2)</f>
        <v>308.79000000000002</v>
      </c>
      <c r="H1179" s="64"/>
      <c r="I1179" s="78"/>
    </row>
    <row r="1180" spans="1:9" ht="30">
      <c r="A1180" s="68" t="s">
        <v>520</v>
      </c>
      <c r="B1180" s="98" t="s">
        <v>518</v>
      </c>
      <c r="C1180" s="23" t="s">
        <v>1904</v>
      </c>
      <c r="D1180" s="68" t="s">
        <v>17</v>
      </c>
      <c r="E1180" s="24">
        <v>8.3000000000000007</v>
      </c>
      <c r="F1180" s="24">
        <f>TRUNC(F1181,2)</f>
        <v>622.79</v>
      </c>
      <c r="G1180" s="24">
        <f>TRUNC(F1180*1.2882,2)</f>
        <v>802.27</v>
      </c>
      <c r="H1180" s="24">
        <f>TRUNC(F1180*E1180,2)</f>
        <v>5169.1499999999996</v>
      </c>
      <c r="I1180" s="24">
        <f>TRUNC(E1180*G1180,2)</f>
        <v>6658.84</v>
      </c>
    </row>
    <row r="1181" spans="1:9" ht="30">
      <c r="A1181" s="74"/>
      <c r="B1181" s="80" t="s">
        <v>518</v>
      </c>
      <c r="C1181" s="81" t="s">
        <v>519</v>
      </c>
      <c r="D1181" s="74" t="s">
        <v>17</v>
      </c>
      <c r="E1181" s="78">
        <v>1</v>
      </c>
      <c r="F1181" s="64">
        <f>G1186</f>
        <v>622.79</v>
      </c>
      <c r="G1181" s="64">
        <f>TRUNC(E1181*F1181,2)</f>
        <v>622.79</v>
      </c>
      <c r="H1181" s="64"/>
      <c r="I1181" s="78"/>
    </row>
    <row r="1182" spans="1:9" ht="15">
      <c r="A1182" s="74"/>
      <c r="B1182" s="80" t="s">
        <v>372</v>
      </c>
      <c r="C1182" s="81" t="s">
        <v>373</v>
      </c>
      <c r="D1182" s="74" t="s">
        <v>46</v>
      </c>
      <c r="E1182" s="78">
        <v>7.8</v>
      </c>
      <c r="F1182" s="64">
        <v>34.5</v>
      </c>
      <c r="G1182" s="64">
        <f>TRUNC(E1182*F1182,2)</f>
        <v>269.10000000000002</v>
      </c>
      <c r="H1182" s="64"/>
      <c r="I1182" s="78"/>
    </row>
    <row r="1183" spans="1:9" ht="15">
      <c r="A1183" s="74"/>
      <c r="B1183" s="80" t="s">
        <v>516</v>
      </c>
      <c r="C1183" s="81" t="s">
        <v>517</v>
      </c>
      <c r="D1183" s="74" t="s">
        <v>17</v>
      </c>
      <c r="E1183" s="78">
        <v>1</v>
      </c>
      <c r="F1183" s="64">
        <v>236.9</v>
      </c>
      <c r="G1183" s="64">
        <f>TRUNC(E1183*F1183,2)</f>
        <v>236.9</v>
      </c>
      <c r="H1183" s="64"/>
      <c r="I1183" s="78"/>
    </row>
    <row r="1184" spans="1:9" ht="30">
      <c r="A1184" s="74"/>
      <c r="B1184" s="80" t="s">
        <v>49</v>
      </c>
      <c r="C1184" s="81" t="s">
        <v>50</v>
      </c>
      <c r="D1184" s="74" t="s">
        <v>51</v>
      </c>
      <c r="E1184" s="78">
        <v>3.09</v>
      </c>
      <c r="F1184" s="64">
        <f>TRUNC(15.2,2)</f>
        <v>15.2</v>
      </c>
      <c r="G1184" s="64">
        <f>TRUNC(E1184*F1184,2)</f>
        <v>46.96</v>
      </c>
      <c r="H1184" s="64"/>
      <c r="I1184" s="78"/>
    </row>
    <row r="1185" spans="1:9" ht="30">
      <c r="A1185" s="74"/>
      <c r="B1185" s="80" t="s">
        <v>374</v>
      </c>
      <c r="C1185" s="81" t="s">
        <v>375</v>
      </c>
      <c r="D1185" s="74" t="s">
        <v>51</v>
      </c>
      <c r="E1185" s="78">
        <v>3.09</v>
      </c>
      <c r="F1185" s="64">
        <f>TRUNC(22.6,2)</f>
        <v>22.6</v>
      </c>
      <c r="G1185" s="64">
        <f>TRUNC(E1185*F1185,2)</f>
        <v>69.83</v>
      </c>
      <c r="H1185" s="64"/>
      <c r="I1185" s="78"/>
    </row>
    <row r="1186" spans="1:9" ht="15">
      <c r="A1186" s="74"/>
      <c r="B1186" s="80"/>
      <c r="C1186" s="81"/>
      <c r="D1186" s="74"/>
      <c r="E1186" s="78" t="s">
        <v>33</v>
      </c>
      <c r="F1186" s="64"/>
      <c r="G1186" s="64">
        <f>TRUNC(SUM(G1182:G1185),2)</f>
        <v>622.79</v>
      </c>
      <c r="H1186" s="64"/>
      <c r="I1186" s="78"/>
    </row>
    <row r="1187" spans="1:9" ht="30">
      <c r="A1187" s="68" t="s">
        <v>525</v>
      </c>
      <c r="B1187" s="98" t="s">
        <v>521</v>
      </c>
      <c r="C1187" s="23" t="s">
        <v>522</v>
      </c>
      <c r="D1187" s="68" t="s">
        <v>7</v>
      </c>
      <c r="E1187" s="24">
        <v>15</v>
      </c>
      <c r="F1187" s="24">
        <f>TRUNC(F1188,2)</f>
        <v>16.190000000000001</v>
      </c>
      <c r="G1187" s="24">
        <f>TRUNC(F1187*1.2882,2)</f>
        <v>20.85</v>
      </c>
      <c r="H1187" s="24">
        <f>TRUNC(F1187*E1187,2)</f>
        <v>242.85</v>
      </c>
      <c r="I1187" s="24">
        <f>TRUNC(E1187*G1187,2)</f>
        <v>312.75</v>
      </c>
    </row>
    <row r="1188" spans="1:9" ht="30">
      <c r="A1188" s="74"/>
      <c r="B1188" s="80" t="s">
        <v>521</v>
      </c>
      <c r="C1188" s="81" t="s">
        <v>522</v>
      </c>
      <c r="D1188" s="74" t="s">
        <v>7</v>
      </c>
      <c r="E1188" s="78">
        <v>1</v>
      </c>
      <c r="F1188" s="64">
        <f>G1191</f>
        <v>16.190000000000001</v>
      </c>
      <c r="G1188" s="64">
        <f>TRUNC(E1188*F1188,2)</f>
        <v>16.190000000000001</v>
      </c>
      <c r="H1188" s="64"/>
      <c r="I1188" s="78"/>
    </row>
    <row r="1189" spans="1:9" ht="15">
      <c r="A1189" s="74"/>
      <c r="B1189" s="80" t="s">
        <v>523</v>
      </c>
      <c r="C1189" s="81" t="s">
        <v>524</v>
      </c>
      <c r="D1189" s="74" t="s">
        <v>7</v>
      </c>
      <c r="E1189" s="78">
        <v>1</v>
      </c>
      <c r="F1189" s="64">
        <v>4.5599999999999996</v>
      </c>
      <c r="G1189" s="64">
        <f>TRUNC(E1189*F1189,2)</f>
        <v>4.5599999999999996</v>
      </c>
      <c r="H1189" s="64"/>
      <c r="I1189" s="78"/>
    </row>
    <row r="1190" spans="1:9" ht="15">
      <c r="A1190" s="74"/>
      <c r="B1190" s="80" t="s">
        <v>277</v>
      </c>
      <c r="C1190" s="81" t="s">
        <v>278</v>
      </c>
      <c r="D1190" s="74" t="s">
        <v>51</v>
      </c>
      <c r="E1190" s="78">
        <v>0.51500000000000001</v>
      </c>
      <c r="F1190" s="64">
        <f>TRUNC(22.6,2)</f>
        <v>22.6</v>
      </c>
      <c r="G1190" s="64">
        <f>TRUNC(E1190*F1190,2)</f>
        <v>11.63</v>
      </c>
      <c r="H1190" s="64"/>
      <c r="I1190" s="78"/>
    </row>
    <row r="1191" spans="1:9" ht="15">
      <c r="A1191" s="74"/>
      <c r="B1191" s="80"/>
      <c r="C1191" s="81"/>
      <c r="D1191" s="74"/>
      <c r="E1191" s="78" t="s">
        <v>33</v>
      </c>
      <c r="F1191" s="64"/>
      <c r="G1191" s="64">
        <f>TRUNC(SUM(G1189:G1190),2)</f>
        <v>16.190000000000001</v>
      </c>
      <c r="H1191" s="64"/>
      <c r="I1191" s="78"/>
    </row>
    <row r="1192" spans="1:9" ht="30">
      <c r="A1192" s="68" t="s">
        <v>1783</v>
      </c>
      <c r="B1192" s="98" t="s">
        <v>526</v>
      </c>
      <c r="C1192" s="23" t="s">
        <v>527</v>
      </c>
      <c r="D1192" s="68" t="s">
        <v>7</v>
      </c>
      <c r="E1192" s="24">
        <v>12</v>
      </c>
      <c r="F1192" s="24">
        <f>TRUNC(F1193,2)</f>
        <v>34.19</v>
      </c>
      <c r="G1192" s="24">
        <f>TRUNC(F1192*1.2882,2)</f>
        <v>44.04</v>
      </c>
      <c r="H1192" s="24">
        <f>TRUNC(F1192*E1192,2)</f>
        <v>410.28</v>
      </c>
      <c r="I1192" s="24">
        <f>TRUNC(E1192*G1192,2)</f>
        <v>528.48</v>
      </c>
    </row>
    <row r="1193" spans="1:9" ht="30">
      <c r="A1193" s="74"/>
      <c r="B1193" s="80" t="s">
        <v>526</v>
      </c>
      <c r="C1193" s="81" t="s">
        <v>527</v>
      </c>
      <c r="D1193" s="74" t="s">
        <v>7</v>
      </c>
      <c r="E1193" s="78">
        <v>1</v>
      </c>
      <c r="F1193" s="64">
        <f>G1196</f>
        <v>34.19</v>
      </c>
      <c r="G1193" s="64">
        <f>TRUNC(E1193*F1193,2)</f>
        <v>34.19</v>
      </c>
      <c r="H1193" s="64"/>
      <c r="I1193" s="78"/>
    </row>
    <row r="1194" spans="1:9" ht="15">
      <c r="A1194" s="74"/>
      <c r="B1194" s="80" t="s">
        <v>528</v>
      </c>
      <c r="C1194" s="81" t="s">
        <v>529</v>
      </c>
      <c r="D1194" s="74" t="s">
        <v>7</v>
      </c>
      <c r="E1194" s="78">
        <v>1</v>
      </c>
      <c r="F1194" s="64">
        <v>22.56</v>
      </c>
      <c r="G1194" s="64">
        <f>TRUNC(E1194*F1194,2)</f>
        <v>22.56</v>
      </c>
      <c r="H1194" s="64"/>
      <c r="I1194" s="78"/>
    </row>
    <row r="1195" spans="1:9" ht="15">
      <c r="A1195" s="74"/>
      <c r="B1195" s="80" t="s">
        <v>277</v>
      </c>
      <c r="C1195" s="81" t="s">
        <v>278</v>
      </c>
      <c r="D1195" s="74" t="s">
        <v>51</v>
      </c>
      <c r="E1195" s="78">
        <v>0.51500000000000001</v>
      </c>
      <c r="F1195" s="64">
        <f>TRUNC(22.6,2)</f>
        <v>22.6</v>
      </c>
      <c r="G1195" s="64">
        <f>TRUNC(E1195*F1195,2)</f>
        <v>11.63</v>
      </c>
      <c r="H1195" s="64"/>
      <c r="I1195" s="78"/>
    </row>
    <row r="1196" spans="1:9" ht="15">
      <c r="A1196" s="74"/>
      <c r="B1196" s="80"/>
      <c r="C1196" s="81"/>
      <c r="D1196" s="74"/>
      <c r="E1196" s="78" t="s">
        <v>33</v>
      </c>
      <c r="F1196" s="64"/>
      <c r="G1196" s="64">
        <f>TRUNC(SUM(G1194:G1195),2)</f>
        <v>34.19</v>
      </c>
      <c r="H1196" s="64"/>
      <c r="I1196" s="78"/>
    </row>
    <row r="1197" spans="1:9" s="115" customFormat="1" ht="45">
      <c r="A1197" s="68" t="s">
        <v>1852</v>
      </c>
      <c r="B1197" s="98" t="s">
        <v>1620</v>
      </c>
      <c r="C1197" s="23" t="s">
        <v>2094</v>
      </c>
      <c r="D1197" s="68" t="s">
        <v>383</v>
      </c>
      <c r="E1197" s="24">
        <v>1</v>
      </c>
      <c r="F1197" s="24">
        <f>TRUNC(F1198,2)</f>
        <v>63960</v>
      </c>
      <c r="G1197" s="24">
        <f>TRUNC(F1197*1.2285,2)</f>
        <v>78574.86</v>
      </c>
      <c r="H1197" s="24">
        <f>TRUNC(F1197*E1197,2)</f>
        <v>63960</v>
      </c>
      <c r="I1197" s="24">
        <f>TRUNC(E1197*G1197,2)</f>
        <v>78574.86</v>
      </c>
    </row>
    <row r="1198" spans="1:9" s="132" customFormat="1" ht="31.5">
      <c r="A1198" s="296"/>
      <c r="B1198" s="297" t="s">
        <v>1620</v>
      </c>
      <c r="C1198" s="258" t="s">
        <v>1853</v>
      </c>
      <c r="D1198" s="296" t="s">
        <v>1621</v>
      </c>
      <c r="E1198" s="259">
        <v>1</v>
      </c>
      <c r="F1198" s="298">
        <f>E1205</f>
        <v>63960</v>
      </c>
      <c r="G1198" s="298">
        <f>TRUNC(E1198*F1198,2)</f>
        <v>63960</v>
      </c>
      <c r="H1198" s="298"/>
      <c r="I1198" s="259"/>
    </row>
    <row r="1199" spans="1:9" s="115" customFormat="1" ht="15">
      <c r="A1199" s="299"/>
      <c r="B1199" s="300"/>
      <c r="C1199" s="81"/>
      <c r="D1199" s="299"/>
      <c r="E1199" s="78"/>
      <c r="F1199" s="301"/>
      <c r="G1199" s="301"/>
      <c r="H1199" s="301"/>
      <c r="I1199" s="78"/>
    </row>
    <row r="1200" spans="1:9" s="115" customFormat="1" ht="15">
      <c r="A1200" s="299"/>
      <c r="B1200" s="300"/>
      <c r="C1200" s="81"/>
      <c r="D1200" s="299"/>
      <c r="E1200" s="78" t="s">
        <v>1622</v>
      </c>
      <c r="F1200" s="301"/>
      <c r="G1200" s="301"/>
      <c r="H1200" s="301"/>
      <c r="I1200" s="78"/>
    </row>
    <row r="1201" spans="1:9" s="115" customFormat="1" ht="15">
      <c r="A1201" s="123"/>
      <c r="B1201" s="128"/>
      <c r="C1201" s="127"/>
      <c r="D1201" s="123"/>
      <c r="E1201" s="129"/>
      <c r="F1201" s="122"/>
      <c r="G1201" s="122"/>
      <c r="H1201" s="122"/>
      <c r="I1201" s="129"/>
    </row>
    <row r="1202" spans="1:9" s="115" customFormat="1" ht="30">
      <c r="A1202" s="123"/>
      <c r="B1202" s="128" t="s">
        <v>1854</v>
      </c>
      <c r="C1202" s="127" t="s">
        <v>1853</v>
      </c>
      <c r="D1202" s="123" t="s">
        <v>1621</v>
      </c>
      <c r="E1202" s="129">
        <v>74112.59</v>
      </c>
      <c r="F1202" s="122"/>
      <c r="G1202" s="131"/>
      <c r="H1202" s="122"/>
      <c r="I1202" s="129"/>
    </row>
    <row r="1203" spans="1:9" s="115" customFormat="1" ht="30">
      <c r="A1203" s="123"/>
      <c r="B1203" s="128" t="s">
        <v>1855</v>
      </c>
      <c r="C1203" s="127" t="s">
        <v>1853</v>
      </c>
      <c r="D1203" s="123" t="s">
        <v>1621</v>
      </c>
      <c r="E1203" s="129">
        <v>50000</v>
      </c>
      <c r="F1203" s="122"/>
      <c r="G1203" s="131"/>
      <c r="H1203" s="122"/>
      <c r="I1203" s="129"/>
    </row>
    <row r="1204" spans="1:9" s="115" customFormat="1" ht="30">
      <c r="A1204" s="123"/>
      <c r="B1204" s="128" t="s">
        <v>2006</v>
      </c>
      <c r="C1204" s="127" t="s">
        <v>1853</v>
      </c>
      <c r="D1204" s="123" t="s">
        <v>1621</v>
      </c>
      <c r="E1204" s="129">
        <f>49200*1.3</f>
        <v>63960</v>
      </c>
      <c r="F1204" s="122"/>
      <c r="G1204" s="122"/>
      <c r="H1204" s="122"/>
      <c r="I1204" s="129"/>
    </row>
    <row r="1205" spans="1:9" s="115" customFormat="1" ht="15">
      <c r="A1205" s="299"/>
      <c r="B1205" s="300"/>
      <c r="C1205" s="81"/>
      <c r="D1205" s="302" t="s">
        <v>1623</v>
      </c>
      <c r="E1205" s="78">
        <f>MEDIAN(E1202,E1203,E1204)</f>
        <v>63960</v>
      </c>
      <c r="F1205" s="301"/>
      <c r="G1205" s="301"/>
      <c r="H1205" s="301"/>
      <c r="I1205" s="78"/>
    </row>
    <row r="1206" spans="1:9" s="169" customFormat="1" ht="15.75">
      <c r="A1206" s="240" t="s">
        <v>18</v>
      </c>
      <c r="B1206" s="241"/>
      <c r="C1206" s="242"/>
      <c r="D1206" s="240"/>
      <c r="E1206" s="243"/>
      <c r="F1206" s="244"/>
      <c r="G1206" s="335" t="s">
        <v>530</v>
      </c>
      <c r="H1206" s="336"/>
      <c r="I1206" s="244">
        <f>I1012+I1021+I1030+I1036+I1041+I1050+I1058+I1066+I1080+I1094+I1106+I1118+I1130+I1145+I1160+I1167+I1173+I1180+I1187+I1192+I1197</f>
        <v>173364.3</v>
      </c>
    </row>
    <row r="1207" spans="1:9" s="261" customFormat="1" ht="14.25" customHeight="1">
      <c r="A1207" s="312" t="s">
        <v>26</v>
      </c>
      <c r="B1207" s="313"/>
      <c r="C1207" s="369" t="s">
        <v>531</v>
      </c>
      <c r="D1207" s="369"/>
      <c r="E1207" s="369"/>
      <c r="F1207" s="369"/>
      <c r="G1207" s="369"/>
      <c r="H1207" s="369"/>
      <c r="I1207" s="369"/>
    </row>
    <row r="1208" spans="1:9" ht="60.75">
      <c r="A1208" s="68" t="s">
        <v>532</v>
      </c>
      <c r="B1208" s="98" t="s">
        <v>533</v>
      </c>
      <c r="C1208" s="23" t="s">
        <v>1784</v>
      </c>
      <c r="D1208" s="68" t="s">
        <v>17</v>
      </c>
      <c r="E1208" s="24">
        <v>3.61</v>
      </c>
      <c r="F1208" s="24">
        <f>TRUNC(F1209,2)</f>
        <v>725.54</v>
      </c>
      <c r="G1208" s="24">
        <f>TRUNC(F1208*1.2882,2)</f>
        <v>934.64</v>
      </c>
      <c r="H1208" s="24">
        <f>TRUNC(F1208*E1208,2)</f>
        <v>2619.19</v>
      </c>
      <c r="I1208" s="24">
        <f>TRUNC(E1208*G1208,2)</f>
        <v>3374.05</v>
      </c>
    </row>
    <row r="1209" spans="1:9" ht="60">
      <c r="A1209" s="74"/>
      <c r="B1209" s="80" t="s">
        <v>533</v>
      </c>
      <c r="C1209" s="81" t="s">
        <v>534</v>
      </c>
      <c r="D1209" s="74" t="s">
        <v>17</v>
      </c>
      <c r="E1209" s="78">
        <v>1</v>
      </c>
      <c r="F1209" s="64">
        <f>G1215</f>
        <v>725.54</v>
      </c>
      <c r="G1209" s="64">
        <f t="shared" ref="G1209:G1214" si="65">TRUNC(E1209*F1209,2)</f>
        <v>725.54</v>
      </c>
      <c r="H1209" s="64"/>
      <c r="I1209" s="78"/>
    </row>
    <row r="1210" spans="1:9" ht="30">
      <c r="A1210" s="74"/>
      <c r="B1210" s="80" t="s">
        <v>535</v>
      </c>
      <c r="C1210" s="81" t="s">
        <v>536</v>
      </c>
      <c r="D1210" s="74" t="s">
        <v>7</v>
      </c>
      <c r="E1210" s="78">
        <v>0.92589999999999995</v>
      </c>
      <c r="F1210" s="64">
        <v>627.68889999999999</v>
      </c>
      <c r="G1210" s="64">
        <f t="shared" si="65"/>
        <v>581.16999999999996</v>
      </c>
      <c r="H1210" s="64"/>
      <c r="I1210" s="78"/>
    </row>
    <row r="1211" spans="1:9" ht="30">
      <c r="A1211" s="74"/>
      <c r="B1211" s="80" t="s">
        <v>49</v>
      </c>
      <c r="C1211" s="81" t="s">
        <v>50</v>
      </c>
      <c r="D1211" s="74" t="s">
        <v>51</v>
      </c>
      <c r="E1211" s="78">
        <v>0.85489999999999999</v>
      </c>
      <c r="F1211" s="64">
        <f>TRUNC(15.2,2)</f>
        <v>15.2</v>
      </c>
      <c r="G1211" s="64">
        <f t="shared" si="65"/>
        <v>12.99</v>
      </c>
      <c r="H1211" s="64"/>
      <c r="I1211" s="78"/>
    </row>
    <row r="1212" spans="1:9" ht="15">
      <c r="A1212" s="74"/>
      <c r="B1212" s="80" t="s">
        <v>76</v>
      </c>
      <c r="C1212" s="81" t="s">
        <v>77</v>
      </c>
      <c r="D1212" s="74" t="s">
        <v>51</v>
      </c>
      <c r="E1212" s="78">
        <v>0.85489999999999999</v>
      </c>
      <c r="F1212" s="64">
        <f>TRUNC(21,2)</f>
        <v>21</v>
      </c>
      <c r="G1212" s="64">
        <f t="shared" si="65"/>
        <v>17.95</v>
      </c>
      <c r="H1212" s="64"/>
      <c r="I1212" s="78"/>
    </row>
    <row r="1213" spans="1:9" ht="15">
      <c r="A1213" s="74"/>
      <c r="B1213" s="80" t="s">
        <v>428</v>
      </c>
      <c r="C1213" s="81" t="s">
        <v>429</v>
      </c>
      <c r="D1213" s="74" t="s">
        <v>17</v>
      </c>
      <c r="E1213" s="78">
        <v>1</v>
      </c>
      <c r="F1213" s="64">
        <v>57.034500000000001</v>
      </c>
      <c r="G1213" s="64">
        <f t="shared" si="65"/>
        <v>57.03</v>
      </c>
      <c r="H1213" s="64"/>
      <c r="I1213" s="78"/>
    </row>
    <row r="1214" spans="1:9" ht="15">
      <c r="A1214" s="74"/>
      <c r="B1214" s="80" t="s">
        <v>430</v>
      </c>
      <c r="C1214" s="81" t="s">
        <v>431</v>
      </c>
      <c r="D1214" s="74" t="s">
        <v>55</v>
      </c>
      <c r="E1214" s="78">
        <v>2.5000000000000001E-2</v>
      </c>
      <c r="F1214" s="64">
        <v>2256.2469000000001</v>
      </c>
      <c r="G1214" s="64">
        <f t="shared" si="65"/>
        <v>56.4</v>
      </c>
      <c r="H1214" s="64"/>
      <c r="I1214" s="78"/>
    </row>
    <row r="1215" spans="1:9" ht="15">
      <c r="A1215" s="74"/>
      <c r="B1215" s="80"/>
      <c r="C1215" s="81"/>
      <c r="D1215" s="74"/>
      <c r="E1215" s="78" t="s">
        <v>33</v>
      </c>
      <c r="F1215" s="64"/>
      <c r="G1215" s="64">
        <f>TRUNC(SUM(G1210:G1214),2)</f>
        <v>725.54</v>
      </c>
      <c r="H1215" s="64"/>
      <c r="I1215" s="78"/>
    </row>
    <row r="1216" spans="1:9" ht="45.75">
      <c r="A1216" s="68" t="s">
        <v>537</v>
      </c>
      <c r="B1216" s="98" t="s">
        <v>424</v>
      </c>
      <c r="C1216" s="23" t="s">
        <v>1785</v>
      </c>
      <c r="D1216" s="68" t="s">
        <v>23</v>
      </c>
      <c r="E1216" s="24">
        <f>1.2+1</f>
        <v>2.2000000000000002</v>
      </c>
      <c r="F1216" s="24">
        <f>TRUNC(F1217,2)</f>
        <v>288.77999999999997</v>
      </c>
      <c r="G1216" s="24">
        <f>TRUNC(F1216*1.2882,2)</f>
        <v>372</v>
      </c>
      <c r="H1216" s="24">
        <f>TRUNC(F1216*E1216,2)</f>
        <v>635.30999999999995</v>
      </c>
      <c r="I1216" s="24">
        <f>TRUNC(E1216*G1216,2)</f>
        <v>818.4</v>
      </c>
    </row>
    <row r="1217" spans="1:9" ht="45">
      <c r="A1217" s="74"/>
      <c r="B1217" s="80" t="s">
        <v>424</v>
      </c>
      <c r="C1217" s="81" t="s">
        <v>425</v>
      </c>
      <c r="D1217" s="74" t="s">
        <v>23</v>
      </c>
      <c r="E1217" s="78">
        <v>1</v>
      </c>
      <c r="F1217" s="64">
        <f>G1223</f>
        <v>288.77999999999997</v>
      </c>
      <c r="G1217" s="64">
        <f t="shared" ref="G1217:G1222" si="66">TRUNC(E1217*F1217,2)</f>
        <v>288.77999999999997</v>
      </c>
      <c r="H1217" s="64"/>
      <c r="I1217" s="78"/>
    </row>
    <row r="1218" spans="1:9" ht="30">
      <c r="A1218" s="74"/>
      <c r="B1218" s="80" t="s">
        <v>426</v>
      </c>
      <c r="C1218" s="81" t="s">
        <v>427</v>
      </c>
      <c r="D1218" s="74" t="s">
        <v>23</v>
      </c>
      <c r="E1218" s="78">
        <v>1</v>
      </c>
      <c r="F1218" s="64">
        <v>186.95</v>
      </c>
      <c r="G1218" s="64">
        <f t="shared" si="66"/>
        <v>186.95</v>
      </c>
      <c r="H1218" s="64"/>
      <c r="I1218" s="78"/>
    </row>
    <row r="1219" spans="1:9" ht="30">
      <c r="A1219" s="74"/>
      <c r="B1219" s="80" t="s">
        <v>49</v>
      </c>
      <c r="C1219" s="81" t="s">
        <v>50</v>
      </c>
      <c r="D1219" s="74" t="s">
        <v>51</v>
      </c>
      <c r="E1219" s="78">
        <v>0.43259999999999998</v>
      </c>
      <c r="F1219" s="64">
        <f>TRUNC(15.2,2)</f>
        <v>15.2</v>
      </c>
      <c r="G1219" s="64">
        <f t="shared" si="66"/>
        <v>6.57</v>
      </c>
      <c r="H1219" s="64"/>
      <c r="I1219" s="78"/>
    </row>
    <row r="1220" spans="1:9" ht="15">
      <c r="A1220" s="74"/>
      <c r="B1220" s="80" t="s">
        <v>76</v>
      </c>
      <c r="C1220" s="81" t="s">
        <v>77</v>
      </c>
      <c r="D1220" s="74" t="s">
        <v>51</v>
      </c>
      <c r="E1220" s="78">
        <v>0.43259999999999998</v>
      </c>
      <c r="F1220" s="64">
        <f>TRUNC(21,2)</f>
        <v>21</v>
      </c>
      <c r="G1220" s="64">
        <f t="shared" si="66"/>
        <v>9.08</v>
      </c>
      <c r="H1220" s="64"/>
      <c r="I1220" s="78"/>
    </row>
    <row r="1221" spans="1:9" ht="15">
      <c r="A1221" s="74"/>
      <c r="B1221" s="80" t="s">
        <v>428</v>
      </c>
      <c r="C1221" s="81" t="s">
        <v>429</v>
      </c>
      <c r="D1221" s="74" t="s">
        <v>17</v>
      </c>
      <c r="E1221" s="78">
        <v>0.72</v>
      </c>
      <c r="F1221" s="64">
        <v>57.034500000000001</v>
      </c>
      <c r="G1221" s="64">
        <f t="shared" si="66"/>
        <v>41.06</v>
      </c>
      <c r="H1221" s="64"/>
      <c r="I1221" s="78"/>
    </row>
    <row r="1222" spans="1:9" ht="15">
      <c r="A1222" s="74"/>
      <c r="B1222" s="80" t="s">
        <v>430</v>
      </c>
      <c r="C1222" s="81" t="s">
        <v>431</v>
      </c>
      <c r="D1222" s="74" t="s">
        <v>55</v>
      </c>
      <c r="E1222" s="78">
        <v>0.02</v>
      </c>
      <c r="F1222" s="64">
        <v>2256.2469000000001</v>
      </c>
      <c r="G1222" s="64">
        <f t="shared" si="66"/>
        <v>45.12</v>
      </c>
      <c r="H1222" s="64"/>
      <c r="I1222" s="78"/>
    </row>
    <row r="1223" spans="1:9" ht="15">
      <c r="A1223" s="74"/>
      <c r="B1223" s="80"/>
      <c r="C1223" s="81"/>
      <c r="D1223" s="74"/>
      <c r="E1223" s="78" t="s">
        <v>33</v>
      </c>
      <c r="F1223" s="64"/>
      <c r="G1223" s="64">
        <f>TRUNC(SUM(G1218:G1222),2)</f>
        <v>288.77999999999997</v>
      </c>
      <c r="H1223" s="64"/>
      <c r="I1223" s="78"/>
    </row>
    <row r="1224" spans="1:9" ht="47.25">
      <c r="A1224" s="68" t="s">
        <v>538</v>
      </c>
      <c r="B1224" s="98" t="s">
        <v>1787</v>
      </c>
      <c r="C1224" s="23" t="s">
        <v>1786</v>
      </c>
      <c r="D1224" s="68" t="s">
        <v>23</v>
      </c>
      <c r="E1224" s="24">
        <v>1.1000000000000001</v>
      </c>
      <c r="F1224" s="24">
        <f>TRUNC(F1225,2)</f>
        <v>226.46</v>
      </c>
      <c r="G1224" s="24">
        <f>TRUNC(F1224*1.2882,2)</f>
        <v>291.72000000000003</v>
      </c>
      <c r="H1224" s="24">
        <f>TRUNC(F1224*E1224,2)</f>
        <v>249.1</v>
      </c>
      <c r="I1224" s="24">
        <f>TRUNC(E1224*G1224,2)</f>
        <v>320.89</v>
      </c>
    </row>
    <row r="1225" spans="1:9" ht="45">
      <c r="A1225" s="74"/>
      <c r="B1225" s="80" t="s">
        <v>424</v>
      </c>
      <c r="C1225" s="81" t="s">
        <v>425</v>
      </c>
      <c r="D1225" s="74" t="s">
        <v>23</v>
      </c>
      <c r="E1225" s="78">
        <v>1</v>
      </c>
      <c r="F1225" s="64">
        <f>G1231</f>
        <v>226.46</v>
      </c>
      <c r="G1225" s="64">
        <f t="shared" ref="G1225:G1230" si="67">TRUNC(E1225*F1225,2)</f>
        <v>226.46</v>
      </c>
      <c r="H1225" s="64"/>
      <c r="I1225" s="78"/>
    </row>
    <row r="1226" spans="1:9" ht="30">
      <c r="A1226" s="74"/>
      <c r="B1226" s="80" t="s">
        <v>426</v>
      </c>
      <c r="C1226" s="81" t="s">
        <v>427</v>
      </c>
      <c r="D1226" s="74" t="s">
        <v>23</v>
      </c>
      <c r="E1226" s="78">
        <f>0.4/0.6</f>
        <v>0.66666666666666674</v>
      </c>
      <c r="F1226" s="64">
        <v>186.95</v>
      </c>
      <c r="G1226" s="64">
        <f t="shared" si="67"/>
        <v>124.63</v>
      </c>
      <c r="H1226" s="64"/>
      <c r="I1226" s="78"/>
    </row>
    <row r="1227" spans="1:9" ht="30">
      <c r="A1227" s="74"/>
      <c r="B1227" s="80" t="s">
        <v>49</v>
      </c>
      <c r="C1227" s="81" t="s">
        <v>50</v>
      </c>
      <c r="D1227" s="74" t="s">
        <v>51</v>
      </c>
      <c r="E1227" s="78">
        <v>0.43259999999999998</v>
      </c>
      <c r="F1227" s="64">
        <f>TRUNC(15.2,2)</f>
        <v>15.2</v>
      </c>
      <c r="G1227" s="64">
        <f t="shared" si="67"/>
        <v>6.57</v>
      </c>
      <c r="H1227" s="64"/>
      <c r="I1227" s="78"/>
    </row>
    <row r="1228" spans="1:9" ht="15">
      <c r="A1228" s="74"/>
      <c r="B1228" s="80" t="s">
        <v>76</v>
      </c>
      <c r="C1228" s="81" t="s">
        <v>77</v>
      </c>
      <c r="D1228" s="74" t="s">
        <v>51</v>
      </c>
      <c r="E1228" s="78">
        <v>0.43259999999999998</v>
      </c>
      <c r="F1228" s="64">
        <f>TRUNC(21,2)</f>
        <v>21</v>
      </c>
      <c r="G1228" s="64">
        <f t="shared" si="67"/>
        <v>9.08</v>
      </c>
      <c r="H1228" s="64"/>
      <c r="I1228" s="78"/>
    </row>
    <row r="1229" spans="1:9" ht="15">
      <c r="A1229" s="74"/>
      <c r="B1229" s="80" t="s">
        <v>428</v>
      </c>
      <c r="C1229" s="81" t="s">
        <v>429</v>
      </c>
      <c r="D1229" s="74" t="s">
        <v>17</v>
      </c>
      <c r="E1229" s="78">
        <v>0.72</v>
      </c>
      <c r="F1229" s="64">
        <v>57.034500000000001</v>
      </c>
      <c r="G1229" s="64">
        <f t="shared" si="67"/>
        <v>41.06</v>
      </c>
      <c r="H1229" s="64"/>
      <c r="I1229" s="78"/>
    </row>
    <row r="1230" spans="1:9" ht="15">
      <c r="A1230" s="74"/>
      <c r="B1230" s="80" t="s">
        <v>430</v>
      </c>
      <c r="C1230" s="81" t="s">
        <v>431</v>
      </c>
      <c r="D1230" s="74" t="s">
        <v>55</v>
      </c>
      <c r="E1230" s="78">
        <v>0.02</v>
      </c>
      <c r="F1230" s="64">
        <v>2256.2469000000001</v>
      </c>
      <c r="G1230" s="64">
        <f t="shared" si="67"/>
        <v>45.12</v>
      </c>
      <c r="H1230" s="64"/>
      <c r="I1230" s="78"/>
    </row>
    <row r="1231" spans="1:9" ht="15">
      <c r="A1231" s="74"/>
      <c r="B1231" s="80"/>
      <c r="C1231" s="81"/>
      <c r="D1231" s="74"/>
      <c r="E1231" s="78" t="s">
        <v>33</v>
      </c>
      <c r="F1231" s="64"/>
      <c r="G1231" s="64">
        <f>TRUNC(SUM(G1226:G1230),2)</f>
        <v>226.46</v>
      </c>
      <c r="H1231" s="64"/>
      <c r="I1231" s="78"/>
    </row>
    <row r="1232" spans="1:9" ht="30">
      <c r="A1232" s="68" t="s">
        <v>543</v>
      </c>
      <c r="B1232" s="98" t="s">
        <v>539</v>
      </c>
      <c r="C1232" s="23" t="s">
        <v>540</v>
      </c>
      <c r="D1232" s="68" t="s">
        <v>23</v>
      </c>
      <c r="E1232" s="24">
        <v>21.6</v>
      </c>
      <c r="F1232" s="24">
        <f>TRUNC(F1233,2)</f>
        <v>58.95</v>
      </c>
      <c r="G1232" s="24">
        <f>TRUNC(F1232*1.2882,2)</f>
        <v>75.930000000000007</v>
      </c>
      <c r="H1232" s="24">
        <f>TRUNC(F1232*E1232,2)</f>
        <v>1273.32</v>
      </c>
      <c r="I1232" s="24">
        <f>TRUNC(E1232*G1232,2)</f>
        <v>1640.08</v>
      </c>
    </row>
    <row r="1233" spans="1:9" ht="30">
      <c r="A1233" s="74"/>
      <c r="B1233" s="80" t="s">
        <v>539</v>
      </c>
      <c r="C1233" s="81" t="s">
        <v>540</v>
      </c>
      <c r="D1233" s="74" t="s">
        <v>23</v>
      </c>
      <c r="E1233" s="78">
        <v>1</v>
      </c>
      <c r="F1233" s="64">
        <f>G1241</f>
        <v>58.95</v>
      </c>
      <c r="G1233" s="64">
        <f t="shared" ref="G1233:G1240" si="68">TRUNC(E1233*F1233,2)</f>
        <v>58.95</v>
      </c>
      <c r="H1233" s="64"/>
      <c r="I1233" s="78"/>
    </row>
    <row r="1234" spans="1:9" ht="15">
      <c r="A1234" s="74"/>
      <c r="B1234" s="80" t="s">
        <v>541</v>
      </c>
      <c r="C1234" s="81" t="s">
        <v>542</v>
      </c>
      <c r="D1234" s="74" t="s">
        <v>23</v>
      </c>
      <c r="E1234" s="78">
        <v>1</v>
      </c>
      <c r="F1234" s="64">
        <v>31.16</v>
      </c>
      <c r="G1234" s="64">
        <f t="shared" si="68"/>
        <v>31.16</v>
      </c>
      <c r="H1234" s="64"/>
      <c r="I1234" s="78"/>
    </row>
    <row r="1235" spans="1:9" ht="15">
      <c r="A1235" s="74"/>
      <c r="B1235" s="80" t="s">
        <v>298</v>
      </c>
      <c r="C1235" s="81" t="s">
        <v>299</v>
      </c>
      <c r="D1235" s="74" t="s">
        <v>46</v>
      </c>
      <c r="E1235" s="78">
        <v>0.5</v>
      </c>
      <c r="F1235" s="64">
        <v>1.82</v>
      </c>
      <c r="G1235" s="64">
        <f t="shared" si="68"/>
        <v>0.91</v>
      </c>
      <c r="H1235" s="64"/>
      <c r="I1235" s="78"/>
    </row>
    <row r="1236" spans="1:9" ht="30">
      <c r="A1236" s="74"/>
      <c r="B1236" s="80" t="s">
        <v>49</v>
      </c>
      <c r="C1236" s="81" t="s">
        <v>50</v>
      </c>
      <c r="D1236" s="74" t="s">
        <v>51</v>
      </c>
      <c r="E1236" s="78">
        <v>0.73129999999999995</v>
      </c>
      <c r="F1236" s="64">
        <f>TRUNC(15.2,2)</f>
        <v>15.2</v>
      </c>
      <c r="G1236" s="64">
        <f t="shared" si="68"/>
        <v>11.11</v>
      </c>
      <c r="H1236" s="64"/>
      <c r="I1236" s="78"/>
    </row>
    <row r="1237" spans="1:9" ht="30">
      <c r="A1237" s="74"/>
      <c r="B1237" s="80" t="s">
        <v>321</v>
      </c>
      <c r="C1237" s="81" t="s">
        <v>322</v>
      </c>
      <c r="D1237" s="74" t="s">
        <v>51</v>
      </c>
      <c r="E1237" s="78">
        <v>0.52529999999999999</v>
      </c>
      <c r="F1237" s="64">
        <f>TRUNC(21,2)</f>
        <v>21</v>
      </c>
      <c r="G1237" s="64">
        <f t="shared" si="68"/>
        <v>11.03</v>
      </c>
      <c r="H1237" s="64"/>
      <c r="I1237" s="78"/>
    </row>
    <row r="1238" spans="1:9" ht="30">
      <c r="A1238" s="74"/>
      <c r="B1238" s="80" t="s">
        <v>294</v>
      </c>
      <c r="C1238" s="81" t="s">
        <v>295</v>
      </c>
      <c r="D1238" s="74" t="s">
        <v>17</v>
      </c>
      <c r="E1238" s="78">
        <v>0.1</v>
      </c>
      <c r="F1238" s="64">
        <v>5.9904000000000002</v>
      </c>
      <c r="G1238" s="64">
        <f t="shared" si="68"/>
        <v>0.59</v>
      </c>
      <c r="H1238" s="64"/>
      <c r="I1238" s="78"/>
    </row>
    <row r="1239" spans="1:9" ht="15">
      <c r="A1239" s="74"/>
      <c r="B1239" s="80" t="s">
        <v>323</v>
      </c>
      <c r="C1239" s="81" t="s">
        <v>324</v>
      </c>
      <c r="D1239" s="74" t="s">
        <v>55</v>
      </c>
      <c r="E1239" s="78">
        <v>4.0000000000000001E-3</v>
      </c>
      <c r="F1239" s="64">
        <v>391.34829999999999</v>
      </c>
      <c r="G1239" s="64">
        <f t="shared" si="68"/>
        <v>1.56</v>
      </c>
      <c r="H1239" s="64"/>
      <c r="I1239" s="78"/>
    </row>
    <row r="1240" spans="1:9" ht="15">
      <c r="A1240" s="74"/>
      <c r="B1240" s="80" t="s">
        <v>300</v>
      </c>
      <c r="C1240" s="81" t="s">
        <v>301</v>
      </c>
      <c r="D1240" s="74" t="s">
        <v>55</v>
      </c>
      <c r="E1240" s="78">
        <v>3.0000000000000001E-3</v>
      </c>
      <c r="F1240" s="64">
        <v>865.904</v>
      </c>
      <c r="G1240" s="64">
        <f t="shared" si="68"/>
        <v>2.59</v>
      </c>
      <c r="H1240" s="64"/>
      <c r="I1240" s="78"/>
    </row>
    <row r="1241" spans="1:9" ht="15">
      <c r="A1241" s="74"/>
      <c r="B1241" s="80"/>
      <c r="C1241" s="81"/>
      <c r="D1241" s="74"/>
      <c r="E1241" s="78" t="s">
        <v>33</v>
      </c>
      <c r="F1241" s="64"/>
      <c r="G1241" s="64">
        <f>TRUNC(SUM(G1234:G1240),2)</f>
        <v>58.95</v>
      </c>
      <c r="H1241" s="64"/>
      <c r="I1241" s="78"/>
    </row>
    <row r="1242" spans="1:9" ht="30">
      <c r="A1242" s="68" t="s">
        <v>548</v>
      </c>
      <c r="B1242" s="98" t="s">
        <v>1788</v>
      </c>
      <c r="C1242" s="23" t="s">
        <v>1789</v>
      </c>
      <c r="D1242" s="68" t="s">
        <v>23</v>
      </c>
      <c r="E1242" s="24">
        <v>19.7</v>
      </c>
      <c r="F1242" s="24">
        <f>TRUNC(G1243,2)</f>
        <v>168.33</v>
      </c>
      <c r="G1242" s="24">
        <f>TRUNC(F1242*1.2882,2)</f>
        <v>216.84</v>
      </c>
      <c r="H1242" s="24">
        <f>TRUNC(F1242*E1242,2)</f>
        <v>3316.1</v>
      </c>
      <c r="I1242" s="24">
        <f>TRUNC(E1242*G1242,2)</f>
        <v>4271.74</v>
      </c>
    </row>
    <row r="1243" spans="1:9" ht="30">
      <c r="A1243" s="74"/>
      <c r="B1243" s="80" t="s">
        <v>544</v>
      </c>
      <c r="C1243" s="81" t="s">
        <v>545</v>
      </c>
      <c r="D1243" s="74" t="s">
        <v>23</v>
      </c>
      <c r="E1243" s="78">
        <v>3</v>
      </c>
      <c r="F1243" s="64">
        <f>G1251</f>
        <v>56.11</v>
      </c>
      <c r="G1243" s="64">
        <f t="shared" ref="G1243:G1250" si="69">TRUNC(E1243*F1243,2)</f>
        <v>168.33</v>
      </c>
      <c r="H1243" s="64"/>
      <c r="I1243" s="78"/>
    </row>
    <row r="1244" spans="1:9" ht="15">
      <c r="A1244" s="74"/>
      <c r="B1244" s="80" t="s">
        <v>546</v>
      </c>
      <c r="C1244" s="81" t="s">
        <v>547</v>
      </c>
      <c r="D1244" s="74" t="s">
        <v>23</v>
      </c>
      <c r="E1244" s="78">
        <v>1</v>
      </c>
      <c r="F1244" s="64">
        <v>31.16</v>
      </c>
      <c r="G1244" s="64">
        <f t="shared" si="69"/>
        <v>31.16</v>
      </c>
      <c r="H1244" s="64"/>
      <c r="I1244" s="78"/>
    </row>
    <row r="1245" spans="1:9" ht="15">
      <c r="A1245" s="74"/>
      <c r="B1245" s="80" t="s">
        <v>298</v>
      </c>
      <c r="C1245" s="81" t="s">
        <v>299</v>
      </c>
      <c r="D1245" s="74" t="s">
        <v>46</v>
      </c>
      <c r="E1245" s="78">
        <v>0.25</v>
      </c>
      <c r="F1245" s="64">
        <v>1.82</v>
      </c>
      <c r="G1245" s="64">
        <f t="shared" si="69"/>
        <v>0.45</v>
      </c>
      <c r="H1245" s="64"/>
      <c r="I1245" s="78"/>
    </row>
    <row r="1246" spans="1:9" ht="30">
      <c r="A1246" s="74"/>
      <c r="B1246" s="80" t="s">
        <v>49</v>
      </c>
      <c r="C1246" s="81" t="s">
        <v>50</v>
      </c>
      <c r="D1246" s="74" t="s">
        <v>51</v>
      </c>
      <c r="E1246" s="78">
        <v>0.73129999999999995</v>
      </c>
      <c r="F1246" s="64">
        <f>TRUNC(15.2,2)</f>
        <v>15.2</v>
      </c>
      <c r="G1246" s="64">
        <f t="shared" si="69"/>
        <v>11.11</v>
      </c>
      <c r="H1246" s="64"/>
      <c r="I1246" s="78"/>
    </row>
    <row r="1247" spans="1:9" ht="30">
      <c r="A1247" s="74"/>
      <c r="B1247" s="80" t="s">
        <v>321</v>
      </c>
      <c r="C1247" s="81" t="s">
        <v>322</v>
      </c>
      <c r="D1247" s="74" t="s">
        <v>51</v>
      </c>
      <c r="E1247" s="78">
        <v>0.52529999999999999</v>
      </c>
      <c r="F1247" s="64">
        <f>TRUNC(21,2)</f>
        <v>21</v>
      </c>
      <c r="G1247" s="64">
        <f t="shared" si="69"/>
        <v>11.03</v>
      </c>
      <c r="H1247" s="64"/>
      <c r="I1247" s="78"/>
    </row>
    <row r="1248" spans="1:9" ht="30">
      <c r="A1248" s="74"/>
      <c r="B1248" s="80" t="s">
        <v>294</v>
      </c>
      <c r="C1248" s="81" t="s">
        <v>295</v>
      </c>
      <c r="D1248" s="74" t="s">
        <v>17</v>
      </c>
      <c r="E1248" s="78">
        <v>0.05</v>
      </c>
      <c r="F1248" s="64">
        <v>5.9904000000000002</v>
      </c>
      <c r="G1248" s="64">
        <f t="shared" si="69"/>
        <v>0.28999999999999998</v>
      </c>
      <c r="H1248" s="64"/>
      <c r="I1248" s="78"/>
    </row>
    <row r="1249" spans="1:9" ht="15">
      <c r="A1249" s="74"/>
      <c r="B1249" s="80" t="s">
        <v>323</v>
      </c>
      <c r="C1249" s="81" t="s">
        <v>324</v>
      </c>
      <c r="D1249" s="74" t="s">
        <v>55</v>
      </c>
      <c r="E1249" s="78">
        <v>2E-3</v>
      </c>
      <c r="F1249" s="64">
        <v>391.34829999999999</v>
      </c>
      <c r="G1249" s="64">
        <f t="shared" si="69"/>
        <v>0.78</v>
      </c>
      <c r="H1249" s="64"/>
      <c r="I1249" s="78"/>
    </row>
    <row r="1250" spans="1:9" ht="15">
      <c r="A1250" s="74"/>
      <c r="B1250" s="80" t="s">
        <v>300</v>
      </c>
      <c r="C1250" s="81" t="s">
        <v>301</v>
      </c>
      <c r="D1250" s="74" t="s">
        <v>55</v>
      </c>
      <c r="E1250" s="78">
        <v>1.5E-3</v>
      </c>
      <c r="F1250" s="64">
        <v>865.904</v>
      </c>
      <c r="G1250" s="64">
        <f t="shared" si="69"/>
        <v>1.29</v>
      </c>
      <c r="H1250" s="64"/>
      <c r="I1250" s="78"/>
    </row>
    <row r="1251" spans="1:9" ht="15">
      <c r="A1251" s="74"/>
      <c r="B1251" s="80"/>
      <c r="C1251" s="81"/>
      <c r="D1251" s="74"/>
      <c r="E1251" s="78" t="s">
        <v>33</v>
      </c>
      <c r="F1251" s="64"/>
      <c r="G1251" s="64">
        <f>TRUNC(SUM(G1244:G1250),2)</f>
        <v>56.11</v>
      </c>
      <c r="H1251" s="64"/>
      <c r="I1251" s="78"/>
    </row>
    <row r="1252" spans="1:9" ht="45">
      <c r="A1252" s="68" t="s">
        <v>553</v>
      </c>
      <c r="B1252" s="98" t="s">
        <v>1792</v>
      </c>
      <c r="C1252" s="23" t="s">
        <v>1905</v>
      </c>
      <c r="D1252" s="68" t="s">
        <v>23</v>
      </c>
      <c r="E1252" s="24">
        <v>6.05</v>
      </c>
      <c r="F1252" s="24">
        <f>TRUNC(G1253,2)</f>
        <v>169.48</v>
      </c>
      <c r="G1252" s="24">
        <f>TRUNC(F1252*1.2882,2)</f>
        <v>218.32</v>
      </c>
      <c r="H1252" s="24">
        <f>TRUNC(F1252*E1252,2)</f>
        <v>1025.3499999999999</v>
      </c>
      <c r="I1252" s="24">
        <f>TRUNC(E1252*G1252,2)</f>
        <v>1320.83</v>
      </c>
    </row>
    <row r="1253" spans="1:9" ht="30">
      <c r="A1253" s="74"/>
      <c r="B1253" s="80" t="s">
        <v>1790</v>
      </c>
      <c r="C1253" s="81" t="s">
        <v>1791</v>
      </c>
      <c r="D1253" s="74" t="s">
        <v>23</v>
      </c>
      <c r="E1253" s="78">
        <f>40/30</f>
        <v>1.3333333333333333</v>
      </c>
      <c r="F1253" s="64">
        <f>G1258</f>
        <v>127.11</v>
      </c>
      <c r="G1253" s="64">
        <f>TRUNC(E1253*F1253,2)</f>
        <v>169.48</v>
      </c>
      <c r="H1253" s="64"/>
      <c r="I1253" s="78"/>
    </row>
    <row r="1254" spans="1:9" s="169" customFormat="1" ht="31.5">
      <c r="A1254" s="256"/>
      <c r="B1254" s="257" t="s">
        <v>426</v>
      </c>
      <c r="C1254" s="258" t="s">
        <v>427</v>
      </c>
      <c r="D1254" s="256" t="s">
        <v>23</v>
      </c>
      <c r="E1254" s="259">
        <v>0.5</v>
      </c>
      <c r="F1254" s="260">
        <v>186.95</v>
      </c>
      <c r="G1254" s="260">
        <f>TRUNC(E1254*F1254,2)</f>
        <v>93.47</v>
      </c>
      <c r="H1254" s="260"/>
      <c r="I1254" s="259"/>
    </row>
    <row r="1255" spans="1:9" s="169" customFormat="1" ht="15.75">
      <c r="A1255" s="256"/>
      <c r="B1255" s="257" t="s">
        <v>1896</v>
      </c>
      <c r="C1255" s="258" t="s">
        <v>1897</v>
      </c>
      <c r="D1255" s="256" t="s">
        <v>23</v>
      </c>
      <c r="E1255" s="259">
        <v>0.5</v>
      </c>
      <c r="F1255" s="260">
        <v>30.031400000000001</v>
      </c>
      <c r="G1255" s="260">
        <f>TRUNC(E1255*F1255,2)</f>
        <v>15.01</v>
      </c>
      <c r="H1255" s="260"/>
      <c r="I1255" s="259"/>
    </row>
    <row r="1256" spans="1:9" ht="30">
      <c r="A1256" s="74"/>
      <c r="B1256" s="80" t="s">
        <v>49</v>
      </c>
      <c r="C1256" s="81" t="s">
        <v>50</v>
      </c>
      <c r="D1256" s="74" t="s">
        <v>51</v>
      </c>
      <c r="E1256" s="78">
        <v>0.51500000000000001</v>
      </c>
      <c r="F1256" s="64">
        <f>TRUNC(15.2,2)</f>
        <v>15.2</v>
      </c>
      <c r="G1256" s="64">
        <f>TRUNC(E1256*F1256,2)</f>
        <v>7.82</v>
      </c>
      <c r="H1256" s="64"/>
      <c r="I1256" s="78"/>
    </row>
    <row r="1257" spans="1:9" ht="15">
      <c r="A1257" s="74"/>
      <c r="B1257" s="80" t="s">
        <v>76</v>
      </c>
      <c r="C1257" s="81" t="s">
        <v>77</v>
      </c>
      <c r="D1257" s="74" t="s">
        <v>51</v>
      </c>
      <c r="E1257" s="78">
        <v>0.51500000000000001</v>
      </c>
      <c r="F1257" s="64">
        <f>TRUNC(21,2)</f>
        <v>21</v>
      </c>
      <c r="G1257" s="64">
        <f>TRUNC(E1257*F1257,2)</f>
        <v>10.81</v>
      </c>
      <c r="H1257" s="64"/>
      <c r="I1257" s="78"/>
    </row>
    <row r="1258" spans="1:9" ht="15">
      <c r="A1258" s="74"/>
      <c r="B1258" s="80"/>
      <c r="C1258" s="81"/>
      <c r="D1258" s="74"/>
      <c r="E1258" s="78" t="s">
        <v>33</v>
      </c>
      <c r="F1258" s="64"/>
      <c r="G1258" s="64">
        <f>TRUNC(SUM(G1254:G1257),2)</f>
        <v>127.11</v>
      </c>
      <c r="H1258" s="64"/>
      <c r="I1258" s="78"/>
    </row>
    <row r="1259" spans="1:9" ht="60.75">
      <c r="A1259" s="68" t="s">
        <v>558</v>
      </c>
      <c r="B1259" s="98" t="s">
        <v>549</v>
      </c>
      <c r="C1259" s="23" t="s">
        <v>1951</v>
      </c>
      <c r="D1259" s="68" t="s">
        <v>17</v>
      </c>
      <c r="E1259" s="24">
        <v>0.85</v>
      </c>
      <c r="F1259" s="24">
        <f>TRUNC(F1260,2)</f>
        <v>627.14</v>
      </c>
      <c r="G1259" s="24">
        <f>TRUNC(F1259*1.2882,2)</f>
        <v>807.88</v>
      </c>
      <c r="H1259" s="24">
        <f>TRUNC(F1259*E1259,2)</f>
        <v>533.05999999999995</v>
      </c>
      <c r="I1259" s="24">
        <f>TRUNC(E1259*G1259,2)</f>
        <v>686.69</v>
      </c>
    </row>
    <row r="1260" spans="1:9" ht="60">
      <c r="A1260" s="74"/>
      <c r="B1260" s="80" t="s">
        <v>549</v>
      </c>
      <c r="C1260" s="81" t="s">
        <v>550</v>
      </c>
      <c r="D1260" s="74" t="s">
        <v>17</v>
      </c>
      <c r="E1260" s="78">
        <v>1</v>
      </c>
      <c r="F1260" s="64">
        <f>G1267</f>
        <v>627.14</v>
      </c>
      <c r="G1260" s="64">
        <f t="shared" ref="G1260:G1266" si="70">TRUNC(E1260*F1260,2)</f>
        <v>627.14</v>
      </c>
      <c r="H1260" s="64"/>
      <c r="I1260" s="78"/>
    </row>
    <row r="1261" spans="1:9" ht="30">
      <c r="A1261" s="74"/>
      <c r="B1261" s="80" t="s">
        <v>551</v>
      </c>
      <c r="C1261" s="81" t="s">
        <v>552</v>
      </c>
      <c r="D1261" s="74" t="s">
        <v>7</v>
      </c>
      <c r="E1261" s="78">
        <v>1.3889</v>
      </c>
      <c r="F1261" s="64">
        <v>418.45389999999998</v>
      </c>
      <c r="G1261" s="64">
        <f t="shared" si="70"/>
        <v>581.19000000000005</v>
      </c>
      <c r="H1261" s="64"/>
      <c r="I1261" s="78"/>
    </row>
    <row r="1262" spans="1:9" s="169" customFormat="1" ht="15.75">
      <c r="A1262" s="256"/>
      <c r="B1262" s="257" t="s">
        <v>1896</v>
      </c>
      <c r="C1262" s="258" t="s">
        <v>1897</v>
      </c>
      <c r="D1262" s="256" t="s">
        <v>23</v>
      </c>
      <c r="E1262" s="259">
        <v>0.5</v>
      </c>
      <c r="F1262" s="260">
        <v>30.031400000000001</v>
      </c>
      <c r="G1262" s="260">
        <f>TRUNC(E1262*F1262,2)</f>
        <v>15.01</v>
      </c>
      <c r="H1262" s="260"/>
      <c r="I1262" s="259"/>
    </row>
    <row r="1263" spans="1:9" ht="30">
      <c r="A1263" s="74"/>
      <c r="B1263" s="80" t="s">
        <v>49</v>
      </c>
      <c r="C1263" s="81" t="s">
        <v>50</v>
      </c>
      <c r="D1263" s="74" t="s">
        <v>51</v>
      </c>
      <c r="E1263" s="78">
        <v>0.85489999999999999</v>
      </c>
      <c r="F1263" s="64">
        <f>TRUNC(15.2,2)</f>
        <v>15.2</v>
      </c>
      <c r="G1263" s="64">
        <f t="shared" si="70"/>
        <v>12.99</v>
      </c>
      <c r="H1263" s="64"/>
      <c r="I1263" s="78"/>
    </row>
    <row r="1264" spans="1:9" ht="15">
      <c r="A1264" s="74"/>
      <c r="B1264" s="80" t="s">
        <v>76</v>
      </c>
      <c r="C1264" s="81" t="s">
        <v>77</v>
      </c>
      <c r="D1264" s="74" t="s">
        <v>51</v>
      </c>
      <c r="E1264" s="78">
        <v>0.85489999999999999</v>
      </c>
      <c r="F1264" s="64">
        <f>TRUNC(21,2)</f>
        <v>21</v>
      </c>
      <c r="G1264" s="64">
        <f t="shared" si="70"/>
        <v>17.95</v>
      </c>
      <c r="H1264" s="64"/>
      <c r="I1264" s="78"/>
    </row>
    <row r="1265" spans="1:9" s="169" customFormat="1" ht="15.75">
      <c r="A1265" s="256"/>
      <c r="B1265" s="257" t="s">
        <v>428</v>
      </c>
      <c r="C1265" s="258" t="s">
        <v>429</v>
      </c>
      <c r="D1265" s="256" t="s">
        <v>17</v>
      </c>
      <c r="E1265" s="259"/>
      <c r="F1265" s="260">
        <v>57.034500000000001</v>
      </c>
      <c r="G1265" s="260">
        <f t="shared" si="70"/>
        <v>0</v>
      </c>
      <c r="H1265" s="260"/>
      <c r="I1265" s="259"/>
    </row>
    <row r="1266" spans="1:9" s="169" customFormat="1" ht="15.75">
      <c r="A1266" s="256"/>
      <c r="B1266" s="257" t="s">
        <v>430</v>
      </c>
      <c r="C1266" s="258" t="s">
        <v>431</v>
      </c>
      <c r="D1266" s="256" t="s">
        <v>55</v>
      </c>
      <c r="E1266" s="259"/>
      <c r="F1266" s="260">
        <v>2256.2469000000001</v>
      </c>
      <c r="G1266" s="260">
        <f t="shared" si="70"/>
        <v>0</v>
      </c>
      <c r="H1266" s="260"/>
      <c r="I1266" s="259"/>
    </row>
    <row r="1267" spans="1:9" ht="15">
      <c r="A1267" s="74"/>
      <c r="B1267" s="80"/>
      <c r="C1267" s="81"/>
      <c r="D1267" s="74"/>
      <c r="E1267" s="78" t="s">
        <v>33</v>
      </c>
      <c r="F1267" s="64"/>
      <c r="G1267" s="64">
        <f>TRUNC(SUM(G1261:G1266),2)</f>
        <v>627.14</v>
      </c>
      <c r="H1267" s="64"/>
      <c r="I1267" s="78"/>
    </row>
    <row r="1268" spans="1:9" ht="60.75">
      <c r="A1268" s="68" t="s">
        <v>567</v>
      </c>
      <c r="B1268" s="98" t="s">
        <v>554</v>
      </c>
      <c r="C1268" s="23" t="s">
        <v>2095</v>
      </c>
      <c r="D1268" s="68" t="s">
        <v>17</v>
      </c>
      <c r="E1268" s="24">
        <v>3.1</v>
      </c>
      <c r="F1268" s="24">
        <f>TRUNC(F1269,2)</f>
        <v>740.54</v>
      </c>
      <c r="G1268" s="24">
        <f>TRUNC(F1268*1.2882,2)</f>
        <v>953.96</v>
      </c>
      <c r="H1268" s="24">
        <f>TRUNC(F1268*E1268,2)</f>
        <v>2295.67</v>
      </c>
      <c r="I1268" s="24">
        <f>TRUNC(E1268*G1268,2)</f>
        <v>2957.27</v>
      </c>
    </row>
    <row r="1269" spans="1:9" ht="60">
      <c r="A1269" s="74"/>
      <c r="B1269" s="80" t="s">
        <v>533</v>
      </c>
      <c r="C1269" s="81" t="s">
        <v>534</v>
      </c>
      <c r="D1269" s="74" t="s">
        <v>17</v>
      </c>
      <c r="E1269" s="78">
        <v>1</v>
      </c>
      <c r="F1269" s="64">
        <f>G1276</f>
        <v>740.54</v>
      </c>
      <c r="G1269" s="64">
        <f t="shared" ref="G1269:G1275" si="71">TRUNC(E1269*F1269,2)</f>
        <v>740.54</v>
      </c>
      <c r="H1269" s="64"/>
      <c r="I1269" s="78"/>
    </row>
    <row r="1270" spans="1:9" ht="30">
      <c r="A1270" s="74"/>
      <c r="B1270" s="80" t="s">
        <v>535</v>
      </c>
      <c r="C1270" s="81" t="s">
        <v>536</v>
      </c>
      <c r="D1270" s="74" t="s">
        <v>7</v>
      </c>
      <c r="E1270" s="78">
        <v>0.92589999999999995</v>
      </c>
      <c r="F1270" s="64">
        <f>TRUNC(627.6889,2)</f>
        <v>627.67999999999995</v>
      </c>
      <c r="G1270" s="64">
        <f t="shared" si="71"/>
        <v>581.16</v>
      </c>
      <c r="H1270" s="64"/>
      <c r="I1270" s="78"/>
    </row>
    <row r="1271" spans="1:9" s="169" customFormat="1" ht="15.75">
      <c r="A1271" s="256"/>
      <c r="B1271" s="257" t="s">
        <v>1896</v>
      </c>
      <c r="C1271" s="258" t="s">
        <v>1897</v>
      </c>
      <c r="D1271" s="256" t="s">
        <v>23</v>
      </c>
      <c r="E1271" s="259">
        <v>0.5</v>
      </c>
      <c r="F1271" s="260">
        <v>30.031400000000001</v>
      </c>
      <c r="G1271" s="260">
        <f>TRUNC(E1271*F1271,2)</f>
        <v>15.01</v>
      </c>
      <c r="H1271" s="260"/>
      <c r="I1271" s="259"/>
    </row>
    <row r="1272" spans="1:9" ht="30">
      <c r="A1272" s="74"/>
      <c r="B1272" s="80" t="s">
        <v>49</v>
      </c>
      <c r="C1272" s="81" t="s">
        <v>50</v>
      </c>
      <c r="D1272" s="74" t="s">
        <v>51</v>
      </c>
      <c r="E1272" s="78">
        <v>0.85489999999999999</v>
      </c>
      <c r="F1272" s="64">
        <f>TRUNC(15.2,2)</f>
        <v>15.2</v>
      </c>
      <c r="G1272" s="64">
        <f t="shared" si="71"/>
        <v>12.99</v>
      </c>
      <c r="H1272" s="64"/>
      <c r="I1272" s="78"/>
    </row>
    <row r="1273" spans="1:9" ht="15">
      <c r="A1273" s="74"/>
      <c r="B1273" s="80" t="s">
        <v>76</v>
      </c>
      <c r="C1273" s="81" t="s">
        <v>77</v>
      </c>
      <c r="D1273" s="74" t="s">
        <v>51</v>
      </c>
      <c r="E1273" s="78">
        <v>0.85489999999999999</v>
      </c>
      <c r="F1273" s="64">
        <f>TRUNC(21,2)</f>
        <v>21</v>
      </c>
      <c r="G1273" s="64">
        <f t="shared" si="71"/>
        <v>17.95</v>
      </c>
      <c r="H1273" s="64"/>
      <c r="I1273" s="78"/>
    </row>
    <row r="1274" spans="1:9" ht="15">
      <c r="A1274" s="74"/>
      <c r="B1274" s="80" t="s">
        <v>428</v>
      </c>
      <c r="C1274" s="81" t="s">
        <v>429</v>
      </c>
      <c r="D1274" s="74" t="s">
        <v>17</v>
      </c>
      <c r="E1274" s="78">
        <v>1</v>
      </c>
      <c r="F1274" s="64">
        <f>TRUNC(57.0345,2)</f>
        <v>57.03</v>
      </c>
      <c r="G1274" s="64">
        <f t="shared" si="71"/>
        <v>57.03</v>
      </c>
      <c r="H1274" s="64"/>
      <c r="I1274" s="78"/>
    </row>
    <row r="1275" spans="1:9" ht="15">
      <c r="A1275" s="74"/>
      <c r="B1275" s="80" t="s">
        <v>430</v>
      </c>
      <c r="C1275" s="81" t="s">
        <v>431</v>
      </c>
      <c r="D1275" s="74" t="s">
        <v>55</v>
      </c>
      <c r="E1275" s="78">
        <v>2.5000000000000001E-2</v>
      </c>
      <c r="F1275" s="64">
        <f>TRUNC(2256.2469,2)</f>
        <v>2256.2399999999998</v>
      </c>
      <c r="G1275" s="64">
        <f t="shared" si="71"/>
        <v>56.4</v>
      </c>
      <c r="H1275" s="64"/>
      <c r="I1275" s="78"/>
    </row>
    <row r="1276" spans="1:9" ht="15">
      <c r="A1276" s="74"/>
      <c r="B1276" s="80"/>
      <c r="C1276" s="81"/>
      <c r="D1276" s="74"/>
      <c r="E1276" s="78" t="s">
        <v>33</v>
      </c>
      <c r="F1276" s="64"/>
      <c r="G1276" s="64">
        <f>TRUNC(SUM(G1270:G1275),2)</f>
        <v>740.54</v>
      </c>
      <c r="H1276" s="64"/>
      <c r="I1276" s="78"/>
    </row>
    <row r="1277" spans="1:9" ht="60.75">
      <c r="A1277" s="68" t="s">
        <v>573</v>
      </c>
      <c r="B1277" s="98" t="s">
        <v>549</v>
      </c>
      <c r="C1277" s="23" t="s">
        <v>2059</v>
      </c>
      <c r="D1277" s="68" t="s">
        <v>17</v>
      </c>
      <c r="E1277" s="24">
        <v>0.4</v>
      </c>
      <c r="F1277" s="24">
        <f>TRUNC(F1278,2)</f>
        <v>627.14</v>
      </c>
      <c r="G1277" s="24">
        <f>TRUNC(F1277*1.2882,2)</f>
        <v>807.88</v>
      </c>
      <c r="H1277" s="24">
        <f>TRUNC(F1277*E1277,2)</f>
        <v>250.85</v>
      </c>
      <c r="I1277" s="24">
        <f>TRUNC(E1277*G1277,2)</f>
        <v>323.14999999999998</v>
      </c>
    </row>
    <row r="1278" spans="1:9" ht="60">
      <c r="A1278" s="74"/>
      <c r="B1278" s="80" t="s">
        <v>549</v>
      </c>
      <c r="C1278" s="81" t="s">
        <v>550</v>
      </c>
      <c r="D1278" s="74" t="s">
        <v>17</v>
      </c>
      <c r="E1278" s="78">
        <v>1</v>
      </c>
      <c r="F1278" s="64">
        <f>G1285</f>
        <v>627.14</v>
      </c>
      <c r="G1278" s="64">
        <f t="shared" ref="G1278:G1284" si="72">TRUNC(E1278*F1278,2)</f>
        <v>627.14</v>
      </c>
      <c r="H1278" s="64"/>
      <c r="I1278" s="78"/>
    </row>
    <row r="1279" spans="1:9" ht="30">
      <c r="A1279" s="74"/>
      <c r="B1279" s="80" t="s">
        <v>551</v>
      </c>
      <c r="C1279" s="81" t="s">
        <v>552</v>
      </c>
      <c r="D1279" s="74" t="s">
        <v>7</v>
      </c>
      <c r="E1279" s="78">
        <v>1.3889</v>
      </c>
      <c r="F1279" s="64">
        <v>418.45389999999998</v>
      </c>
      <c r="G1279" s="64">
        <f t="shared" si="72"/>
        <v>581.19000000000005</v>
      </c>
      <c r="H1279" s="64"/>
      <c r="I1279" s="78"/>
    </row>
    <row r="1280" spans="1:9" s="169" customFormat="1" ht="15.75">
      <c r="A1280" s="256"/>
      <c r="B1280" s="257" t="s">
        <v>1896</v>
      </c>
      <c r="C1280" s="258" t="s">
        <v>1897</v>
      </c>
      <c r="D1280" s="256" t="s">
        <v>23</v>
      </c>
      <c r="E1280" s="259">
        <v>0.5</v>
      </c>
      <c r="F1280" s="260">
        <v>30.031400000000001</v>
      </c>
      <c r="G1280" s="260">
        <f>TRUNC(E1280*F1280,2)</f>
        <v>15.01</v>
      </c>
      <c r="H1280" s="260"/>
      <c r="I1280" s="259"/>
    </row>
    <row r="1281" spans="1:9" ht="30">
      <c r="A1281" s="74"/>
      <c r="B1281" s="80" t="s">
        <v>49</v>
      </c>
      <c r="C1281" s="81" t="s">
        <v>50</v>
      </c>
      <c r="D1281" s="74" t="s">
        <v>51</v>
      </c>
      <c r="E1281" s="78">
        <v>0.85489999999999999</v>
      </c>
      <c r="F1281" s="64">
        <f>TRUNC(15.2,2)</f>
        <v>15.2</v>
      </c>
      <c r="G1281" s="64">
        <f t="shared" si="72"/>
        <v>12.99</v>
      </c>
      <c r="H1281" s="64"/>
      <c r="I1281" s="78"/>
    </row>
    <row r="1282" spans="1:9" ht="15">
      <c r="A1282" s="74"/>
      <c r="B1282" s="80" t="s">
        <v>76</v>
      </c>
      <c r="C1282" s="81" t="s">
        <v>77</v>
      </c>
      <c r="D1282" s="74" t="s">
        <v>51</v>
      </c>
      <c r="E1282" s="78">
        <v>0.85489999999999999</v>
      </c>
      <c r="F1282" s="64">
        <f>TRUNC(21,2)</f>
        <v>21</v>
      </c>
      <c r="G1282" s="64">
        <f t="shared" si="72"/>
        <v>17.95</v>
      </c>
      <c r="H1282" s="64"/>
      <c r="I1282" s="78"/>
    </row>
    <row r="1283" spans="1:9" s="169" customFormat="1" ht="15.75">
      <c r="A1283" s="256"/>
      <c r="B1283" s="257" t="s">
        <v>428</v>
      </c>
      <c r="C1283" s="258" t="s">
        <v>429</v>
      </c>
      <c r="D1283" s="256" t="s">
        <v>17</v>
      </c>
      <c r="E1283" s="259"/>
      <c r="F1283" s="260">
        <v>57.034500000000001</v>
      </c>
      <c r="G1283" s="260">
        <f t="shared" si="72"/>
        <v>0</v>
      </c>
      <c r="H1283" s="260"/>
      <c r="I1283" s="259"/>
    </row>
    <row r="1284" spans="1:9" s="169" customFormat="1" ht="15.75">
      <c r="A1284" s="256"/>
      <c r="B1284" s="257" t="s">
        <v>430</v>
      </c>
      <c r="C1284" s="258" t="s">
        <v>431</v>
      </c>
      <c r="D1284" s="256" t="s">
        <v>55</v>
      </c>
      <c r="E1284" s="259"/>
      <c r="F1284" s="260">
        <v>2256.2469000000001</v>
      </c>
      <c r="G1284" s="260">
        <f t="shared" si="72"/>
        <v>0</v>
      </c>
      <c r="H1284" s="260"/>
      <c r="I1284" s="259"/>
    </row>
    <row r="1285" spans="1:9" ht="15">
      <c r="A1285" s="74"/>
      <c r="B1285" s="80"/>
      <c r="C1285" s="81"/>
      <c r="D1285" s="74"/>
      <c r="E1285" s="78" t="s">
        <v>33</v>
      </c>
      <c r="F1285" s="64"/>
      <c r="G1285" s="64">
        <f>TRUNC(SUM(G1279:G1284),2)</f>
        <v>627.14</v>
      </c>
      <c r="H1285" s="64"/>
      <c r="I1285" s="78"/>
    </row>
    <row r="1286" spans="1:9" ht="60.75">
      <c r="A1286" s="68" t="s">
        <v>574</v>
      </c>
      <c r="B1286" s="98" t="s">
        <v>554</v>
      </c>
      <c r="C1286" s="23" t="s">
        <v>1952</v>
      </c>
      <c r="D1286" s="68" t="s">
        <v>17</v>
      </c>
      <c r="E1286" s="24">
        <f>2*0.55</f>
        <v>1.1000000000000001</v>
      </c>
      <c r="F1286" s="24">
        <f>TRUNC(F1287,2)</f>
        <v>755.6</v>
      </c>
      <c r="G1286" s="24">
        <f>TRUNC(F1286*1.2882,2)</f>
        <v>973.36</v>
      </c>
      <c r="H1286" s="24">
        <f>TRUNC(F1286*E1286,2)</f>
        <v>831.16</v>
      </c>
      <c r="I1286" s="24">
        <f>TRUNC(E1286*G1286,2)</f>
        <v>1070.69</v>
      </c>
    </row>
    <row r="1287" spans="1:9" ht="60">
      <c r="A1287" s="74"/>
      <c r="B1287" s="80" t="s">
        <v>554</v>
      </c>
      <c r="C1287" s="81" t="s">
        <v>555</v>
      </c>
      <c r="D1287" s="74" t="s">
        <v>17</v>
      </c>
      <c r="E1287" s="78">
        <v>1</v>
      </c>
      <c r="F1287" s="64">
        <f>G1294</f>
        <v>755.6</v>
      </c>
      <c r="G1287" s="64">
        <f t="shared" ref="G1287:G1293" si="73">TRUNC(E1287*F1287,2)</f>
        <v>755.6</v>
      </c>
      <c r="H1287" s="64"/>
      <c r="I1287" s="78"/>
    </row>
    <row r="1288" spans="1:9" ht="30">
      <c r="A1288" s="74"/>
      <c r="B1288" s="80" t="s">
        <v>556</v>
      </c>
      <c r="C1288" s="81" t="s">
        <v>557</v>
      </c>
      <c r="D1288" s="74" t="s">
        <v>7</v>
      </c>
      <c r="E1288" s="78">
        <v>0.61729999999999996</v>
      </c>
      <c r="F1288" s="64">
        <v>941.52539999999999</v>
      </c>
      <c r="G1288" s="64">
        <f t="shared" si="73"/>
        <v>581.20000000000005</v>
      </c>
      <c r="H1288" s="64"/>
      <c r="I1288" s="78"/>
    </row>
    <row r="1289" spans="1:9" s="169" customFormat="1" ht="15.75">
      <c r="A1289" s="256"/>
      <c r="B1289" s="257" t="s">
        <v>1896</v>
      </c>
      <c r="C1289" s="258" t="s">
        <v>1897</v>
      </c>
      <c r="D1289" s="256" t="s">
        <v>23</v>
      </c>
      <c r="E1289" s="259">
        <v>1</v>
      </c>
      <c r="F1289" s="260">
        <v>30.031400000000001</v>
      </c>
      <c r="G1289" s="260">
        <f>TRUNC(E1289*F1289,2)</f>
        <v>30.03</v>
      </c>
      <c r="H1289" s="260"/>
      <c r="I1289" s="259"/>
    </row>
    <row r="1290" spans="1:9" ht="30">
      <c r="A1290" s="74"/>
      <c r="B1290" s="80" t="s">
        <v>49</v>
      </c>
      <c r="C1290" s="81" t="s">
        <v>50</v>
      </c>
      <c r="D1290" s="74" t="s">
        <v>51</v>
      </c>
      <c r="E1290" s="78">
        <v>0.85489999999999999</v>
      </c>
      <c r="F1290" s="64">
        <f>TRUNC(15.2,2)</f>
        <v>15.2</v>
      </c>
      <c r="G1290" s="64">
        <f t="shared" si="73"/>
        <v>12.99</v>
      </c>
      <c r="H1290" s="64"/>
      <c r="I1290" s="78"/>
    </row>
    <row r="1291" spans="1:9" ht="15">
      <c r="A1291" s="74"/>
      <c r="B1291" s="80" t="s">
        <v>76</v>
      </c>
      <c r="C1291" s="81" t="s">
        <v>77</v>
      </c>
      <c r="D1291" s="74" t="s">
        <v>51</v>
      </c>
      <c r="E1291" s="78">
        <v>0.85489999999999999</v>
      </c>
      <c r="F1291" s="64">
        <f>TRUNC(21,2)</f>
        <v>21</v>
      </c>
      <c r="G1291" s="64">
        <f t="shared" si="73"/>
        <v>17.95</v>
      </c>
      <c r="H1291" s="64"/>
      <c r="I1291" s="78"/>
    </row>
    <row r="1292" spans="1:9" ht="15">
      <c r="A1292" s="74"/>
      <c r="B1292" s="80" t="s">
        <v>428</v>
      </c>
      <c r="C1292" s="81" t="s">
        <v>429</v>
      </c>
      <c r="D1292" s="74" t="s">
        <v>17</v>
      </c>
      <c r="E1292" s="78">
        <v>1</v>
      </c>
      <c r="F1292" s="64">
        <v>57.034500000000001</v>
      </c>
      <c r="G1292" s="64">
        <f t="shared" si="73"/>
        <v>57.03</v>
      </c>
      <c r="H1292" s="64"/>
      <c r="I1292" s="78"/>
    </row>
    <row r="1293" spans="1:9" ht="15">
      <c r="A1293" s="74"/>
      <c r="B1293" s="80" t="s">
        <v>430</v>
      </c>
      <c r="C1293" s="81" t="s">
        <v>431</v>
      </c>
      <c r="D1293" s="74" t="s">
        <v>55</v>
      </c>
      <c r="E1293" s="78">
        <v>2.5000000000000001E-2</v>
      </c>
      <c r="F1293" s="64">
        <v>2256.2469000000001</v>
      </c>
      <c r="G1293" s="64">
        <f t="shared" si="73"/>
        <v>56.4</v>
      </c>
      <c r="H1293" s="64"/>
      <c r="I1293" s="78"/>
    </row>
    <row r="1294" spans="1:9" ht="15">
      <c r="A1294" s="74"/>
      <c r="B1294" s="80"/>
      <c r="C1294" s="81"/>
      <c r="D1294" s="74"/>
      <c r="E1294" s="78" t="s">
        <v>33</v>
      </c>
      <c r="F1294" s="64"/>
      <c r="G1294" s="64">
        <f>TRUNC(SUM(G1288:G1293),2)</f>
        <v>755.6</v>
      </c>
      <c r="H1294" s="64"/>
      <c r="I1294" s="78"/>
    </row>
    <row r="1295" spans="1:9" ht="45">
      <c r="A1295" s="68" t="s">
        <v>575</v>
      </c>
      <c r="B1295" s="98" t="s">
        <v>559</v>
      </c>
      <c r="C1295" s="23" t="s">
        <v>560</v>
      </c>
      <c r="D1295" s="68" t="s">
        <v>7</v>
      </c>
      <c r="E1295" s="24">
        <v>2</v>
      </c>
      <c r="F1295" s="24">
        <f>TRUNC(F1296,2)</f>
        <v>686.82</v>
      </c>
      <c r="G1295" s="24">
        <f>TRUNC(F1295*1.2882,2)</f>
        <v>884.76</v>
      </c>
      <c r="H1295" s="24">
        <f>TRUNC(F1295*E1295,2)</f>
        <v>1373.64</v>
      </c>
      <c r="I1295" s="24">
        <f>TRUNC(E1295*G1295,2)</f>
        <v>1769.52</v>
      </c>
    </row>
    <row r="1296" spans="1:9" ht="45">
      <c r="A1296" s="74"/>
      <c r="B1296" s="80" t="s">
        <v>559</v>
      </c>
      <c r="C1296" s="81" t="s">
        <v>560</v>
      </c>
      <c r="D1296" s="74" t="s">
        <v>7</v>
      </c>
      <c r="E1296" s="78">
        <v>1</v>
      </c>
      <c r="F1296" s="64">
        <f>G1302</f>
        <v>686.82</v>
      </c>
      <c r="G1296" s="64">
        <f t="shared" ref="G1296:G1301" si="74">TRUNC(E1296*F1296,2)</f>
        <v>686.82</v>
      </c>
      <c r="H1296" s="64"/>
      <c r="I1296" s="78"/>
    </row>
    <row r="1297" spans="1:9" ht="30">
      <c r="A1297" s="74"/>
      <c r="B1297" s="80" t="s">
        <v>561</v>
      </c>
      <c r="C1297" s="81" t="s">
        <v>562</v>
      </c>
      <c r="D1297" s="74" t="s">
        <v>7</v>
      </c>
      <c r="E1297" s="78">
        <v>1</v>
      </c>
      <c r="F1297" s="64">
        <v>33.89</v>
      </c>
      <c r="G1297" s="64">
        <f t="shared" si="74"/>
        <v>33.89</v>
      </c>
      <c r="H1297" s="64"/>
      <c r="I1297" s="78"/>
    </row>
    <row r="1298" spans="1:9" ht="30">
      <c r="A1298" s="74"/>
      <c r="B1298" s="80" t="s">
        <v>563</v>
      </c>
      <c r="C1298" s="81" t="s">
        <v>564</v>
      </c>
      <c r="D1298" s="74" t="s">
        <v>7</v>
      </c>
      <c r="E1298" s="78">
        <v>1</v>
      </c>
      <c r="F1298" s="64">
        <v>533.53</v>
      </c>
      <c r="G1298" s="64">
        <f t="shared" si="74"/>
        <v>533.53</v>
      </c>
      <c r="H1298" s="64"/>
      <c r="I1298" s="78"/>
    </row>
    <row r="1299" spans="1:9" ht="15">
      <c r="A1299" s="74"/>
      <c r="B1299" s="80" t="s">
        <v>565</v>
      </c>
      <c r="C1299" s="81" t="s">
        <v>566</v>
      </c>
      <c r="D1299" s="74" t="s">
        <v>7</v>
      </c>
      <c r="E1299" s="78">
        <v>1</v>
      </c>
      <c r="F1299" s="64">
        <v>93.31</v>
      </c>
      <c r="G1299" s="64">
        <f t="shared" si="74"/>
        <v>93.31</v>
      </c>
      <c r="H1299" s="64"/>
      <c r="I1299" s="78"/>
    </row>
    <row r="1300" spans="1:9" ht="30">
      <c r="A1300" s="74"/>
      <c r="B1300" s="80" t="s">
        <v>49</v>
      </c>
      <c r="C1300" s="81" t="s">
        <v>50</v>
      </c>
      <c r="D1300" s="74" t="s">
        <v>51</v>
      </c>
      <c r="E1300" s="78">
        <v>0.72099999999999997</v>
      </c>
      <c r="F1300" s="64">
        <f>TRUNC(15.2,2)</f>
        <v>15.2</v>
      </c>
      <c r="G1300" s="64">
        <f t="shared" si="74"/>
        <v>10.95</v>
      </c>
      <c r="H1300" s="64"/>
      <c r="I1300" s="78"/>
    </row>
    <row r="1301" spans="1:9" ht="15">
      <c r="A1301" s="74"/>
      <c r="B1301" s="80" t="s">
        <v>76</v>
      </c>
      <c r="C1301" s="81" t="s">
        <v>77</v>
      </c>
      <c r="D1301" s="74" t="s">
        <v>51</v>
      </c>
      <c r="E1301" s="78">
        <v>0.72099999999999997</v>
      </c>
      <c r="F1301" s="64">
        <f>TRUNC(21,2)</f>
        <v>21</v>
      </c>
      <c r="G1301" s="64">
        <f t="shared" si="74"/>
        <v>15.14</v>
      </c>
      <c r="H1301" s="64"/>
      <c r="I1301" s="78"/>
    </row>
    <row r="1302" spans="1:9" ht="15">
      <c r="A1302" s="74"/>
      <c r="B1302" s="80"/>
      <c r="C1302" s="81"/>
      <c r="D1302" s="74"/>
      <c r="E1302" s="78" t="s">
        <v>33</v>
      </c>
      <c r="F1302" s="64"/>
      <c r="G1302" s="64">
        <f>TRUNC(SUM(G1297:G1301),2)</f>
        <v>686.82</v>
      </c>
      <c r="H1302" s="64"/>
      <c r="I1302" s="78"/>
    </row>
    <row r="1303" spans="1:9" ht="60">
      <c r="A1303" s="68" t="s">
        <v>582</v>
      </c>
      <c r="B1303" s="98" t="s">
        <v>1741</v>
      </c>
      <c r="C1303" s="23" t="s">
        <v>1796</v>
      </c>
      <c r="D1303" s="68" t="s">
        <v>7</v>
      </c>
      <c r="E1303" s="24">
        <v>1</v>
      </c>
      <c r="F1303" s="24">
        <f>TRUNC(F1304,2)</f>
        <v>460.87</v>
      </c>
      <c r="G1303" s="24">
        <f>TRUNC(F1303*1.2882,2)</f>
        <v>593.69000000000005</v>
      </c>
      <c r="H1303" s="24">
        <f>TRUNC(F1303*E1303,2)</f>
        <v>460.87</v>
      </c>
      <c r="I1303" s="24">
        <f>TRUNC(E1303*G1303,2)</f>
        <v>593.69000000000005</v>
      </c>
    </row>
    <row r="1304" spans="1:9" ht="45">
      <c r="A1304" s="74"/>
      <c r="B1304" s="80" t="s">
        <v>1733</v>
      </c>
      <c r="C1304" s="81" t="s">
        <v>1734</v>
      </c>
      <c r="D1304" s="74" t="s">
        <v>7</v>
      </c>
      <c r="E1304" s="78">
        <v>1</v>
      </c>
      <c r="F1304" s="64">
        <f>G1308</f>
        <v>460.87</v>
      </c>
      <c r="G1304" s="64">
        <f>TRUNC(E1304*F1304,2)</f>
        <v>460.87</v>
      </c>
      <c r="H1304" s="64"/>
      <c r="I1304" s="78"/>
    </row>
    <row r="1305" spans="1:9" s="169" customFormat="1" ht="31.5">
      <c r="A1305" s="256"/>
      <c r="B1305" s="257" t="s">
        <v>1726</v>
      </c>
      <c r="C1305" s="258" t="s">
        <v>1727</v>
      </c>
      <c r="D1305" s="256" t="s">
        <v>7</v>
      </c>
      <c r="E1305" s="259">
        <v>1</v>
      </c>
      <c r="F1305" s="260">
        <f>TRUNC(230.599544,2)</f>
        <v>230.59</v>
      </c>
      <c r="G1305" s="260">
        <f>TRUNC(E1305*F1305,2)</f>
        <v>230.59</v>
      </c>
      <c r="H1305" s="260"/>
      <c r="I1305" s="259"/>
    </row>
    <row r="1306" spans="1:9" ht="30">
      <c r="A1306" s="74"/>
      <c r="B1306" s="80" t="s">
        <v>568</v>
      </c>
      <c r="C1306" s="81" t="s">
        <v>1737</v>
      </c>
      <c r="D1306" s="74" t="s">
        <v>7</v>
      </c>
      <c r="E1306" s="78">
        <v>1</v>
      </c>
      <c r="F1306" s="64">
        <f>TRUNC(169.4,2)</f>
        <v>169.4</v>
      </c>
      <c r="G1306" s="64">
        <f>TRUNC(E1306*F1306,2)</f>
        <v>169.4</v>
      </c>
      <c r="H1306" s="64"/>
      <c r="I1306" s="78"/>
    </row>
    <row r="1307" spans="1:9" ht="30">
      <c r="A1307" s="74"/>
      <c r="B1307" s="80" t="s">
        <v>1393</v>
      </c>
      <c r="C1307" s="81" t="s">
        <v>1738</v>
      </c>
      <c r="D1307" s="74" t="s">
        <v>7</v>
      </c>
      <c r="E1307" s="78">
        <v>1</v>
      </c>
      <c r="F1307" s="64">
        <f>TRUNC(60.88,2)</f>
        <v>60.88</v>
      </c>
      <c r="G1307" s="64">
        <f>TRUNC(E1307*F1307,2)</f>
        <v>60.88</v>
      </c>
      <c r="H1307" s="64"/>
      <c r="I1307" s="78"/>
    </row>
    <row r="1308" spans="1:9" ht="15">
      <c r="A1308" s="74"/>
      <c r="B1308" s="80"/>
      <c r="C1308" s="81"/>
      <c r="D1308" s="74"/>
      <c r="E1308" s="78" t="s">
        <v>33</v>
      </c>
      <c r="F1308" s="64"/>
      <c r="G1308" s="64">
        <f>TRUNC(SUM(G1305:G1307),2)</f>
        <v>460.87</v>
      </c>
      <c r="H1308" s="64"/>
      <c r="I1308" s="78"/>
    </row>
    <row r="1309" spans="1:9" ht="60">
      <c r="A1309" s="68" t="s">
        <v>583</v>
      </c>
      <c r="B1309" s="98" t="s">
        <v>1741</v>
      </c>
      <c r="C1309" s="23" t="s">
        <v>1795</v>
      </c>
      <c r="D1309" s="68" t="s">
        <v>7</v>
      </c>
      <c r="E1309" s="24">
        <v>1</v>
      </c>
      <c r="F1309" s="24">
        <f>TRUNC(F1310,2)</f>
        <v>2061.52</v>
      </c>
      <c r="G1309" s="24">
        <f>TRUNC(F1309*1.2882,2)</f>
        <v>2655.65</v>
      </c>
      <c r="H1309" s="24">
        <f>TRUNC(F1309*E1309,2)</f>
        <v>2061.52</v>
      </c>
      <c r="I1309" s="24">
        <f>TRUNC(E1309*G1309,2)</f>
        <v>2655.65</v>
      </c>
    </row>
    <row r="1310" spans="1:9" ht="45">
      <c r="A1310" s="74"/>
      <c r="B1310" s="80" t="s">
        <v>1733</v>
      </c>
      <c r="C1310" s="81" t="s">
        <v>1734</v>
      </c>
      <c r="D1310" s="74" t="s">
        <v>7</v>
      </c>
      <c r="E1310" s="78">
        <v>1</v>
      </c>
      <c r="F1310" s="64">
        <f>G1314</f>
        <v>2061.52</v>
      </c>
      <c r="G1310" s="64">
        <f>TRUNC(E1310*F1310,2)</f>
        <v>2061.52</v>
      </c>
      <c r="H1310" s="64"/>
      <c r="I1310" s="78"/>
    </row>
    <row r="1311" spans="1:9" s="169" customFormat="1" ht="31.5">
      <c r="A1311" s="256"/>
      <c r="B1311" s="257" t="s">
        <v>1739</v>
      </c>
      <c r="C1311" s="258" t="s">
        <v>1740</v>
      </c>
      <c r="D1311" s="256" t="s">
        <v>7</v>
      </c>
      <c r="E1311" s="259">
        <v>1</v>
      </c>
      <c r="F1311" s="260">
        <f>F1315</f>
        <v>1831.24</v>
      </c>
      <c r="G1311" s="260">
        <f>TRUNC(E1311*F1311,2)</f>
        <v>1831.24</v>
      </c>
      <c r="H1311" s="260"/>
      <c r="I1311" s="259"/>
    </row>
    <row r="1312" spans="1:9" ht="30">
      <c r="A1312" s="74"/>
      <c r="B1312" s="80" t="s">
        <v>568</v>
      </c>
      <c r="C1312" s="81" t="s">
        <v>1737</v>
      </c>
      <c r="D1312" s="74" t="s">
        <v>7</v>
      </c>
      <c r="E1312" s="78">
        <v>1</v>
      </c>
      <c r="F1312" s="64">
        <f>TRUNC(169.4,2)</f>
        <v>169.4</v>
      </c>
      <c r="G1312" s="64">
        <f>TRUNC(E1312*F1312,2)</f>
        <v>169.4</v>
      </c>
      <c r="H1312" s="64"/>
      <c r="I1312" s="78"/>
    </row>
    <row r="1313" spans="1:9" ht="30">
      <c r="A1313" s="74"/>
      <c r="B1313" s="80" t="s">
        <v>1393</v>
      </c>
      <c r="C1313" s="81" t="s">
        <v>1738</v>
      </c>
      <c r="D1313" s="74" t="s">
        <v>7</v>
      </c>
      <c r="E1313" s="78">
        <v>1</v>
      </c>
      <c r="F1313" s="64">
        <f>TRUNC(60.88,2)</f>
        <v>60.88</v>
      </c>
      <c r="G1313" s="64">
        <f>TRUNC(E1313*F1313,2)</f>
        <v>60.88</v>
      </c>
      <c r="H1313" s="64"/>
      <c r="I1313" s="78"/>
    </row>
    <row r="1314" spans="1:9" ht="15">
      <c r="A1314" s="74"/>
      <c r="B1314" s="80"/>
      <c r="C1314" s="81"/>
      <c r="D1314" s="74"/>
      <c r="E1314" s="78" t="s">
        <v>33</v>
      </c>
      <c r="F1314" s="64"/>
      <c r="G1314" s="64">
        <f>TRUNC(SUM(G1311:G1313),2)</f>
        <v>2061.52</v>
      </c>
      <c r="H1314" s="64"/>
      <c r="I1314" s="78"/>
    </row>
    <row r="1315" spans="1:9" ht="30">
      <c r="A1315" s="74"/>
      <c r="B1315" s="80" t="s">
        <v>1726</v>
      </c>
      <c r="C1315" s="81" t="s">
        <v>1727</v>
      </c>
      <c r="D1315" s="74" t="s">
        <v>7</v>
      </c>
      <c r="E1315" s="78">
        <v>1</v>
      </c>
      <c r="F1315" s="64">
        <f>G1320</f>
        <v>1831.24</v>
      </c>
      <c r="G1315" s="64">
        <f>TRUNC(E1315*F1315,2)</f>
        <v>1831.24</v>
      </c>
      <c r="H1315" s="64"/>
      <c r="I1315" s="78"/>
    </row>
    <row r="1316" spans="1:9" ht="15">
      <c r="A1316" s="74"/>
      <c r="B1316" s="80" t="s">
        <v>1728</v>
      </c>
      <c r="C1316" s="81" t="s">
        <v>1729</v>
      </c>
      <c r="D1316" s="74" t="s">
        <v>46</v>
      </c>
      <c r="E1316" s="78">
        <v>0.34599999999999997</v>
      </c>
      <c r="F1316" s="64">
        <f>TRUNC(46.61,2)</f>
        <v>46.61</v>
      </c>
      <c r="G1316" s="64">
        <f>TRUNC(E1316*F1316,2)</f>
        <v>16.12</v>
      </c>
      <c r="H1316" s="64"/>
      <c r="I1316" s="78"/>
    </row>
    <row r="1317" spans="1:9" s="169" customFormat="1" ht="31.5">
      <c r="A1317" s="256"/>
      <c r="B1317" s="257" t="s">
        <v>1739</v>
      </c>
      <c r="C1317" s="258" t="s">
        <v>1730</v>
      </c>
      <c r="D1317" s="256" t="s">
        <v>7</v>
      </c>
      <c r="E1317" s="259">
        <v>1</v>
      </c>
      <c r="F1317" s="260">
        <v>1800</v>
      </c>
      <c r="G1317" s="260">
        <f>TRUNC(E1317*F1317,2)</f>
        <v>1800</v>
      </c>
      <c r="H1317" s="260"/>
      <c r="I1317" s="259"/>
    </row>
    <row r="1318" spans="1:9" ht="15">
      <c r="A1318" s="74"/>
      <c r="B1318" s="80" t="s">
        <v>56</v>
      </c>
      <c r="C1318" s="81" t="s">
        <v>57</v>
      </c>
      <c r="D1318" s="74" t="s">
        <v>51</v>
      </c>
      <c r="E1318" s="78">
        <v>0.15040000000000001</v>
      </c>
      <c r="F1318" s="64">
        <f>TRUNC(22.72,2)</f>
        <v>22.72</v>
      </c>
      <c r="G1318" s="64">
        <f>TRUNC(E1318*F1318,2)</f>
        <v>3.41</v>
      </c>
      <c r="H1318" s="64"/>
      <c r="I1318" s="78"/>
    </row>
    <row r="1319" spans="1:9" ht="15">
      <c r="A1319" s="74"/>
      <c r="B1319" s="80" t="s">
        <v>1731</v>
      </c>
      <c r="C1319" s="81" t="s">
        <v>1732</v>
      </c>
      <c r="D1319" s="74" t="s">
        <v>51</v>
      </c>
      <c r="E1319" s="78">
        <v>0.47739999999999999</v>
      </c>
      <c r="F1319" s="64">
        <f>TRUNC(24.54,2)</f>
        <v>24.54</v>
      </c>
      <c r="G1319" s="64">
        <f>TRUNC(E1319*F1319,2)</f>
        <v>11.71</v>
      </c>
      <c r="H1319" s="64"/>
      <c r="I1319" s="78"/>
    </row>
    <row r="1320" spans="1:9" ht="15">
      <c r="A1320" s="74"/>
      <c r="B1320" s="80"/>
      <c r="C1320" s="81"/>
      <c r="D1320" s="74"/>
      <c r="E1320" s="78" t="s">
        <v>33</v>
      </c>
      <c r="F1320" s="64"/>
      <c r="G1320" s="64">
        <f>TRUNC(SUM(G1316:G1319),2)</f>
        <v>1831.24</v>
      </c>
      <c r="H1320" s="64"/>
      <c r="I1320" s="78"/>
    </row>
    <row r="1321" spans="1:9" ht="60">
      <c r="A1321" s="68" t="s">
        <v>600</v>
      </c>
      <c r="B1321" s="98" t="s">
        <v>1733</v>
      </c>
      <c r="C1321" s="23" t="s">
        <v>1794</v>
      </c>
      <c r="D1321" s="68" t="s">
        <v>7</v>
      </c>
      <c r="E1321" s="24">
        <v>1</v>
      </c>
      <c r="F1321" s="24">
        <f>TRUNC(F1322,2)</f>
        <v>440.57</v>
      </c>
      <c r="G1321" s="24">
        <f>TRUNC(F1321*1.2882,2)</f>
        <v>567.54</v>
      </c>
      <c r="H1321" s="24">
        <f>TRUNC(F1321*E1321,2)</f>
        <v>440.57</v>
      </c>
      <c r="I1321" s="24">
        <f>TRUNC(E1321*G1321,2)</f>
        <v>567.54</v>
      </c>
    </row>
    <row r="1322" spans="1:9" ht="45">
      <c r="A1322" s="74"/>
      <c r="B1322" s="80" t="s">
        <v>1733</v>
      </c>
      <c r="C1322" s="81" t="s">
        <v>1734</v>
      </c>
      <c r="D1322" s="74" t="s">
        <v>7</v>
      </c>
      <c r="E1322" s="78">
        <v>1</v>
      </c>
      <c r="F1322" s="64">
        <f>G1326</f>
        <v>440.57</v>
      </c>
      <c r="G1322" s="64">
        <f>TRUNC(E1322*F1322,2)</f>
        <v>440.57</v>
      </c>
      <c r="H1322" s="64"/>
      <c r="I1322" s="78"/>
    </row>
    <row r="1323" spans="1:9" ht="30">
      <c r="A1323" s="74"/>
      <c r="B1323" s="80" t="s">
        <v>1735</v>
      </c>
      <c r="C1323" s="81" t="s">
        <v>1736</v>
      </c>
      <c r="D1323" s="74" t="s">
        <v>7</v>
      </c>
      <c r="E1323" s="78">
        <v>1</v>
      </c>
      <c r="F1323" s="64">
        <f>TRUNC(210.29,2)</f>
        <v>210.29</v>
      </c>
      <c r="G1323" s="64">
        <f>TRUNC(E1323*F1323,2)</f>
        <v>210.29</v>
      </c>
      <c r="H1323" s="64"/>
      <c r="I1323" s="78"/>
    </row>
    <row r="1324" spans="1:9" ht="30">
      <c r="A1324" s="74"/>
      <c r="B1324" s="80" t="s">
        <v>568</v>
      </c>
      <c r="C1324" s="81" t="s">
        <v>1737</v>
      </c>
      <c r="D1324" s="74" t="s">
        <v>7</v>
      </c>
      <c r="E1324" s="78">
        <v>1</v>
      </c>
      <c r="F1324" s="64">
        <f>TRUNC(169.4,2)</f>
        <v>169.4</v>
      </c>
      <c r="G1324" s="64">
        <f>TRUNC(E1324*F1324,2)</f>
        <v>169.4</v>
      </c>
      <c r="H1324" s="64"/>
      <c r="I1324" s="78"/>
    </row>
    <row r="1325" spans="1:9" ht="30">
      <c r="A1325" s="74"/>
      <c r="B1325" s="80" t="s">
        <v>1393</v>
      </c>
      <c r="C1325" s="81" t="s">
        <v>1738</v>
      </c>
      <c r="D1325" s="74" t="s">
        <v>7</v>
      </c>
      <c r="E1325" s="78">
        <v>1</v>
      </c>
      <c r="F1325" s="64">
        <f>TRUNC(60.88,2)</f>
        <v>60.88</v>
      </c>
      <c r="G1325" s="64">
        <f>TRUNC(E1325*F1325,2)</f>
        <v>60.88</v>
      </c>
      <c r="H1325" s="64"/>
      <c r="I1325" s="78"/>
    </row>
    <row r="1326" spans="1:9" ht="15">
      <c r="A1326" s="74"/>
      <c r="B1326" s="80"/>
      <c r="C1326" s="81"/>
      <c r="D1326" s="74"/>
      <c r="E1326" s="78" t="s">
        <v>33</v>
      </c>
      <c r="F1326" s="64"/>
      <c r="G1326" s="64">
        <f>TRUNC(SUM(G1323:G1325),2)</f>
        <v>440.57</v>
      </c>
      <c r="H1326" s="64"/>
      <c r="I1326" s="78"/>
    </row>
    <row r="1327" spans="1:9" ht="30">
      <c r="A1327" s="68" t="s">
        <v>601</v>
      </c>
      <c r="B1327" s="98" t="s">
        <v>1793</v>
      </c>
      <c r="C1327" s="23" t="s">
        <v>1797</v>
      </c>
      <c r="D1327" s="68" t="s">
        <v>7</v>
      </c>
      <c r="E1327" s="24">
        <v>11</v>
      </c>
      <c r="F1327" s="24">
        <f>TRUNC(F1328,2)</f>
        <v>387.67</v>
      </c>
      <c r="G1327" s="24">
        <f>TRUNC(F1327*1.2882,2)</f>
        <v>499.39</v>
      </c>
      <c r="H1327" s="24">
        <f>TRUNC(F1327*E1327,2)</f>
        <v>4264.37</v>
      </c>
      <c r="I1327" s="24">
        <f>TRUNC(E1327*G1327,2)</f>
        <v>5493.29</v>
      </c>
    </row>
    <row r="1328" spans="1:9" ht="45">
      <c r="A1328" s="74"/>
      <c r="B1328" s="80" t="s">
        <v>569</v>
      </c>
      <c r="C1328" s="81" t="s">
        <v>570</v>
      </c>
      <c r="D1328" s="74" t="s">
        <v>7</v>
      </c>
      <c r="E1328" s="78">
        <v>1</v>
      </c>
      <c r="F1328" s="64">
        <f>G1332</f>
        <v>387.67</v>
      </c>
      <c r="G1328" s="64">
        <f>TRUNC(E1328*F1328,2)</f>
        <v>387.67</v>
      </c>
      <c r="H1328" s="64"/>
      <c r="I1328" s="78"/>
    </row>
    <row r="1329" spans="1:9" ht="30">
      <c r="A1329" s="74"/>
      <c r="B1329" s="80" t="s">
        <v>571</v>
      </c>
      <c r="C1329" s="81" t="s">
        <v>1639</v>
      </c>
      <c r="D1329" s="74" t="s">
        <v>7</v>
      </c>
      <c r="E1329" s="78">
        <v>1</v>
      </c>
      <c r="F1329" s="64">
        <f>TRUNC(161.678943,2)</f>
        <v>161.66999999999999</v>
      </c>
      <c r="G1329" s="64">
        <f>TRUNC(E1329*F1329,2)</f>
        <v>161.66999999999999</v>
      </c>
      <c r="H1329" s="64"/>
      <c r="I1329" s="78"/>
    </row>
    <row r="1330" spans="1:9" ht="30">
      <c r="A1330" s="74"/>
      <c r="B1330" s="80" t="s">
        <v>568</v>
      </c>
      <c r="C1330" s="81" t="s">
        <v>1403</v>
      </c>
      <c r="D1330" s="74" t="s">
        <v>7</v>
      </c>
      <c r="E1330" s="78">
        <v>1</v>
      </c>
      <c r="F1330" s="64">
        <f>TRUNC(169.416914,2)</f>
        <v>169.41</v>
      </c>
      <c r="G1330" s="64">
        <f>TRUNC(E1330*F1330,2)</f>
        <v>169.41</v>
      </c>
      <c r="H1330" s="64"/>
      <c r="I1330" s="78"/>
    </row>
    <row r="1331" spans="1:9" ht="30">
      <c r="A1331" s="74"/>
      <c r="B1331" s="80" t="s">
        <v>572</v>
      </c>
      <c r="C1331" s="81" t="s">
        <v>1398</v>
      </c>
      <c r="D1331" s="74" t="s">
        <v>7</v>
      </c>
      <c r="E1331" s="78">
        <v>1</v>
      </c>
      <c r="F1331" s="64">
        <f>TRUNC(56.598876,2)</f>
        <v>56.59</v>
      </c>
      <c r="G1331" s="64">
        <f>TRUNC(E1331*F1331,2)</f>
        <v>56.59</v>
      </c>
      <c r="H1331" s="64"/>
      <c r="I1331" s="78"/>
    </row>
    <row r="1332" spans="1:9" ht="15">
      <c r="A1332" s="74"/>
      <c r="B1332" s="80"/>
      <c r="C1332" s="81"/>
      <c r="D1332" s="74"/>
      <c r="E1332" s="78" t="s">
        <v>33</v>
      </c>
      <c r="F1332" s="64"/>
      <c r="G1332" s="64">
        <f>TRUNC(SUM(G1329:G1331),2)</f>
        <v>387.67</v>
      </c>
      <c r="H1332" s="64"/>
      <c r="I1332" s="78"/>
    </row>
    <row r="1333" spans="1:9" ht="30">
      <c r="A1333" s="68" t="s">
        <v>609</v>
      </c>
      <c r="B1333" s="98" t="s">
        <v>1793</v>
      </c>
      <c r="C1333" s="23" t="s">
        <v>1798</v>
      </c>
      <c r="D1333" s="68" t="s">
        <v>7</v>
      </c>
      <c r="E1333" s="24">
        <v>1</v>
      </c>
      <c r="F1333" s="24">
        <f>TRUNC(F1334,2)</f>
        <v>387.67</v>
      </c>
      <c r="G1333" s="24">
        <f>TRUNC(F1333*1.2882,2)</f>
        <v>499.39</v>
      </c>
      <c r="H1333" s="24">
        <f>TRUNC(F1333*E1333,2)</f>
        <v>387.67</v>
      </c>
      <c r="I1333" s="24">
        <f>TRUNC(E1333*G1333,2)</f>
        <v>499.39</v>
      </c>
    </row>
    <row r="1334" spans="1:9" ht="45">
      <c r="A1334" s="74"/>
      <c r="B1334" s="80" t="s">
        <v>569</v>
      </c>
      <c r="C1334" s="81" t="s">
        <v>570</v>
      </c>
      <c r="D1334" s="74" t="s">
        <v>7</v>
      </c>
      <c r="E1334" s="78">
        <v>1</v>
      </c>
      <c r="F1334" s="64">
        <f>G1338</f>
        <v>387.67</v>
      </c>
      <c r="G1334" s="64">
        <f>TRUNC(E1334*F1334,2)</f>
        <v>387.67</v>
      </c>
      <c r="H1334" s="64"/>
      <c r="I1334" s="78"/>
    </row>
    <row r="1335" spans="1:9" ht="30">
      <c r="A1335" s="74"/>
      <c r="B1335" s="80" t="s">
        <v>571</v>
      </c>
      <c r="C1335" s="81" t="s">
        <v>1639</v>
      </c>
      <c r="D1335" s="74" t="s">
        <v>7</v>
      </c>
      <c r="E1335" s="78">
        <v>1</v>
      </c>
      <c r="F1335" s="64">
        <f>TRUNC(161.678943,2)</f>
        <v>161.66999999999999</v>
      </c>
      <c r="G1335" s="64">
        <f>TRUNC(E1335*F1335,2)</f>
        <v>161.66999999999999</v>
      </c>
      <c r="H1335" s="64"/>
      <c r="I1335" s="78"/>
    </row>
    <row r="1336" spans="1:9" ht="30">
      <c r="A1336" s="74"/>
      <c r="B1336" s="80" t="s">
        <v>568</v>
      </c>
      <c r="C1336" s="81" t="s">
        <v>1403</v>
      </c>
      <c r="D1336" s="74" t="s">
        <v>7</v>
      </c>
      <c r="E1336" s="78">
        <v>1</v>
      </c>
      <c r="F1336" s="64">
        <f>TRUNC(169.416914,2)</f>
        <v>169.41</v>
      </c>
      <c r="G1336" s="64">
        <f>TRUNC(E1336*F1336,2)</f>
        <v>169.41</v>
      </c>
      <c r="H1336" s="64"/>
      <c r="I1336" s="78"/>
    </row>
    <row r="1337" spans="1:9" ht="30">
      <c r="A1337" s="74"/>
      <c r="B1337" s="80" t="s">
        <v>572</v>
      </c>
      <c r="C1337" s="81" t="s">
        <v>1398</v>
      </c>
      <c r="D1337" s="74" t="s">
        <v>7</v>
      </c>
      <c r="E1337" s="78">
        <v>1</v>
      </c>
      <c r="F1337" s="64">
        <f>TRUNC(56.598876,2)</f>
        <v>56.59</v>
      </c>
      <c r="G1337" s="64">
        <f>TRUNC(E1337*F1337,2)</f>
        <v>56.59</v>
      </c>
      <c r="H1337" s="64"/>
      <c r="I1337" s="78"/>
    </row>
    <row r="1338" spans="1:9" ht="15">
      <c r="A1338" s="74"/>
      <c r="B1338" s="80"/>
      <c r="C1338" s="81"/>
      <c r="D1338" s="74"/>
      <c r="E1338" s="78" t="s">
        <v>33</v>
      </c>
      <c r="F1338" s="64"/>
      <c r="G1338" s="64">
        <f>TRUNC(SUM(G1335:G1337),2)</f>
        <v>387.67</v>
      </c>
      <c r="H1338" s="64"/>
      <c r="I1338" s="78"/>
    </row>
    <row r="1339" spans="1:9" ht="60">
      <c r="A1339" s="68" t="s">
        <v>616</v>
      </c>
      <c r="B1339" s="98" t="s">
        <v>596</v>
      </c>
      <c r="C1339" s="23" t="s">
        <v>1908</v>
      </c>
      <c r="D1339" s="68" t="s">
        <v>7</v>
      </c>
      <c r="E1339" s="24">
        <v>1</v>
      </c>
      <c r="F1339" s="24">
        <f>TRUNC(F1340,2)</f>
        <v>227.4</v>
      </c>
      <c r="G1339" s="24">
        <f>TRUNC(F1339*1.2882,2)</f>
        <v>292.93</v>
      </c>
      <c r="H1339" s="24">
        <f>TRUNC(F1339*E1339,2)</f>
        <v>227.4</v>
      </c>
      <c r="I1339" s="24">
        <f>TRUNC(E1339*G1339,2)</f>
        <v>292.93</v>
      </c>
    </row>
    <row r="1340" spans="1:9" ht="75">
      <c r="A1340" s="74"/>
      <c r="B1340" s="80" t="s">
        <v>596</v>
      </c>
      <c r="C1340" s="81" t="s">
        <v>597</v>
      </c>
      <c r="D1340" s="74" t="s">
        <v>7</v>
      </c>
      <c r="E1340" s="78">
        <v>1</v>
      </c>
      <c r="F1340" s="64">
        <f>G1347</f>
        <v>227.4</v>
      </c>
      <c r="G1340" s="64">
        <f t="shared" ref="G1340:G1346" si="75">TRUNC(E1340*F1340,2)</f>
        <v>227.4</v>
      </c>
      <c r="H1340" s="64"/>
      <c r="I1340" s="78"/>
    </row>
    <row r="1341" spans="1:9" ht="30">
      <c r="A1341" s="74"/>
      <c r="B1341" s="80" t="s">
        <v>586</v>
      </c>
      <c r="C1341" s="81" t="s">
        <v>587</v>
      </c>
      <c r="D1341" s="74" t="s">
        <v>7</v>
      </c>
      <c r="E1341" s="78">
        <v>1</v>
      </c>
      <c r="F1341" s="64">
        <v>11.23</v>
      </c>
      <c r="G1341" s="64">
        <f t="shared" si="75"/>
        <v>11.23</v>
      </c>
      <c r="H1341" s="64"/>
      <c r="I1341" s="78"/>
    </row>
    <row r="1342" spans="1:9" ht="30">
      <c r="A1342" s="74"/>
      <c r="B1342" s="80" t="s">
        <v>598</v>
      </c>
      <c r="C1342" s="81" t="s">
        <v>599</v>
      </c>
      <c r="D1342" s="74" t="s">
        <v>7</v>
      </c>
      <c r="E1342" s="78">
        <v>1</v>
      </c>
      <c r="F1342" s="64">
        <v>87.31</v>
      </c>
      <c r="G1342" s="64">
        <f t="shared" si="75"/>
        <v>87.31</v>
      </c>
      <c r="H1342" s="64"/>
      <c r="I1342" s="78"/>
    </row>
    <row r="1343" spans="1:9" s="169" customFormat="1" ht="15.75">
      <c r="A1343" s="256"/>
      <c r="B1343" s="257" t="s">
        <v>576</v>
      </c>
      <c r="C1343" s="258" t="s">
        <v>577</v>
      </c>
      <c r="D1343" s="256" t="s">
        <v>7</v>
      </c>
      <c r="E1343" s="259"/>
      <c r="F1343" s="260">
        <v>39.04</v>
      </c>
      <c r="G1343" s="260">
        <f t="shared" si="75"/>
        <v>0</v>
      </c>
      <c r="H1343" s="260"/>
      <c r="I1343" s="259"/>
    </row>
    <row r="1344" spans="1:9" ht="15">
      <c r="A1344" s="74"/>
      <c r="B1344" s="80" t="s">
        <v>578</v>
      </c>
      <c r="C1344" s="81" t="s">
        <v>579</v>
      </c>
      <c r="D1344" s="74" t="s">
        <v>7</v>
      </c>
      <c r="E1344" s="78">
        <v>1</v>
      </c>
      <c r="F1344" s="64">
        <v>101.35</v>
      </c>
      <c r="G1344" s="64">
        <f t="shared" si="75"/>
        <v>101.35</v>
      </c>
      <c r="H1344" s="64"/>
      <c r="I1344" s="78"/>
    </row>
    <row r="1345" spans="1:9" ht="15">
      <c r="A1345" s="74"/>
      <c r="B1345" s="80" t="s">
        <v>594</v>
      </c>
      <c r="C1345" s="81" t="s">
        <v>595</v>
      </c>
      <c r="D1345" s="74" t="s">
        <v>7</v>
      </c>
      <c r="E1345" s="78">
        <v>1</v>
      </c>
      <c r="F1345" s="64">
        <v>4.99</v>
      </c>
      <c r="G1345" s="64">
        <f t="shared" si="75"/>
        <v>4.99</v>
      </c>
      <c r="H1345" s="64"/>
      <c r="I1345" s="78"/>
    </row>
    <row r="1346" spans="1:9" ht="15">
      <c r="A1346" s="74"/>
      <c r="B1346" s="80" t="s">
        <v>580</v>
      </c>
      <c r="C1346" s="81" t="s">
        <v>581</v>
      </c>
      <c r="D1346" s="74" t="s">
        <v>7</v>
      </c>
      <c r="E1346" s="78">
        <v>1</v>
      </c>
      <c r="F1346" s="64">
        <v>22.52</v>
      </c>
      <c r="G1346" s="64">
        <f t="shared" si="75"/>
        <v>22.52</v>
      </c>
      <c r="H1346" s="64"/>
      <c r="I1346" s="78"/>
    </row>
    <row r="1347" spans="1:9" ht="15">
      <c r="A1347" s="74"/>
      <c r="B1347" s="80"/>
      <c r="C1347" s="81"/>
      <c r="D1347" s="74"/>
      <c r="E1347" s="78" t="s">
        <v>33</v>
      </c>
      <c r="F1347" s="64"/>
      <c r="G1347" s="64">
        <f>TRUNC(SUM(G1341:G1346),2)</f>
        <v>227.4</v>
      </c>
      <c r="H1347" s="64"/>
      <c r="I1347" s="78"/>
    </row>
    <row r="1348" spans="1:9" ht="75">
      <c r="A1348" s="68" t="s">
        <v>617</v>
      </c>
      <c r="B1348" s="98" t="s">
        <v>1907</v>
      </c>
      <c r="C1348" s="23" t="s">
        <v>1906</v>
      </c>
      <c r="D1348" s="68" t="s">
        <v>7</v>
      </c>
      <c r="E1348" s="24">
        <v>2</v>
      </c>
      <c r="F1348" s="24">
        <f>TRUNC(F1349,2)</f>
        <v>427.97</v>
      </c>
      <c r="G1348" s="24">
        <f>TRUNC(F1348*1.2882,2)</f>
        <v>551.30999999999995</v>
      </c>
      <c r="H1348" s="24">
        <f>TRUNC(F1348*E1348,2)</f>
        <v>855.94</v>
      </c>
      <c r="I1348" s="24">
        <f>TRUNC(E1348*G1348,2)</f>
        <v>1102.6199999999999</v>
      </c>
    </row>
    <row r="1349" spans="1:9" ht="90">
      <c r="A1349" s="74"/>
      <c r="B1349" s="80" t="s">
        <v>584</v>
      </c>
      <c r="C1349" s="81" t="s">
        <v>585</v>
      </c>
      <c r="D1349" s="74" t="s">
        <v>7</v>
      </c>
      <c r="E1349" s="78">
        <v>1</v>
      </c>
      <c r="F1349" s="64">
        <f>G1356</f>
        <v>427.97</v>
      </c>
      <c r="G1349" s="64">
        <f t="shared" ref="G1349:G1355" si="76">TRUNC(E1349*F1349,2)</f>
        <v>427.97</v>
      </c>
      <c r="H1349" s="64"/>
      <c r="I1349" s="78"/>
    </row>
    <row r="1350" spans="1:9" ht="30">
      <c r="A1350" s="74"/>
      <c r="B1350" s="80" t="s">
        <v>586</v>
      </c>
      <c r="C1350" s="81" t="s">
        <v>587</v>
      </c>
      <c r="D1350" s="74" t="s">
        <v>7</v>
      </c>
      <c r="E1350" s="78">
        <v>1</v>
      </c>
      <c r="F1350" s="64">
        <v>11.23</v>
      </c>
      <c r="G1350" s="64">
        <f t="shared" si="76"/>
        <v>11.23</v>
      </c>
      <c r="H1350" s="64"/>
      <c r="I1350" s="78"/>
    </row>
    <row r="1351" spans="1:9" s="169" customFormat="1" ht="31.5">
      <c r="A1351" s="256"/>
      <c r="B1351" s="257" t="s">
        <v>588</v>
      </c>
      <c r="C1351" s="258" t="s">
        <v>589</v>
      </c>
      <c r="D1351" s="256" t="s">
        <v>7</v>
      </c>
      <c r="E1351" s="259">
        <v>0</v>
      </c>
      <c r="F1351" s="260">
        <v>550.15</v>
      </c>
      <c r="G1351" s="260">
        <f t="shared" si="76"/>
        <v>0</v>
      </c>
      <c r="H1351" s="260"/>
      <c r="I1351" s="259"/>
    </row>
    <row r="1352" spans="1:9" ht="30">
      <c r="A1352" s="74"/>
      <c r="B1352" s="80" t="s">
        <v>590</v>
      </c>
      <c r="C1352" s="81" t="s">
        <v>591</v>
      </c>
      <c r="D1352" s="74" t="s">
        <v>7</v>
      </c>
      <c r="E1352" s="78">
        <v>1</v>
      </c>
      <c r="F1352" s="64">
        <v>378.01</v>
      </c>
      <c r="G1352" s="64">
        <f t="shared" si="76"/>
        <v>378.01</v>
      </c>
      <c r="H1352" s="64"/>
      <c r="I1352" s="78"/>
    </row>
    <row r="1353" spans="1:9" ht="15">
      <c r="A1353" s="74"/>
      <c r="B1353" s="80" t="s">
        <v>592</v>
      </c>
      <c r="C1353" s="81" t="s">
        <v>593</v>
      </c>
      <c r="D1353" s="74" t="s">
        <v>7</v>
      </c>
      <c r="E1353" s="78">
        <v>1</v>
      </c>
      <c r="F1353" s="64">
        <v>11.22</v>
      </c>
      <c r="G1353" s="64">
        <f t="shared" si="76"/>
        <v>11.22</v>
      </c>
      <c r="H1353" s="64"/>
      <c r="I1353" s="78"/>
    </row>
    <row r="1354" spans="1:9" ht="15">
      <c r="A1354" s="74"/>
      <c r="B1354" s="80" t="s">
        <v>594</v>
      </c>
      <c r="C1354" s="81" t="s">
        <v>595</v>
      </c>
      <c r="D1354" s="74" t="s">
        <v>7</v>
      </c>
      <c r="E1354" s="78">
        <v>1</v>
      </c>
      <c r="F1354" s="64">
        <v>4.99</v>
      </c>
      <c r="G1354" s="64">
        <f t="shared" si="76"/>
        <v>4.99</v>
      </c>
      <c r="H1354" s="64"/>
      <c r="I1354" s="78"/>
    </row>
    <row r="1355" spans="1:9" ht="15">
      <c r="A1355" s="74"/>
      <c r="B1355" s="80" t="s">
        <v>580</v>
      </c>
      <c r="C1355" s="81" t="s">
        <v>581</v>
      </c>
      <c r="D1355" s="74" t="s">
        <v>7</v>
      </c>
      <c r="E1355" s="78">
        <v>1</v>
      </c>
      <c r="F1355" s="64">
        <v>22.52</v>
      </c>
      <c r="G1355" s="64">
        <f t="shared" si="76"/>
        <v>22.52</v>
      </c>
      <c r="H1355" s="64"/>
      <c r="I1355" s="78"/>
    </row>
    <row r="1356" spans="1:9" ht="15">
      <c r="A1356" s="74"/>
      <c r="B1356" s="80"/>
      <c r="C1356" s="81"/>
      <c r="D1356" s="74"/>
      <c r="E1356" s="78" t="s">
        <v>33</v>
      </c>
      <c r="F1356" s="64"/>
      <c r="G1356" s="64">
        <f>TRUNC(SUM(G1350:G1355),2)</f>
        <v>427.97</v>
      </c>
      <c r="H1356" s="64"/>
      <c r="I1356" s="78"/>
    </row>
    <row r="1357" spans="1:9" ht="60">
      <c r="A1357" s="68" t="s">
        <v>618</v>
      </c>
      <c r="B1357" s="98" t="s">
        <v>1803</v>
      </c>
      <c r="C1357" s="23" t="s">
        <v>1909</v>
      </c>
      <c r="D1357" s="68" t="s">
        <v>7</v>
      </c>
      <c r="E1357" s="24">
        <v>2</v>
      </c>
      <c r="F1357" s="24">
        <f>TRUNC(F1358+F1362,2)</f>
        <v>925.73</v>
      </c>
      <c r="G1357" s="24">
        <f>TRUNC(F1357*1.2882,2)</f>
        <v>1192.52</v>
      </c>
      <c r="H1357" s="24">
        <f>TRUNC(F1357*E1357,2)</f>
        <v>1851.46</v>
      </c>
      <c r="I1357" s="24">
        <f>TRUNC(E1357*G1357,2)</f>
        <v>2385.04</v>
      </c>
    </row>
    <row r="1358" spans="1:9" ht="45">
      <c r="A1358" s="74"/>
      <c r="B1358" s="80" t="s">
        <v>604</v>
      </c>
      <c r="C1358" s="81" t="s">
        <v>605</v>
      </c>
      <c r="D1358" s="74" t="s">
        <v>7</v>
      </c>
      <c r="E1358" s="78">
        <v>1</v>
      </c>
      <c r="F1358" s="260">
        <f>G1361</f>
        <v>888.77</v>
      </c>
      <c r="G1358" s="64">
        <f>TRUNC(E1358*F1358,2)</f>
        <v>888.77</v>
      </c>
      <c r="H1358" s="64"/>
      <c r="I1358" s="78"/>
    </row>
    <row r="1359" spans="1:9" ht="30">
      <c r="A1359" s="74"/>
      <c r="B1359" s="80" t="s">
        <v>606</v>
      </c>
      <c r="C1359" s="81" t="s">
        <v>607</v>
      </c>
      <c r="D1359" s="74" t="s">
        <v>7</v>
      </c>
      <c r="E1359" s="78">
        <v>1</v>
      </c>
      <c r="F1359" s="64">
        <v>11.15</v>
      </c>
      <c r="G1359" s="64">
        <f>TRUNC(E1359*F1359,2)</f>
        <v>11.15</v>
      </c>
      <c r="H1359" s="64"/>
      <c r="I1359" s="78"/>
    </row>
    <row r="1360" spans="1:9" ht="45">
      <c r="A1360" s="74"/>
      <c r="B1360" s="80" t="s">
        <v>608</v>
      </c>
      <c r="C1360" s="81" t="s">
        <v>1640</v>
      </c>
      <c r="D1360" s="74" t="s">
        <v>7</v>
      </c>
      <c r="E1360" s="78">
        <v>1</v>
      </c>
      <c r="F1360" s="64">
        <f>TRUNC(877.62872,2)</f>
        <v>877.62</v>
      </c>
      <c r="G1360" s="64">
        <f>TRUNC(E1360*F1360,2)</f>
        <v>877.62</v>
      </c>
      <c r="H1360" s="64"/>
      <c r="I1360" s="78"/>
    </row>
    <row r="1361" spans="1:9" ht="15">
      <c r="A1361" s="74"/>
      <c r="B1361" s="80"/>
      <c r="C1361" s="81"/>
      <c r="D1361" s="74"/>
      <c r="E1361" s="78" t="s">
        <v>33</v>
      </c>
      <c r="F1361" s="64"/>
      <c r="G1361" s="64">
        <f>TRUNC(SUM(G1359:G1360),2)</f>
        <v>888.77</v>
      </c>
      <c r="H1361" s="64"/>
      <c r="I1361" s="78"/>
    </row>
    <row r="1362" spans="1:9" ht="30">
      <c r="A1362" s="74"/>
      <c r="B1362" s="80" t="s">
        <v>1799</v>
      </c>
      <c r="C1362" s="81" t="s">
        <v>1800</v>
      </c>
      <c r="D1362" s="74" t="s">
        <v>7</v>
      </c>
      <c r="E1362" s="78">
        <v>1</v>
      </c>
      <c r="F1362" s="260">
        <f>TRUNC(36.967872,2)</f>
        <v>36.96</v>
      </c>
      <c r="G1362" s="64">
        <f>TRUNC(E1362*F1362,2)</f>
        <v>36.96</v>
      </c>
      <c r="H1362" s="64"/>
      <c r="I1362" s="78"/>
    </row>
    <row r="1363" spans="1:9" ht="15">
      <c r="A1363" s="74"/>
      <c r="B1363" s="80" t="s">
        <v>1801</v>
      </c>
      <c r="C1363" s="81" t="s">
        <v>1802</v>
      </c>
      <c r="D1363" s="74" t="s">
        <v>7</v>
      </c>
      <c r="E1363" s="78">
        <v>1</v>
      </c>
      <c r="F1363" s="64">
        <f>TRUNC(31.4,2)</f>
        <v>31.4</v>
      </c>
      <c r="G1363" s="64">
        <f>TRUNC(E1363*F1363,2)</f>
        <v>31.4</v>
      </c>
      <c r="H1363" s="64"/>
      <c r="I1363" s="78"/>
    </row>
    <row r="1364" spans="1:9" ht="15">
      <c r="A1364" s="74"/>
      <c r="B1364" s="80" t="s">
        <v>56</v>
      </c>
      <c r="C1364" s="81" t="s">
        <v>57</v>
      </c>
      <c r="D1364" s="74" t="s">
        <v>51</v>
      </c>
      <c r="E1364" s="78">
        <v>4.8399999999999999E-2</v>
      </c>
      <c r="F1364" s="64">
        <f>TRUNC(22.72,2)</f>
        <v>22.72</v>
      </c>
      <c r="G1364" s="64">
        <f>TRUNC(E1364*F1364,2)</f>
        <v>1.0900000000000001</v>
      </c>
      <c r="H1364" s="64"/>
      <c r="I1364" s="78"/>
    </row>
    <row r="1365" spans="1:9" ht="15">
      <c r="A1365" s="74"/>
      <c r="B1365" s="80" t="s">
        <v>146</v>
      </c>
      <c r="C1365" s="81" t="s">
        <v>147</v>
      </c>
      <c r="D1365" s="74" t="s">
        <v>51</v>
      </c>
      <c r="E1365" s="78">
        <v>0.15359999999999999</v>
      </c>
      <c r="F1365" s="64">
        <f>TRUNC(29.09,2)</f>
        <v>29.09</v>
      </c>
      <c r="G1365" s="64">
        <f>TRUNC(E1365*F1365,2)</f>
        <v>4.46</v>
      </c>
      <c r="H1365" s="64"/>
      <c r="I1365" s="78"/>
    </row>
    <row r="1366" spans="1:9" ht="15">
      <c r="A1366" s="74"/>
      <c r="B1366" s="80"/>
      <c r="C1366" s="81"/>
      <c r="D1366" s="74"/>
      <c r="E1366" s="78" t="s">
        <v>33</v>
      </c>
      <c r="F1366" s="64"/>
      <c r="G1366" s="64">
        <f>TRUNC(SUM(G1363:G1365),2)</f>
        <v>36.950000000000003</v>
      </c>
      <c r="H1366" s="64"/>
      <c r="I1366" s="78"/>
    </row>
    <row r="1367" spans="1:9" ht="60">
      <c r="A1367" s="68" t="s">
        <v>619</v>
      </c>
      <c r="B1367" s="98" t="s">
        <v>1805</v>
      </c>
      <c r="C1367" s="23" t="s">
        <v>1804</v>
      </c>
      <c r="D1367" s="68" t="s">
        <v>7</v>
      </c>
      <c r="E1367" s="24">
        <v>10</v>
      </c>
      <c r="F1367" s="24">
        <f>TRUNC(F1368+F1374,2)</f>
        <v>496.72</v>
      </c>
      <c r="G1367" s="24">
        <f>TRUNC(F1367*1.2882,2)</f>
        <v>639.87</v>
      </c>
      <c r="H1367" s="24">
        <f>TRUNC(F1367*E1367,2)</f>
        <v>4967.2</v>
      </c>
      <c r="I1367" s="24">
        <f>TRUNC(E1367*G1367,2)</f>
        <v>6398.7</v>
      </c>
    </row>
    <row r="1368" spans="1:9" ht="45">
      <c r="A1368" s="74"/>
      <c r="B1368" s="80" t="s">
        <v>610</v>
      </c>
      <c r="C1368" s="81" t="s">
        <v>611</v>
      </c>
      <c r="D1368" s="74" t="s">
        <v>7</v>
      </c>
      <c r="E1368" s="78">
        <v>1</v>
      </c>
      <c r="F1368" s="64">
        <f>G1373</f>
        <v>459.76</v>
      </c>
      <c r="G1368" s="64">
        <f>TRUNC(E1368*F1368,2)</f>
        <v>459.76</v>
      </c>
      <c r="H1368" s="64"/>
      <c r="I1368" s="78"/>
    </row>
    <row r="1369" spans="1:9" ht="30">
      <c r="A1369" s="74"/>
      <c r="B1369" s="80" t="s">
        <v>586</v>
      </c>
      <c r="C1369" s="81" t="s">
        <v>587</v>
      </c>
      <c r="D1369" s="74" t="s">
        <v>7</v>
      </c>
      <c r="E1369" s="78">
        <v>1</v>
      </c>
      <c r="F1369" s="64">
        <v>11.23</v>
      </c>
      <c r="G1369" s="64">
        <f>TRUNC(E1369*F1369,2)</f>
        <v>11.23</v>
      </c>
      <c r="H1369" s="64"/>
      <c r="I1369" s="78"/>
    </row>
    <row r="1370" spans="1:9" ht="15">
      <c r="A1370" s="74"/>
      <c r="B1370" s="80" t="s">
        <v>612</v>
      </c>
      <c r="C1370" s="81" t="s">
        <v>613</v>
      </c>
      <c r="D1370" s="74" t="s">
        <v>7</v>
      </c>
      <c r="E1370" s="78">
        <v>1</v>
      </c>
      <c r="F1370" s="64">
        <v>428.89</v>
      </c>
      <c r="G1370" s="64">
        <f>TRUNC(E1370*F1370,2)</f>
        <v>428.89</v>
      </c>
      <c r="H1370" s="64"/>
      <c r="I1370" s="78"/>
    </row>
    <row r="1371" spans="1:9" ht="15">
      <c r="A1371" s="74"/>
      <c r="B1371" s="80" t="s">
        <v>602</v>
      </c>
      <c r="C1371" s="81" t="s">
        <v>603</v>
      </c>
      <c r="D1371" s="74" t="s">
        <v>7</v>
      </c>
      <c r="E1371" s="78">
        <v>1</v>
      </c>
      <c r="F1371" s="64">
        <v>1.71</v>
      </c>
      <c r="G1371" s="64">
        <f>TRUNC(E1371*F1371,2)</f>
        <v>1.71</v>
      </c>
      <c r="H1371" s="64"/>
      <c r="I1371" s="78"/>
    </row>
    <row r="1372" spans="1:9" ht="15">
      <c r="A1372" s="74"/>
      <c r="B1372" s="80" t="s">
        <v>614</v>
      </c>
      <c r="C1372" s="81" t="s">
        <v>615</v>
      </c>
      <c r="D1372" s="74" t="s">
        <v>7</v>
      </c>
      <c r="E1372" s="78">
        <v>1</v>
      </c>
      <c r="F1372" s="64">
        <v>17.93</v>
      </c>
      <c r="G1372" s="64">
        <f>TRUNC(E1372*F1372,2)</f>
        <v>17.93</v>
      </c>
      <c r="H1372" s="64"/>
      <c r="I1372" s="78"/>
    </row>
    <row r="1373" spans="1:9" ht="15">
      <c r="A1373" s="74"/>
      <c r="B1373" s="80"/>
      <c r="C1373" s="81"/>
      <c r="D1373" s="74"/>
      <c r="E1373" s="78" t="s">
        <v>33</v>
      </c>
      <c r="F1373" s="64"/>
      <c r="G1373" s="64">
        <f>TRUNC(SUM(G1369:G1372),2)</f>
        <v>459.76</v>
      </c>
      <c r="H1373" s="64"/>
      <c r="I1373" s="78"/>
    </row>
    <row r="1374" spans="1:9" ht="30">
      <c r="A1374" s="74"/>
      <c r="B1374" s="80" t="s">
        <v>1799</v>
      </c>
      <c r="C1374" s="81" t="s">
        <v>1800</v>
      </c>
      <c r="D1374" s="74" t="s">
        <v>7</v>
      </c>
      <c r="E1374" s="78">
        <v>1</v>
      </c>
      <c r="F1374" s="260">
        <f>TRUNC(36.967872,2)</f>
        <v>36.96</v>
      </c>
      <c r="G1374" s="64">
        <f>TRUNC(E1374*F1374,2)</f>
        <v>36.96</v>
      </c>
      <c r="H1374" s="64"/>
      <c r="I1374" s="78"/>
    </row>
    <row r="1375" spans="1:9" ht="15">
      <c r="A1375" s="74"/>
      <c r="B1375" s="80" t="s">
        <v>1801</v>
      </c>
      <c r="C1375" s="81" t="s">
        <v>1802</v>
      </c>
      <c r="D1375" s="74" t="s">
        <v>7</v>
      </c>
      <c r="E1375" s="78">
        <v>1</v>
      </c>
      <c r="F1375" s="64">
        <f>TRUNC(31.4,2)</f>
        <v>31.4</v>
      </c>
      <c r="G1375" s="64">
        <f>TRUNC(E1375*F1375,2)</f>
        <v>31.4</v>
      </c>
      <c r="H1375" s="64"/>
      <c r="I1375" s="78"/>
    </row>
    <row r="1376" spans="1:9" ht="15">
      <c r="A1376" s="74"/>
      <c r="B1376" s="80" t="s">
        <v>56</v>
      </c>
      <c r="C1376" s="81" t="s">
        <v>57</v>
      </c>
      <c r="D1376" s="74" t="s">
        <v>51</v>
      </c>
      <c r="E1376" s="78">
        <v>4.8399999999999999E-2</v>
      </c>
      <c r="F1376" s="64">
        <f>TRUNC(22.72,2)</f>
        <v>22.72</v>
      </c>
      <c r="G1376" s="64">
        <f>TRUNC(E1376*F1376,2)</f>
        <v>1.0900000000000001</v>
      </c>
      <c r="H1376" s="64"/>
      <c r="I1376" s="78"/>
    </row>
    <row r="1377" spans="1:9" ht="15">
      <c r="A1377" s="74"/>
      <c r="B1377" s="80" t="s">
        <v>146</v>
      </c>
      <c r="C1377" s="81" t="s">
        <v>147</v>
      </c>
      <c r="D1377" s="74" t="s">
        <v>51</v>
      </c>
      <c r="E1377" s="78">
        <v>0.15359999999999999</v>
      </c>
      <c r="F1377" s="64">
        <f>TRUNC(29.09,2)</f>
        <v>29.09</v>
      </c>
      <c r="G1377" s="64">
        <f>TRUNC(E1377*F1377,2)</f>
        <v>4.46</v>
      </c>
      <c r="H1377" s="64"/>
      <c r="I1377" s="78"/>
    </row>
    <row r="1378" spans="1:9" ht="15">
      <c r="A1378" s="74"/>
      <c r="B1378" s="80"/>
      <c r="C1378" s="81"/>
      <c r="D1378" s="74"/>
      <c r="E1378" s="78" t="s">
        <v>33</v>
      </c>
      <c r="F1378" s="64"/>
      <c r="G1378" s="64">
        <f>TRUNC(SUM(G1375:G1377),2)</f>
        <v>36.950000000000003</v>
      </c>
      <c r="H1378" s="64"/>
      <c r="I1378" s="78"/>
    </row>
    <row r="1379" spans="1:9" ht="60">
      <c r="A1379" s="68" t="s">
        <v>620</v>
      </c>
      <c r="B1379" s="98" t="s">
        <v>2061</v>
      </c>
      <c r="C1379" s="23" t="s">
        <v>2060</v>
      </c>
      <c r="D1379" s="68" t="s">
        <v>7</v>
      </c>
      <c r="E1379" s="24">
        <v>3</v>
      </c>
      <c r="F1379" s="24">
        <f>TRUNC(F1380,2)</f>
        <v>429.97</v>
      </c>
      <c r="G1379" s="24">
        <f>TRUNC(F1379*1.2882,2)</f>
        <v>553.88</v>
      </c>
      <c r="H1379" s="24">
        <f>TRUNC(F1379*E1379,2)</f>
        <v>1289.9100000000001</v>
      </c>
      <c r="I1379" s="24">
        <f>TRUNC(E1379*G1379,2)</f>
        <v>1661.64</v>
      </c>
    </row>
    <row r="1380" spans="1:9" ht="60">
      <c r="A1380" s="74"/>
      <c r="B1380" s="80" t="s">
        <v>622</v>
      </c>
      <c r="C1380" s="81" t="s">
        <v>623</v>
      </c>
      <c r="D1380" s="74" t="s">
        <v>7</v>
      </c>
      <c r="E1380" s="78">
        <v>1</v>
      </c>
      <c r="F1380" s="64">
        <f>G1387</f>
        <v>429.97</v>
      </c>
      <c r="G1380" s="64">
        <f t="shared" ref="G1380:G1386" si="77">TRUNC(E1380*F1380,2)</f>
        <v>429.97</v>
      </c>
      <c r="H1380" s="64"/>
      <c r="I1380" s="78"/>
    </row>
    <row r="1381" spans="1:9" ht="30">
      <c r="A1381" s="74"/>
      <c r="B1381" s="80" t="s">
        <v>586</v>
      </c>
      <c r="C1381" s="81" t="s">
        <v>587</v>
      </c>
      <c r="D1381" s="74" t="s">
        <v>7</v>
      </c>
      <c r="E1381" s="78">
        <v>2</v>
      </c>
      <c r="F1381" s="64">
        <v>11.23</v>
      </c>
      <c r="G1381" s="64">
        <f t="shared" si="77"/>
        <v>22.46</v>
      </c>
      <c r="H1381" s="64"/>
      <c r="I1381" s="78"/>
    </row>
    <row r="1382" spans="1:9" ht="15">
      <c r="A1382" s="74"/>
      <c r="B1382" s="80" t="s">
        <v>624</v>
      </c>
      <c r="C1382" s="81" t="s">
        <v>625</v>
      </c>
      <c r="D1382" s="74" t="s">
        <v>7</v>
      </c>
      <c r="E1382" s="78">
        <v>1</v>
      </c>
      <c r="F1382" s="64">
        <v>38.840000000000003</v>
      </c>
      <c r="G1382" s="64">
        <f t="shared" si="77"/>
        <v>38.840000000000003</v>
      </c>
      <c r="H1382" s="64"/>
      <c r="I1382" s="78"/>
    </row>
    <row r="1383" spans="1:9" ht="15">
      <c r="A1383" s="74"/>
      <c r="B1383" s="80" t="s">
        <v>626</v>
      </c>
      <c r="C1383" s="81" t="s">
        <v>627</v>
      </c>
      <c r="D1383" s="74" t="s">
        <v>7</v>
      </c>
      <c r="E1383" s="78">
        <v>1</v>
      </c>
      <c r="F1383" s="64">
        <v>67.180000000000007</v>
      </c>
      <c r="G1383" s="64">
        <f t="shared" si="77"/>
        <v>67.180000000000007</v>
      </c>
      <c r="H1383" s="64"/>
      <c r="I1383" s="78"/>
    </row>
    <row r="1384" spans="1:9" ht="15">
      <c r="A1384" s="74"/>
      <c r="B1384" s="80" t="s">
        <v>628</v>
      </c>
      <c r="C1384" s="81" t="s">
        <v>629</v>
      </c>
      <c r="D1384" s="74" t="s">
        <v>7</v>
      </c>
      <c r="E1384" s="78">
        <v>1</v>
      </c>
      <c r="F1384" s="64">
        <v>212.67</v>
      </c>
      <c r="G1384" s="64">
        <f t="shared" si="77"/>
        <v>212.67</v>
      </c>
      <c r="H1384" s="64"/>
      <c r="I1384" s="78"/>
    </row>
    <row r="1385" spans="1:9" ht="15">
      <c r="A1385" s="74"/>
      <c r="B1385" s="80" t="s">
        <v>630</v>
      </c>
      <c r="C1385" s="81" t="s">
        <v>631</v>
      </c>
      <c r="D1385" s="74" t="s">
        <v>7</v>
      </c>
      <c r="E1385" s="78">
        <v>1</v>
      </c>
      <c r="F1385" s="64">
        <v>88.82</v>
      </c>
      <c r="G1385" s="64">
        <f t="shared" si="77"/>
        <v>88.82</v>
      </c>
      <c r="H1385" s="64"/>
      <c r="I1385" s="78"/>
    </row>
    <row r="1386" spans="1:9" ht="30">
      <c r="A1386" s="74"/>
      <c r="B1386" s="80" t="s">
        <v>632</v>
      </c>
      <c r="C1386" s="81" t="s">
        <v>633</v>
      </c>
      <c r="D1386" s="74" t="s">
        <v>7</v>
      </c>
      <c r="E1386" s="78">
        <v>0</v>
      </c>
      <c r="F1386" s="64">
        <v>52.44</v>
      </c>
      <c r="G1386" s="64">
        <f t="shared" si="77"/>
        <v>0</v>
      </c>
      <c r="H1386" s="64"/>
      <c r="I1386" s="78"/>
    </row>
    <row r="1387" spans="1:9" ht="15">
      <c r="A1387" s="74"/>
      <c r="B1387" s="80"/>
      <c r="C1387" s="81"/>
      <c r="D1387" s="74"/>
      <c r="E1387" s="78" t="s">
        <v>33</v>
      </c>
      <c r="F1387" s="64"/>
      <c r="G1387" s="64">
        <f>TRUNC(SUM(G1381:G1386),2)</f>
        <v>429.97</v>
      </c>
      <c r="H1387" s="64"/>
      <c r="I1387" s="78"/>
    </row>
    <row r="1388" spans="1:9" ht="60">
      <c r="A1388" s="68" t="s">
        <v>621</v>
      </c>
      <c r="B1388" s="98" t="s">
        <v>655</v>
      </c>
      <c r="C1388" s="23" t="s">
        <v>654</v>
      </c>
      <c r="D1388" s="68" t="s">
        <v>7</v>
      </c>
      <c r="E1388" s="24">
        <v>4</v>
      </c>
      <c r="F1388" s="24">
        <f>TRUNC(F1389+F1392,2)</f>
        <v>207.13</v>
      </c>
      <c r="G1388" s="24">
        <f>TRUNC(F1388*1.2882,2)</f>
        <v>266.82</v>
      </c>
      <c r="H1388" s="24">
        <f>TRUNC(F1388*E1388,2)</f>
        <v>828.52</v>
      </c>
      <c r="I1388" s="24">
        <f>TRUNC(E1388*G1388,2)</f>
        <v>1067.28</v>
      </c>
    </row>
    <row r="1389" spans="1:9" ht="45">
      <c r="A1389" s="74"/>
      <c r="B1389" s="80" t="s">
        <v>634</v>
      </c>
      <c r="C1389" s="81" t="s">
        <v>635</v>
      </c>
      <c r="D1389" s="74" t="s">
        <v>7</v>
      </c>
      <c r="E1389" s="78">
        <v>1</v>
      </c>
      <c r="F1389" s="260">
        <f>TRUNC(50.54,2)</f>
        <v>50.54</v>
      </c>
      <c r="G1389" s="64">
        <f>TRUNC(E1389*F1389,2)</f>
        <v>50.54</v>
      </c>
      <c r="H1389" s="64"/>
      <c r="I1389" s="78"/>
    </row>
    <row r="1390" spans="1:9" ht="15">
      <c r="A1390" s="74"/>
      <c r="B1390" s="80" t="s">
        <v>636</v>
      </c>
      <c r="C1390" s="81" t="s">
        <v>637</v>
      </c>
      <c r="D1390" s="74" t="s">
        <v>7</v>
      </c>
      <c r="E1390" s="78">
        <v>1</v>
      </c>
      <c r="F1390" s="64">
        <v>50.54</v>
      </c>
      <c r="G1390" s="64">
        <f>TRUNC(E1390*F1390,2)</f>
        <v>50.54</v>
      </c>
      <c r="H1390" s="64"/>
      <c r="I1390" s="78"/>
    </row>
    <row r="1391" spans="1:9" ht="15">
      <c r="A1391" s="74"/>
      <c r="B1391" s="80"/>
      <c r="C1391" s="81"/>
      <c r="D1391" s="74"/>
      <c r="E1391" s="78" t="s">
        <v>33</v>
      </c>
      <c r="F1391" s="64"/>
      <c r="G1391" s="64">
        <f>TRUNC(SUM(G1390:G1390),2)</f>
        <v>50.54</v>
      </c>
      <c r="H1391" s="64"/>
      <c r="I1391" s="78"/>
    </row>
    <row r="1392" spans="1:9" ht="45">
      <c r="A1392" s="74"/>
      <c r="B1392" s="80" t="s">
        <v>638</v>
      </c>
      <c r="C1392" s="81" t="s">
        <v>639</v>
      </c>
      <c r="D1392" s="74" t="s">
        <v>7</v>
      </c>
      <c r="E1392" s="78">
        <v>1</v>
      </c>
      <c r="F1392" s="260">
        <f>G1402</f>
        <v>156.59</v>
      </c>
      <c r="G1392" s="64">
        <f t="shared" ref="G1392:G1401" si="78">TRUNC(E1392*F1392,2)</f>
        <v>156.59</v>
      </c>
      <c r="H1392" s="64"/>
      <c r="I1392" s="78"/>
    </row>
    <row r="1393" spans="1:9" ht="15">
      <c r="A1393" s="74"/>
      <c r="B1393" s="80" t="s">
        <v>640</v>
      </c>
      <c r="C1393" s="81" t="s">
        <v>641</v>
      </c>
      <c r="D1393" s="74" t="s">
        <v>7</v>
      </c>
      <c r="E1393" s="78">
        <v>1</v>
      </c>
      <c r="F1393" s="64">
        <v>8.1</v>
      </c>
      <c r="G1393" s="64">
        <f t="shared" si="78"/>
        <v>8.1</v>
      </c>
      <c r="H1393" s="64"/>
      <c r="I1393" s="78"/>
    </row>
    <row r="1394" spans="1:9" ht="15">
      <c r="A1394" s="74"/>
      <c r="B1394" s="80" t="s">
        <v>642</v>
      </c>
      <c r="C1394" s="81" t="s">
        <v>643</v>
      </c>
      <c r="D1394" s="74" t="s">
        <v>7</v>
      </c>
      <c r="E1394" s="78">
        <v>1</v>
      </c>
      <c r="F1394" s="64">
        <v>0.78</v>
      </c>
      <c r="G1394" s="64">
        <f t="shared" si="78"/>
        <v>0.78</v>
      </c>
      <c r="H1394" s="64"/>
      <c r="I1394" s="78"/>
    </row>
    <row r="1395" spans="1:9" ht="15">
      <c r="A1395" s="74"/>
      <c r="B1395" s="80" t="s">
        <v>644</v>
      </c>
      <c r="C1395" s="81" t="s">
        <v>645</v>
      </c>
      <c r="D1395" s="74" t="s">
        <v>7</v>
      </c>
      <c r="E1395" s="78">
        <v>1</v>
      </c>
      <c r="F1395" s="64">
        <v>1.8</v>
      </c>
      <c r="G1395" s="64">
        <f t="shared" si="78"/>
        <v>1.8</v>
      </c>
      <c r="H1395" s="64"/>
      <c r="I1395" s="78"/>
    </row>
    <row r="1396" spans="1:9" ht="30">
      <c r="A1396" s="74"/>
      <c r="B1396" s="80" t="s">
        <v>646</v>
      </c>
      <c r="C1396" s="81" t="s">
        <v>647</v>
      </c>
      <c r="D1396" s="74" t="s">
        <v>7</v>
      </c>
      <c r="E1396" s="78">
        <v>0.03</v>
      </c>
      <c r="F1396" s="64">
        <v>49.16</v>
      </c>
      <c r="G1396" s="64">
        <f t="shared" si="78"/>
        <v>1.47</v>
      </c>
      <c r="H1396" s="64"/>
      <c r="I1396" s="78"/>
    </row>
    <row r="1397" spans="1:9" ht="30">
      <c r="A1397" s="74"/>
      <c r="B1397" s="80" t="s">
        <v>648</v>
      </c>
      <c r="C1397" s="81" t="s">
        <v>649</v>
      </c>
      <c r="D1397" s="74" t="s">
        <v>7</v>
      </c>
      <c r="E1397" s="78">
        <v>0.5</v>
      </c>
      <c r="F1397" s="64">
        <v>24.79</v>
      </c>
      <c r="G1397" s="64">
        <f t="shared" si="78"/>
        <v>12.39</v>
      </c>
      <c r="H1397" s="64"/>
      <c r="I1397" s="78"/>
    </row>
    <row r="1398" spans="1:9" ht="15">
      <c r="A1398" s="74"/>
      <c r="B1398" s="80" t="s">
        <v>650</v>
      </c>
      <c r="C1398" s="81" t="s">
        <v>651</v>
      </c>
      <c r="D1398" s="74" t="s">
        <v>7</v>
      </c>
      <c r="E1398" s="78">
        <v>0.2</v>
      </c>
      <c r="F1398" s="64">
        <v>1.85</v>
      </c>
      <c r="G1398" s="64">
        <f t="shared" si="78"/>
        <v>0.37</v>
      </c>
      <c r="H1398" s="64"/>
      <c r="I1398" s="78"/>
    </row>
    <row r="1399" spans="1:9" ht="15">
      <c r="A1399" s="74"/>
      <c r="B1399" s="80" t="s">
        <v>652</v>
      </c>
      <c r="C1399" s="81" t="s">
        <v>653</v>
      </c>
      <c r="D1399" s="74" t="s">
        <v>7</v>
      </c>
      <c r="E1399" s="78">
        <v>0.2</v>
      </c>
      <c r="F1399" s="64">
        <v>5.95</v>
      </c>
      <c r="G1399" s="64">
        <f t="shared" si="78"/>
        <v>1.19</v>
      </c>
      <c r="H1399" s="64"/>
      <c r="I1399" s="78"/>
    </row>
    <row r="1400" spans="1:9" ht="30">
      <c r="A1400" s="74"/>
      <c r="B1400" s="80" t="s">
        <v>49</v>
      </c>
      <c r="C1400" s="81" t="s">
        <v>50</v>
      </c>
      <c r="D1400" s="74" t="s">
        <v>51</v>
      </c>
      <c r="E1400" s="78">
        <v>3.605</v>
      </c>
      <c r="F1400" s="64">
        <f>TRUNC(15.2,2)</f>
        <v>15.2</v>
      </c>
      <c r="G1400" s="64">
        <f t="shared" si="78"/>
        <v>54.79</v>
      </c>
      <c r="H1400" s="64"/>
      <c r="I1400" s="78"/>
    </row>
    <row r="1401" spans="1:9" ht="30">
      <c r="A1401" s="74"/>
      <c r="B1401" s="80" t="s">
        <v>82</v>
      </c>
      <c r="C1401" s="81" t="s">
        <v>83</v>
      </c>
      <c r="D1401" s="74" t="s">
        <v>51</v>
      </c>
      <c r="E1401" s="78">
        <v>3.605</v>
      </c>
      <c r="F1401" s="64">
        <f>TRUNC(21,2)</f>
        <v>21</v>
      </c>
      <c r="G1401" s="64">
        <f t="shared" si="78"/>
        <v>75.7</v>
      </c>
      <c r="H1401" s="64"/>
      <c r="I1401" s="78"/>
    </row>
    <row r="1402" spans="1:9" ht="15">
      <c r="A1402" s="74"/>
      <c r="B1402" s="80"/>
      <c r="C1402" s="81"/>
      <c r="D1402" s="74"/>
      <c r="E1402" s="78" t="s">
        <v>33</v>
      </c>
      <c r="F1402" s="64"/>
      <c r="G1402" s="64">
        <f>TRUNC(SUM(G1393:G1401),2)</f>
        <v>156.59</v>
      </c>
      <c r="H1402" s="64"/>
      <c r="I1402" s="78"/>
    </row>
    <row r="1403" spans="1:9" ht="61.5">
      <c r="A1403" s="68" t="s">
        <v>1063</v>
      </c>
      <c r="B1403" s="98" t="s">
        <v>656</v>
      </c>
      <c r="C1403" s="23" t="s">
        <v>1910</v>
      </c>
      <c r="D1403" s="68" t="s">
        <v>7</v>
      </c>
      <c r="E1403" s="24">
        <v>9</v>
      </c>
      <c r="F1403" s="24">
        <f>TRUNC(F1404,2)</f>
        <v>61.69</v>
      </c>
      <c r="G1403" s="24">
        <f>TRUNC(F1403*1.2882,2)</f>
        <v>79.459999999999994</v>
      </c>
      <c r="H1403" s="24">
        <f>TRUNC(F1403*E1403,2)</f>
        <v>555.21</v>
      </c>
      <c r="I1403" s="24">
        <f>TRUNC(E1403*G1403,2)</f>
        <v>715.14</v>
      </c>
    </row>
    <row r="1404" spans="1:9" ht="45">
      <c r="A1404" s="74"/>
      <c r="B1404" s="80" t="s">
        <v>656</v>
      </c>
      <c r="C1404" s="81" t="s">
        <v>657</v>
      </c>
      <c r="D1404" s="74" t="s">
        <v>7</v>
      </c>
      <c r="E1404" s="78">
        <v>1</v>
      </c>
      <c r="F1404" s="64">
        <f>TRUNC(61.69,2)</f>
        <v>61.69</v>
      </c>
      <c r="G1404" s="64">
        <f>TRUNC(E1404*F1404,2)</f>
        <v>61.69</v>
      </c>
      <c r="H1404" s="64"/>
      <c r="I1404" s="78"/>
    </row>
    <row r="1405" spans="1:9" ht="30">
      <c r="A1405" s="74"/>
      <c r="B1405" s="80" t="s">
        <v>658</v>
      </c>
      <c r="C1405" s="81" t="s">
        <v>659</v>
      </c>
      <c r="D1405" s="74" t="s">
        <v>7</v>
      </c>
      <c r="E1405" s="78">
        <v>1</v>
      </c>
      <c r="F1405" s="64">
        <v>61.69</v>
      </c>
      <c r="G1405" s="64">
        <f>TRUNC(E1405*F1405,2)</f>
        <v>61.69</v>
      </c>
      <c r="H1405" s="64"/>
      <c r="I1405" s="78"/>
    </row>
    <row r="1406" spans="1:9" ht="15">
      <c r="A1406" s="74"/>
      <c r="B1406" s="80"/>
      <c r="C1406" s="81"/>
      <c r="D1406" s="74"/>
      <c r="E1406" s="78" t="s">
        <v>33</v>
      </c>
      <c r="F1406" s="64"/>
      <c r="G1406" s="64">
        <f>TRUNC(SUM(G1405:G1405),2)</f>
        <v>61.69</v>
      </c>
      <c r="H1406" s="64"/>
      <c r="I1406" s="78"/>
    </row>
    <row r="1407" spans="1:9" ht="30.75">
      <c r="A1407" s="68" t="s">
        <v>1072</v>
      </c>
      <c r="B1407" s="98" t="s">
        <v>1806</v>
      </c>
      <c r="C1407" s="23" t="s">
        <v>1911</v>
      </c>
      <c r="D1407" s="68" t="s">
        <v>7</v>
      </c>
      <c r="E1407" s="24">
        <v>2</v>
      </c>
      <c r="F1407" s="24">
        <f>TRUNC(F1408,2)</f>
        <v>108.41</v>
      </c>
      <c r="G1407" s="24">
        <f>TRUNC(F1407*1.2882,2)</f>
        <v>139.65</v>
      </c>
      <c r="H1407" s="24">
        <f>TRUNC(F1407*E1407,2)</f>
        <v>216.82</v>
      </c>
      <c r="I1407" s="24">
        <f>TRUNC(E1407*G1407,2)</f>
        <v>279.3</v>
      </c>
    </row>
    <row r="1408" spans="1:9" ht="45">
      <c r="A1408" s="74"/>
      <c r="B1408" s="80" t="s">
        <v>656</v>
      </c>
      <c r="C1408" s="81" t="s">
        <v>657</v>
      </c>
      <c r="D1408" s="74" t="s">
        <v>7</v>
      </c>
      <c r="E1408" s="78">
        <v>1</v>
      </c>
      <c r="F1408" s="64">
        <f>G1410</f>
        <v>108.41</v>
      </c>
      <c r="G1408" s="64">
        <f>TRUNC(E1408*F1408,2)</f>
        <v>108.41</v>
      </c>
      <c r="H1408" s="64"/>
      <c r="I1408" s="78"/>
    </row>
    <row r="1409" spans="1:9" s="169" customFormat="1" ht="31.5">
      <c r="A1409" s="256"/>
      <c r="B1409" s="257" t="s">
        <v>661</v>
      </c>
      <c r="C1409" s="258" t="s">
        <v>662</v>
      </c>
      <c r="D1409" s="256" t="s">
        <v>7</v>
      </c>
      <c r="E1409" s="259">
        <v>1</v>
      </c>
      <c r="F1409" s="260">
        <v>108.41</v>
      </c>
      <c r="G1409" s="260">
        <f>TRUNC(E1409*F1409,2)</f>
        <v>108.41</v>
      </c>
      <c r="H1409" s="260"/>
      <c r="I1409" s="259"/>
    </row>
    <row r="1410" spans="1:9" ht="15">
      <c r="A1410" s="74"/>
      <c r="B1410" s="80"/>
      <c r="C1410" s="81"/>
      <c r="D1410" s="74"/>
      <c r="E1410" s="78" t="s">
        <v>33</v>
      </c>
      <c r="F1410" s="64"/>
      <c r="G1410" s="64">
        <f>TRUNC(SUM(G1409:G1409),2)</f>
        <v>108.41</v>
      </c>
      <c r="H1410" s="64"/>
      <c r="I1410" s="78"/>
    </row>
    <row r="1411" spans="1:9" ht="30.75">
      <c r="A1411" s="68" t="s">
        <v>1073</v>
      </c>
      <c r="B1411" s="98" t="s">
        <v>1618</v>
      </c>
      <c r="C1411" s="23" t="s">
        <v>1912</v>
      </c>
      <c r="D1411" s="68" t="s">
        <v>7</v>
      </c>
      <c r="E1411" s="24">
        <v>4</v>
      </c>
      <c r="F1411" s="24">
        <f>TRUNC(F1412,2)</f>
        <v>80.12</v>
      </c>
      <c r="G1411" s="24">
        <f>TRUNC(F1411*1.2882,2)</f>
        <v>103.21</v>
      </c>
      <c r="H1411" s="24">
        <f>TRUNC(F1411*E1411,2)</f>
        <v>320.48</v>
      </c>
      <c r="I1411" s="24">
        <f>TRUNC(E1411*G1411,2)</f>
        <v>412.84</v>
      </c>
    </row>
    <row r="1412" spans="1:9" ht="30">
      <c r="A1412" s="74"/>
      <c r="B1412" s="80" t="s">
        <v>663</v>
      </c>
      <c r="C1412" s="81" t="s">
        <v>664</v>
      </c>
      <c r="D1412" s="74" t="s">
        <v>7</v>
      </c>
      <c r="E1412" s="78">
        <v>1</v>
      </c>
      <c r="F1412" s="64">
        <f>TRUNC(80.127431,2)</f>
        <v>80.12</v>
      </c>
      <c r="G1412" s="64">
        <f>TRUNC(E1412*F1412,2)</f>
        <v>80.12</v>
      </c>
      <c r="H1412" s="64"/>
      <c r="I1412" s="78"/>
    </row>
    <row r="1413" spans="1:9" s="169" customFormat="1" ht="31.5">
      <c r="A1413" s="256"/>
      <c r="B1413" s="257" t="s">
        <v>665</v>
      </c>
      <c r="C1413" s="258" t="s">
        <v>666</v>
      </c>
      <c r="D1413" s="256" t="s">
        <v>7</v>
      </c>
      <c r="E1413" s="259">
        <v>1</v>
      </c>
      <c r="F1413" s="260">
        <v>86.42</v>
      </c>
      <c r="G1413" s="260">
        <f>TRUNC(E1413*F1413,2)</f>
        <v>86.42</v>
      </c>
      <c r="H1413" s="260"/>
      <c r="I1413" s="259"/>
    </row>
    <row r="1414" spans="1:9" ht="15">
      <c r="A1414" s="74"/>
      <c r="B1414" s="80" t="s">
        <v>667</v>
      </c>
      <c r="C1414" s="81" t="s">
        <v>660</v>
      </c>
      <c r="D1414" s="74" t="s">
        <v>7</v>
      </c>
      <c r="E1414" s="78">
        <v>2.1000000000000001E-2</v>
      </c>
      <c r="F1414" s="64">
        <v>3.17</v>
      </c>
      <c r="G1414" s="64">
        <f>TRUNC(E1414*F1414,2)</f>
        <v>0.06</v>
      </c>
      <c r="H1414" s="64"/>
      <c r="I1414" s="78"/>
    </row>
    <row r="1415" spans="1:9" ht="15">
      <c r="A1415" s="74"/>
      <c r="B1415" s="80" t="s">
        <v>56</v>
      </c>
      <c r="C1415" s="81" t="s">
        <v>57</v>
      </c>
      <c r="D1415" s="74" t="s">
        <v>51</v>
      </c>
      <c r="E1415" s="78">
        <v>3.6700000000000003E-2</v>
      </c>
      <c r="F1415" s="64">
        <f>TRUNC(22.72,2)</f>
        <v>22.72</v>
      </c>
      <c r="G1415" s="64">
        <f>TRUNC(E1415*F1415,2)</f>
        <v>0.83</v>
      </c>
      <c r="H1415" s="64"/>
      <c r="I1415" s="78"/>
    </row>
    <row r="1416" spans="1:9" ht="15">
      <c r="A1416" s="74"/>
      <c r="B1416" s="80" t="s">
        <v>146</v>
      </c>
      <c r="C1416" s="81" t="s">
        <v>147</v>
      </c>
      <c r="D1416" s="74" t="s">
        <v>51</v>
      </c>
      <c r="E1416" s="78">
        <v>0.1164</v>
      </c>
      <c r="F1416" s="64">
        <f>TRUNC(29.09,2)</f>
        <v>29.09</v>
      </c>
      <c r="G1416" s="64">
        <f>TRUNC(E1416*F1416,2)</f>
        <v>3.38</v>
      </c>
      <c r="H1416" s="64"/>
      <c r="I1416" s="78"/>
    </row>
    <row r="1417" spans="1:9" ht="15">
      <c r="A1417" s="74"/>
      <c r="B1417" s="80"/>
      <c r="C1417" s="81"/>
      <c r="D1417" s="74"/>
      <c r="E1417" s="78" t="s">
        <v>33</v>
      </c>
      <c r="F1417" s="64"/>
      <c r="G1417" s="64">
        <f>TRUNC(SUM(G1413:G1416),2)</f>
        <v>90.69</v>
      </c>
      <c r="H1417" s="64"/>
      <c r="I1417" s="78"/>
    </row>
    <row r="1418" spans="1:9" ht="30">
      <c r="A1418" s="68" t="s">
        <v>1074</v>
      </c>
      <c r="B1418" s="98" t="s">
        <v>1619</v>
      </c>
      <c r="C1418" s="23" t="s">
        <v>669</v>
      </c>
      <c r="D1418" s="68" t="s">
        <v>7</v>
      </c>
      <c r="E1418" s="24">
        <v>11</v>
      </c>
      <c r="F1418" s="24">
        <f>TRUNC(F1419,2)</f>
        <v>58.02</v>
      </c>
      <c r="G1418" s="24">
        <f>TRUNC(F1418*1.2882,2)</f>
        <v>74.739999999999995</v>
      </c>
      <c r="H1418" s="24">
        <f>TRUNC(F1418*E1418,2)</f>
        <v>638.22</v>
      </c>
      <c r="I1418" s="24">
        <f>TRUNC(E1418*G1418,2)</f>
        <v>822.14</v>
      </c>
    </row>
    <row r="1419" spans="1:9" ht="30">
      <c r="A1419" s="74"/>
      <c r="B1419" s="80" t="s">
        <v>668</v>
      </c>
      <c r="C1419" s="81" t="s">
        <v>669</v>
      </c>
      <c r="D1419" s="74" t="s">
        <v>7</v>
      </c>
      <c r="E1419" s="78">
        <v>1</v>
      </c>
      <c r="F1419" s="64">
        <f>G1424</f>
        <v>58.02</v>
      </c>
      <c r="G1419" s="64">
        <f>TRUNC(E1419*F1419,2)</f>
        <v>58.02</v>
      </c>
      <c r="H1419" s="64"/>
      <c r="I1419" s="78"/>
    </row>
    <row r="1420" spans="1:9" s="169" customFormat="1" ht="31.5">
      <c r="A1420" s="256" t="s">
        <v>670</v>
      </c>
      <c r="B1420" s="257" t="s">
        <v>632</v>
      </c>
      <c r="C1420" s="258" t="s">
        <v>633</v>
      </c>
      <c r="D1420" s="256" t="s">
        <v>7</v>
      </c>
      <c r="E1420" s="259">
        <v>1</v>
      </c>
      <c r="F1420" s="260">
        <v>52.44</v>
      </c>
      <c r="G1420" s="260">
        <f>TRUNC(E1420*F1420,2)</f>
        <v>52.44</v>
      </c>
      <c r="H1420" s="260"/>
      <c r="I1420" s="259"/>
    </row>
    <row r="1421" spans="1:9" ht="15">
      <c r="A1421" s="74"/>
      <c r="B1421" s="80" t="s">
        <v>667</v>
      </c>
      <c r="C1421" s="81" t="s">
        <v>660</v>
      </c>
      <c r="D1421" s="74" t="s">
        <v>7</v>
      </c>
      <c r="E1421" s="78">
        <v>2.1000000000000001E-2</v>
      </c>
      <c r="F1421" s="64">
        <v>3.17</v>
      </c>
      <c r="G1421" s="64">
        <f>TRUNC(E1421*F1421,2)</f>
        <v>0.06</v>
      </c>
      <c r="H1421" s="64"/>
      <c r="I1421" s="78"/>
    </row>
    <row r="1422" spans="1:9" ht="15">
      <c r="A1422" s="74"/>
      <c r="B1422" s="80" t="s">
        <v>56</v>
      </c>
      <c r="C1422" s="81" t="s">
        <v>57</v>
      </c>
      <c r="D1422" s="74" t="s">
        <v>51</v>
      </c>
      <c r="E1422" s="78">
        <v>4.8099999999999997E-2</v>
      </c>
      <c r="F1422" s="64">
        <f>TRUNC(22.72,2)</f>
        <v>22.72</v>
      </c>
      <c r="G1422" s="64">
        <f>TRUNC(E1422*F1422,2)</f>
        <v>1.0900000000000001</v>
      </c>
      <c r="H1422" s="64"/>
      <c r="I1422" s="78"/>
    </row>
    <row r="1423" spans="1:9" ht="15">
      <c r="A1423" s="74"/>
      <c r="B1423" s="80" t="s">
        <v>146</v>
      </c>
      <c r="C1423" s="81" t="s">
        <v>147</v>
      </c>
      <c r="D1423" s="74" t="s">
        <v>51</v>
      </c>
      <c r="E1423" s="78">
        <v>0.1525</v>
      </c>
      <c r="F1423" s="64">
        <f>TRUNC(29.09,2)</f>
        <v>29.09</v>
      </c>
      <c r="G1423" s="64">
        <f>TRUNC(E1423*F1423,2)</f>
        <v>4.43</v>
      </c>
      <c r="H1423" s="64"/>
      <c r="I1423" s="78"/>
    </row>
    <row r="1424" spans="1:9" ht="15">
      <c r="A1424" s="74"/>
      <c r="B1424" s="80"/>
      <c r="C1424" s="81"/>
      <c r="D1424" s="74"/>
      <c r="E1424" s="78" t="s">
        <v>33</v>
      </c>
      <c r="F1424" s="64"/>
      <c r="G1424" s="64">
        <f>TRUNC(SUM(G1420:G1423),2)</f>
        <v>58.02</v>
      </c>
      <c r="H1424" s="64"/>
      <c r="I1424" s="78"/>
    </row>
    <row r="1425" spans="1:9" ht="45">
      <c r="A1425" s="68" t="s">
        <v>1075</v>
      </c>
      <c r="B1425" s="98" t="s">
        <v>1064</v>
      </c>
      <c r="C1425" s="23" t="s">
        <v>1065</v>
      </c>
      <c r="D1425" s="68" t="s">
        <v>23</v>
      </c>
      <c r="E1425" s="24">
        <v>10</v>
      </c>
      <c r="F1425" s="24">
        <f>TRUNC(F1426,2)</f>
        <v>38.26</v>
      </c>
      <c r="G1425" s="24">
        <f>TRUNC(F1425*1.2882,2)</f>
        <v>49.28</v>
      </c>
      <c r="H1425" s="24">
        <f>TRUNC(F1425*E1425,2)</f>
        <v>382.6</v>
      </c>
      <c r="I1425" s="24">
        <f>TRUNC(E1425*G1425,2)</f>
        <v>492.8</v>
      </c>
    </row>
    <row r="1426" spans="1:9" ht="45">
      <c r="A1426" s="74"/>
      <c r="B1426" s="80" t="s">
        <v>1064</v>
      </c>
      <c r="C1426" s="81" t="s">
        <v>1065</v>
      </c>
      <c r="D1426" s="74" t="s">
        <v>23</v>
      </c>
      <c r="E1426" s="78">
        <v>1</v>
      </c>
      <c r="F1426" s="64">
        <f>G1431</f>
        <v>38.26</v>
      </c>
      <c r="G1426" s="64">
        <f>TRUNC(E1426*F1426,2)</f>
        <v>38.26</v>
      </c>
      <c r="H1426" s="64"/>
      <c r="I1426" s="78"/>
    </row>
    <row r="1427" spans="1:9" ht="30">
      <c r="A1427" s="74"/>
      <c r="B1427" s="80" t="s">
        <v>1066</v>
      </c>
      <c r="C1427" s="81" t="s">
        <v>1067</v>
      </c>
      <c r="D1427" s="74" t="s">
        <v>7</v>
      </c>
      <c r="E1427" s="78">
        <v>0.17499999999999999</v>
      </c>
      <c r="F1427" s="64">
        <v>155.87</v>
      </c>
      <c r="G1427" s="64">
        <f>TRUNC(E1427*F1427,2)</f>
        <v>27.27</v>
      </c>
      <c r="H1427" s="64"/>
      <c r="I1427" s="78"/>
    </row>
    <row r="1428" spans="1:9" ht="15">
      <c r="A1428" s="74"/>
      <c r="B1428" s="80" t="s">
        <v>652</v>
      </c>
      <c r="C1428" s="81" t="s">
        <v>653</v>
      </c>
      <c r="D1428" s="74" t="s">
        <v>7</v>
      </c>
      <c r="E1428" s="78">
        <v>0.22</v>
      </c>
      <c r="F1428" s="64">
        <v>5.95</v>
      </c>
      <c r="G1428" s="64">
        <f>TRUNC(E1428*F1428,2)</f>
        <v>1.3</v>
      </c>
      <c r="H1428" s="64"/>
      <c r="I1428" s="78"/>
    </row>
    <row r="1429" spans="1:9" ht="30">
      <c r="A1429" s="74"/>
      <c r="B1429" s="80" t="s">
        <v>49</v>
      </c>
      <c r="C1429" s="81" t="s">
        <v>50</v>
      </c>
      <c r="D1429" s="74" t="s">
        <v>51</v>
      </c>
      <c r="E1429" s="78">
        <v>0.26780000000000004</v>
      </c>
      <c r="F1429" s="64">
        <f>TRUNC(15.2,2)</f>
        <v>15.2</v>
      </c>
      <c r="G1429" s="64">
        <f>TRUNC(E1429*F1429,2)</f>
        <v>4.07</v>
      </c>
      <c r="H1429" s="64"/>
      <c r="I1429" s="78"/>
    </row>
    <row r="1430" spans="1:9" ht="30">
      <c r="A1430" s="74"/>
      <c r="B1430" s="80" t="s">
        <v>82</v>
      </c>
      <c r="C1430" s="81" t="s">
        <v>83</v>
      </c>
      <c r="D1430" s="74" t="s">
        <v>51</v>
      </c>
      <c r="E1430" s="78">
        <v>0.26780000000000004</v>
      </c>
      <c r="F1430" s="64">
        <f>TRUNC(21,2)</f>
        <v>21</v>
      </c>
      <c r="G1430" s="64">
        <f>TRUNC(E1430*F1430,2)</f>
        <v>5.62</v>
      </c>
      <c r="H1430" s="64"/>
      <c r="I1430" s="78"/>
    </row>
    <row r="1431" spans="1:9" ht="15">
      <c r="A1431" s="74"/>
      <c r="B1431" s="80"/>
      <c r="C1431" s="81"/>
      <c r="D1431" s="74"/>
      <c r="E1431" s="78" t="s">
        <v>33</v>
      </c>
      <c r="F1431" s="64"/>
      <c r="G1431" s="64">
        <f>TRUNC(SUM(G1427:G1430),2)</f>
        <v>38.26</v>
      </c>
      <c r="H1431" s="64"/>
      <c r="I1431" s="78"/>
    </row>
    <row r="1432" spans="1:9" ht="45">
      <c r="A1432" s="68" t="s">
        <v>1076</v>
      </c>
      <c r="B1432" s="98" t="s">
        <v>1068</v>
      </c>
      <c r="C1432" s="23" t="s">
        <v>1069</v>
      </c>
      <c r="D1432" s="68" t="s">
        <v>23</v>
      </c>
      <c r="E1432" s="24">
        <v>20</v>
      </c>
      <c r="F1432" s="24">
        <f>TRUNC(F1433,2)</f>
        <v>22.92</v>
      </c>
      <c r="G1432" s="24">
        <f>TRUNC(F1432*1.2882,2)</f>
        <v>29.52</v>
      </c>
      <c r="H1432" s="24">
        <f>TRUNC(F1432*E1432,2)</f>
        <v>458.4</v>
      </c>
      <c r="I1432" s="24">
        <f>TRUNC(E1432*G1432,2)</f>
        <v>590.4</v>
      </c>
    </row>
    <row r="1433" spans="1:9" ht="45">
      <c r="A1433" s="74"/>
      <c r="B1433" s="80" t="s">
        <v>1068</v>
      </c>
      <c r="C1433" s="81" t="s">
        <v>1069</v>
      </c>
      <c r="D1433" s="74" t="s">
        <v>23</v>
      </c>
      <c r="E1433" s="78">
        <v>1</v>
      </c>
      <c r="F1433" s="64">
        <f>G1438</f>
        <v>22.92</v>
      </c>
      <c r="G1433" s="64">
        <f>TRUNC(E1433*F1433,2)</f>
        <v>22.92</v>
      </c>
      <c r="H1433" s="64"/>
      <c r="I1433" s="78"/>
    </row>
    <row r="1434" spans="1:9" ht="30">
      <c r="A1434" s="74"/>
      <c r="B1434" s="80" t="s">
        <v>1070</v>
      </c>
      <c r="C1434" s="81" t="s">
        <v>1071</v>
      </c>
      <c r="D1434" s="74" t="s">
        <v>7</v>
      </c>
      <c r="E1434" s="78">
        <v>0.17499999999999999</v>
      </c>
      <c r="F1434" s="64">
        <v>87.98</v>
      </c>
      <c r="G1434" s="64">
        <f>TRUNC(E1434*F1434,2)</f>
        <v>15.39</v>
      </c>
      <c r="H1434" s="64"/>
      <c r="I1434" s="78"/>
    </row>
    <row r="1435" spans="1:9" ht="15">
      <c r="A1435" s="74"/>
      <c r="B1435" s="80" t="s">
        <v>652</v>
      </c>
      <c r="C1435" s="81" t="s">
        <v>653</v>
      </c>
      <c r="D1435" s="74" t="s">
        <v>7</v>
      </c>
      <c r="E1435" s="78">
        <v>0.14000000000000001</v>
      </c>
      <c r="F1435" s="64">
        <v>5.95</v>
      </c>
      <c r="G1435" s="64">
        <f>TRUNC(E1435*F1435,2)</f>
        <v>0.83</v>
      </c>
      <c r="H1435" s="64"/>
      <c r="I1435" s="78"/>
    </row>
    <row r="1436" spans="1:9" ht="30">
      <c r="A1436" s="74"/>
      <c r="B1436" s="80" t="s">
        <v>49</v>
      </c>
      <c r="C1436" s="81" t="s">
        <v>50</v>
      </c>
      <c r="D1436" s="74" t="s">
        <v>51</v>
      </c>
      <c r="E1436" s="78">
        <v>0.18540000000000001</v>
      </c>
      <c r="F1436" s="64">
        <f>TRUNC(15.2,2)</f>
        <v>15.2</v>
      </c>
      <c r="G1436" s="64">
        <f>TRUNC(E1436*F1436,2)</f>
        <v>2.81</v>
      </c>
      <c r="H1436" s="64"/>
      <c r="I1436" s="78"/>
    </row>
    <row r="1437" spans="1:9" ht="30">
      <c r="A1437" s="74"/>
      <c r="B1437" s="80" t="s">
        <v>82</v>
      </c>
      <c r="C1437" s="81" t="s">
        <v>83</v>
      </c>
      <c r="D1437" s="74" t="s">
        <v>51</v>
      </c>
      <c r="E1437" s="78">
        <v>0.18540000000000001</v>
      </c>
      <c r="F1437" s="64">
        <f>TRUNC(21,2)</f>
        <v>21</v>
      </c>
      <c r="G1437" s="64">
        <f>TRUNC(E1437*F1437,2)</f>
        <v>3.89</v>
      </c>
      <c r="H1437" s="64"/>
      <c r="I1437" s="78"/>
    </row>
    <row r="1438" spans="1:9" ht="15">
      <c r="A1438" s="74"/>
      <c r="B1438" s="80"/>
      <c r="C1438" s="81"/>
      <c r="D1438" s="74"/>
      <c r="E1438" s="78" t="s">
        <v>33</v>
      </c>
      <c r="F1438" s="64"/>
      <c r="G1438" s="64">
        <f>TRUNC(SUM(G1434:G1437),2)</f>
        <v>22.92</v>
      </c>
      <c r="H1438" s="64"/>
      <c r="I1438" s="78"/>
    </row>
    <row r="1439" spans="1:9" ht="45">
      <c r="A1439" s="68" t="s">
        <v>1077</v>
      </c>
      <c r="B1439" s="98" t="s">
        <v>1085</v>
      </c>
      <c r="C1439" s="23" t="s">
        <v>1086</v>
      </c>
      <c r="D1439" s="68" t="s">
        <v>23</v>
      </c>
      <c r="E1439" s="24">
        <f>52 + 1 + 1 +1 + 1.5 + 4 + 3.9 + 1.1</f>
        <v>65.5</v>
      </c>
      <c r="F1439" s="24">
        <f>TRUNC(F1440,2)</f>
        <v>16.690000000000001</v>
      </c>
      <c r="G1439" s="24">
        <f>TRUNC(F1439*1.2882,2)</f>
        <v>21.5</v>
      </c>
      <c r="H1439" s="24">
        <f>TRUNC(F1439*E1439,2)</f>
        <v>1093.19</v>
      </c>
      <c r="I1439" s="24">
        <f>TRUNC(E1439*G1439,2)</f>
        <v>1408.25</v>
      </c>
    </row>
    <row r="1440" spans="1:9" ht="45">
      <c r="A1440" s="74"/>
      <c r="B1440" s="80" t="s">
        <v>1085</v>
      </c>
      <c r="C1440" s="81" t="s">
        <v>1086</v>
      </c>
      <c r="D1440" s="74" t="s">
        <v>23</v>
      </c>
      <c r="E1440" s="78">
        <v>1</v>
      </c>
      <c r="F1440" s="64">
        <f>G1445</f>
        <v>16.690000000000001</v>
      </c>
      <c r="G1440" s="64">
        <f>TRUNC(E1440*F1440,2)</f>
        <v>16.690000000000001</v>
      </c>
      <c r="H1440" s="64"/>
      <c r="I1440" s="78"/>
    </row>
    <row r="1441" spans="1:9" ht="30">
      <c r="A1441" s="74"/>
      <c r="B1441" s="80" t="s">
        <v>1087</v>
      </c>
      <c r="C1441" s="81" t="s">
        <v>1088</v>
      </c>
      <c r="D1441" s="74" t="s">
        <v>7</v>
      </c>
      <c r="E1441" s="78">
        <v>0.17499999999999999</v>
      </c>
      <c r="F1441" s="64">
        <v>56.93</v>
      </c>
      <c r="G1441" s="64">
        <f>TRUNC(E1441*F1441,2)</f>
        <v>9.9600000000000009</v>
      </c>
      <c r="H1441" s="64"/>
      <c r="I1441" s="78"/>
    </row>
    <row r="1442" spans="1:9" ht="15">
      <c r="A1442" s="74"/>
      <c r="B1442" s="80" t="s">
        <v>652</v>
      </c>
      <c r="C1442" s="81" t="s">
        <v>653</v>
      </c>
      <c r="D1442" s="74" t="s">
        <v>7</v>
      </c>
      <c r="E1442" s="78">
        <v>0.13</v>
      </c>
      <c r="F1442" s="64">
        <v>5.95</v>
      </c>
      <c r="G1442" s="64">
        <f>TRUNC(E1442*F1442,2)</f>
        <v>0.77</v>
      </c>
      <c r="H1442" s="64"/>
      <c r="I1442" s="78"/>
    </row>
    <row r="1443" spans="1:9" ht="30">
      <c r="A1443" s="74"/>
      <c r="B1443" s="80" t="s">
        <v>49</v>
      </c>
      <c r="C1443" s="81" t="s">
        <v>50</v>
      </c>
      <c r="D1443" s="74" t="s">
        <v>51</v>
      </c>
      <c r="E1443" s="78">
        <v>0.1648</v>
      </c>
      <c r="F1443" s="64">
        <f>TRUNC(15.2,2)</f>
        <v>15.2</v>
      </c>
      <c r="G1443" s="64">
        <f>TRUNC(E1443*F1443,2)</f>
        <v>2.5</v>
      </c>
      <c r="H1443" s="64"/>
      <c r="I1443" s="78"/>
    </row>
    <row r="1444" spans="1:9" ht="30">
      <c r="A1444" s="74"/>
      <c r="B1444" s="80" t="s">
        <v>82</v>
      </c>
      <c r="C1444" s="81" t="s">
        <v>83</v>
      </c>
      <c r="D1444" s="74" t="s">
        <v>51</v>
      </c>
      <c r="E1444" s="78">
        <v>0.1648</v>
      </c>
      <c r="F1444" s="64">
        <f>TRUNC(21,2)</f>
        <v>21</v>
      </c>
      <c r="G1444" s="64">
        <f>TRUNC(E1444*F1444,2)</f>
        <v>3.46</v>
      </c>
      <c r="H1444" s="64"/>
      <c r="I1444" s="78"/>
    </row>
    <row r="1445" spans="1:9" ht="15">
      <c r="A1445" s="74"/>
      <c r="B1445" s="80"/>
      <c r="C1445" s="81"/>
      <c r="D1445" s="74"/>
      <c r="E1445" s="78" t="s">
        <v>33</v>
      </c>
      <c r="F1445" s="64"/>
      <c r="G1445" s="64">
        <f>TRUNC(SUM(G1441:G1444),2)</f>
        <v>16.690000000000001</v>
      </c>
      <c r="H1445" s="64"/>
      <c r="I1445" s="78"/>
    </row>
    <row r="1446" spans="1:9" ht="45">
      <c r="A1446" s="68" t="s">
        <v>1078</v>
      </c>
      <c r="B1446" s="98" t="s">
        <v>1089</v>
      </c>
      <c r="C1446" s="23" t="s">
        <v>1090</v>
      </c>
      <c r="D1446" s="68" t="s">
        <v>23</v>
      </c>
      <c r="E1446" s="24">
        <f>50 + 4.6 + 4.7 + 8.8 + 3.8 + 3.2 + 7.3 + 1.7</f>
        <v>84.100000000000009</v>
      </c>
      <c r="F1446" s="24">
        <f>TRUNC(F1447,2)</f>
        <v>10.65</v>
      </c>
      <c r="G1446" s="24">
        <f>TRUNC(F1446*1.2882,2)</f>
        <v>13.71</v>
      </c>
      <c r="H1446" s="24">
        <f>TRUNC(F1446*E1446,2)</f>
        <v>895.66</v>
      </c>
      <c r="I1446" s="24">
        <f>TRUNC(E1446*G1446,2)</f>
        <v>1153.01</v>
      </c>
    </row>
    <row r="1447" spans="1:9" ht="45">
      <c r="A1447" s="74"/>
      <c r="B1447" s="80" t="s">
        <v>1089</v>
      </c>
      <c r="C1447" s="81" t="s">
        <v>1090</v>
      </c>
      <c r="D1447" s="74" t="s">
        <v>23</v>
      </c>
      <c r="E1447" s="78">
        <v>1</v>
      </c>
      <c r="F1447" s="64">
        <f>G1452</f>
        <v>10.65</v>
      </c>
      <c r="G1447" s="64">
        <f>TRUNC(E1447*F1447,2)</f>
        <v>10.65</v>
      </c>
      <c r="H1447" s="64"/>
      <c r="I1447" s="78"/>
    </row>
    <row r="1448" spans="1:9" ht="30">
      <c r="A1448" s="74"/>
      <c r="B1448" s="80" t="s">
        <v>648</v>
      </c>
      <c r="C1448" s="81" t="s">
        <v>649</v>
      </c>
      <c r="D1448" s="74" t="s">
        <v>7</v>
      </c>
      <c r="E1448" s="78">
        <v>0.17499999999999999</v>
      </c>
      <c r="F1448" s="64">
        <v>24.79</v>
      </c>
      <c r="G1448" s="64">
        <f>TRUNC(E1448*F1448,2)</f>
        <v>4.33</v>
      </c>
      <c r="H1448" s="64"/>
      <c r="I1448" s="78"/>
    </row>
    <row r="1449" spans="1:9" ht="15">
      <c r="A1449" s="74"/>
      <c r="B1449" s="80" t="s">
        <v>652</v>
      </c>
      <c r="C1449" s="81" t="s">
        <v>653</v>
      </c>
      <c r="D1449" s="74" t="s">
        <v>7</v>
      </c>
      <c r="E1449" s="78">
        <v>0.125</v>
      </c>
      <c r="F1449" s="64">
        <v>5.95</v>
      </c>
      <c r="G1449" s="64">
        <f>TRUNC(E1449*F1449,2)</f>
        <v>0.74</v>
      </c>
      <c r="H1449" s="64"/>
      <c r="I1449" s="78"/>
    </row>
    <row r="1450" spans="1:9" ht="30">
      <c r="A1450" s="74"/>
      <c r="B1450" s="80" t="s">
        <v>49</v>
      </c>
      <c r="C1450" s="81" t="s">
        <v>50</v>
      </c>
      <c r="D1450" s="74" t="s">
        <v>51</v>
      </c>
      <c r="E1450" s="78">
        <v>0.1545</v>
      </c>
      <c r="F1450" s="64">
        <f>TRUNC(15.2,2)</f>
        <v>15.2</v>
      </c>
      <c r="G1450" s="64">
        <f>TRUNC(E1450*F1450,2)</f>
        <v>2.34</v>
      </c>
      <c r="H1450" s="64"/>
      <c r="I1450" s="78"/>
    </row>
    <row r="1451" spans="1:9" ht="30">
      <c r="A1451" s="74"/>
      <c r="B1451" s="80" t="s">
        <v>82</v>
      </c>
      <c r="C1451" s="81" t="s">
        <v>83</v>
      </c>
      <c r="D1451" s="74" t="s">
        <v>51</v>
      </c>
      <c r="E1451" s="78">
        <v>0.1545</v>
      </c>
      <c r="F1451" s="64">
        <f>TRUNC(21,2)</f>
        <v>21</v>
      </c>
      <c r="G1451" s="64">
        <f>TRUNC(E1451*F1451,2)</f>
        <v>3.24</v>
      </c>
      <c r="H1451" s="64"/>
      <c r="I1451" s="78"/>
    </row>
    <row r="1452" spans="1:9" ht="15">
      <c r="A1452" s="74"/>
      <c r="B1452" s="80"/>
      <c r="C1452" s="81"/>
      <c r="D1452" s="74"/>
      <c r="E1452" s="78" t="s">
        <v>33</v>
      </c>
      <c r="F1452" s="64"/>
      <c r="G1452" s="64">
        <f>TRUNC(SUM(G1448:G1451),2)</f>
        <v>10.65</v>
      </c>
      <c r="H1452" s="64"/>
      <c r="I1452" s="78"/>
    </row>
    <row r="1453" spans="1:9" ht="45">
      <c r="A1453" s="68" t="s">
        <v>1079</v>
      </c>
      <c r="B1453" s="98" t="s">
        <v>1091</v>
      </c>
      <c r="C1453" s="23" t="s">
        <v>1092</v>
      </c>
      <c r="D1453" s="68" t="s">
        <v>23</v>
      </c>
      <c r="E1453" s="24">
        <f>4 + 4 + 3.9 + 5.3 + 4.4 + 3.5 + 3.3 + 0.8 + 6.5</f>
        <v>35.700000000000003</v>
      </c>
      <c r="F1453" s="24">
        <f>TRUNC(F1454,2)</f>
        <v>9.59</v>
      </c>
      <c r="G1453" s="24">
        <f>TRUNC(F1453*1.2882,2)</f>
        <v>12.35</v>
      </c>
      <c r="H1453" s="24">
        <f>TRUNC(F1453*E1453,2)</f>
        <v>342.36</v>
      </c>
      <c r="I1453" s="24">
        <f>TRUNC(E1453*G1453,2)</f>
        <v>440.89</v>
      </c>
    </row>
    <row r="1454" spans="1:9" ht="45">
      <c r="A1454" s="74"/>
      <c r="B1454" s="80" t="s">
        <v>1091</v>
      </c>
      <c r="C1454" s="81" t="s">
        <v>1092</v>
      </c>
      <c r="D1454" s="74" t="s">
        <v>23</v>
      </c>
      <c r="E1454" s="78">
        <v>1</v>
      </c>
      <c r="F1454" s="64">
        <f>G1459</f>
        <v>9.59</v>
      </c>
      <c r="G1454" s="64">
        <f>TRUNC(E1454*F1454,2)</f>
        <v>9.59</v>
      </c>
      <c r="H1454" s="64"/>
      <c r="I1454" s="78"/>
    </row>
    <row r="1455" spans="1:9" ht="30">
      <c r="A1455" s="74"/>
      <c r="B1455" s="80" t="s">
        <v>1093</v>
      </c>
      <c r="C1455" s="81" t="s">
        <v>1094</v>
      </c>
      <c r="D1455" s="74" t="s">
        <v>7</v>
      </c>
      <c r="E1455" s="78">
        <v>0.17499999999999999</v>
      </c>
      <c r="F1455" s="64">
        <v>20.98</v>
      </c>
      <c r="G1455" s="64">
        <f>TRUNC(E1455*F1455,2)</f>
        <v>3.67</v>
      </c>
      <c r="H1455" s="64"/>
      <c r="I1455" s="78"/>
    </row>
    <row r="1456" spans="1:9" ht="15">
      <c r="A1456" s="74"/>
      <c r="B1456" s="80" t="s">
        <v>652</v>
      </c>
      <c r="C1456" s="81" t="s">
        <v>653</v>
      </c>
      <c r="D1456" s="74" t="s">
        <v>7</v>
      </c>
      <c r="E1456" s="78">
        <v>0.12</v>
      </c>
      <c r="F1456" s="64">
        <v>5.95</v>
      </c>
      <c r="G1456" s="64">
        <f>TRUNC(E1456*F1456,2)</f>
        <v>0.71</v>
      </c>
      <c r="H1456" s="64"/>
      <c r="I1456" s="78"/>
    </row>
    <row r="1457" spans="1:9" ht="30">
      <c r="A1457" s="74"/>
      <c r="B1457" s="80" t="s">
        <v>49</v>
      </c>
      <c r="C1457" s="81" t="s">
        <v>50</v>
      </c>
      <c r="D1457" s="74" t="s">
        <v>51</v>
      </c>
      <c r="E1457" s="78">
        <v>0.14420000000000002</v>
      </c>
      <c r="F1457" s="64">
        <f>TRUNC(15.2,2)</f>
        <v>15.2</v>
      </c>
      <c r="G1457" s="64">
        <f>TRUNC(E1457*F1457,2)</f>
        <v>2.19</v>
      </c>
      <c r="H1457" s="64"/>
      <c r="I1457" s="78"/>
    </row>
    <row r="1458" spans="1:9" ht="30">
      <c r="A1458" s="74"/>
      <c r="B1458" s="80" t="s">
        <v>82</v>
      </c>
      <c r="C1458" s="81" t="s">
        <v>83</v>
      </c>
      <c r="D1458" s="74" t="s">
        <v>51</v>
      </c>
      <c r="E1458" s="78">
        <v>0.14420000000000002</v>
      </c>
      <c r="F1458" s="64">
        <f>TRUNC(21,2)</f>
        <v>21</v>
      </c>
      <c r="G1458" s="64">
        <f>TRUNC(E1458*F1458,2)</f>
        <v>3.02</v>
      </c>
      <c r="H1458" s="64"/>
      <c r="I1458" s="78"/>
    </row>
    <row r="1459" spans="1:9" ht="15">
      <c r="A1459" s="74"/>
      <c r="B1459" s="80"/>
      <c r="C1459" s="81"/>
      <c r="D1459" s="74"/>
      <c r="E1459" s="78" t="s">
        <v>33</v>
      </c>
      <c r="F1459" s="64"/>
      <c r="G1459" s="64">
        <f>TRUNC(SUM(G1455:G1458),2)</f>
        <v>9.59</v>
      </c>
      <c r="H1459" s="64"/>
      <c r="I1459" s="78"/>
    </row>
    <row r="1460" spans="1:9" ht="30">
      <c r="A1460" s="68" t="s">
        <v>1080</v>
      </c>
      <c r="B1460" s="98" t="s">
        <v>1095</v>
      </c>
      <c r="C1460" s="23" t="s">
        <v>1096</v>
      </c>
      <c r="D1460" s="68" t="s">
        <v>7</v>
      </c>
      <c r="E1460" s="24">
        <v>2</v>
      </c>
      <c r="F1460" s="24">
        <f>TRUNC(F1461,2)</f>
        <v>47.62</v>
      </c>
      <c r="G1460" s="24">
        <f>TRUNC(F1460*1.2882,2)</f>
        <v>61.34</v>
      </c>
      <c r="H1460" s="24">
        <f>TRUNC(F1460*E1460,2)</f>
        <v>95.24</v>
      </c>
      <c r="I1460" s="24">
        <f>TRUNC(E1460*G1460,2)</f>
        <v>122.68</v>
      </c>
    </row>
    <row r="1461" spans="1:9" ht="30">
      <c r="A1461" s="74"/>
      <c r="B1461" s="80" t="s">
        <v>1095</v>
      </c>
      <c r="C1461" s="81" t="s">
        <v>1096</v>
      </c>
      <c r="D1461" s="74" t="s">
        <v>7</v>
      </c>
      <c r="E1461" s="78">
        <v>1</v>
      </c>
      <c r="F1461" s="64">
        <f>G1468</f>
        <v>47.62</v>
      </c>
      <c r="G1461" s="64">
        <f t="shared" ref="G1461:G1467" si="79">TRUNC(E1461*F1461,2)</f>
        <v>47.62</v>
      </c>
      <c r="H1461" s="64"/>
      <c r="I1461" s="78"/>
    </row>
    <row r="1462" spans="1:9" ht="15">
      <c r="A1462" s="74"/>
      <c r="B1462" s="80" t="s">
        <v>1097</v>
      </c>
      <c r="C1462" s="81" t="s">
        <v>1098</v>
      </c>
      <c r="D1462" s="74" t="s">
        <v>7</v>
      </c>
      <c r="E1462" s="78">
        <v>2.2200000000000001E-2</v>
      </c>
      <c r="F1462" s="64">
        <v>2.13</v>
      </c>
      <c r="G1462" s="64">
        <f t="shared" si="79"/>
        <v>0.04</v>
      </c>
      <c r="H1462" s="64"/>
      <c r="I1462" s="78"/>
    </row>
    <row r="1463" spans="1:9" ht="15">
      <c r="A1463" s="74"/>
      <c r="B1463" s="80" t="s">
        <v>1099</v>
      </c>
      <c r="C1463" s="81" t="s">
        <v>1100</v>
      </c>
      <c r="D1463" s="74" t="s">
        <v>7</v>
      </c>
      <c r="E1463" s="78">
        <v>0.03</v>
      </c>
      <c r="F1463" s="64">
        <v>86.3</v>
      </c>
      <c r="G1463" s="64">
        <f t="shared" si="79"/>
        <v>2.58</v>
      </c>
      <c r="H1463" s="64"/>
      <c r="I1463" s="78"/>
    </row>
    <row r="1464" spans="1:9" ht="15">
      <c r="A1464" s="74"/>
      <c r="B1464" s="80" t="s">
        <v>1101</v>
      </c>
      <c r="C1464" s="81" t="s">
        <v>1102</v>
      </c>
      <c r="D1464" s="74" t="s">
        <v>7</v>
      </c>
      <c r="E1464" s="78">
        <v>1</v>
      </c>
      <c r="F1464" s="64">
        <v>35.42</v>
      </c>
      <c r="G1464" s="64">
        <f t="shared" si="79"/>
        <v>35.42</v>
      </c>
      <c r="H1464" s="64"/>
      <c r="I1464" s="78"/>
    </row>
    <row r="1465" spans="1:9" ht="15">
      <c r="A1465" s="74"/>
      <c r="B1465" s="80" t="s">
        <v>1103</v>
      </c>
      <c r="C1465" s="81" t="s">
        <v>1104</v>
      </c>
      <c r="D1465" s="74" t="s">
        <v>7</v>
      </c>
      <c r="E1465" s="78">
        <v>2.12E-2</v>
      </c>
      <c r="F1465" s="64">
        <v>76.17</v>
      </c>
      <c r="G1465" s="64">
        <f t="shared" si="79"/>
        <v>1.61</v>
      </c>
      <c r="H1465" s="64"/>
      <c r="I1465" s="78"/>
    </row>
    <row r="1466" spans="1:9" ht="15">
      <c r="A1466" s="74"/>
      <c r="B1466" s="80" t="s">
        <v>146</v>
      </c>
      <c r="C1466" s="81" t="s">
        <v>147</v>
      </c>
      <c r="D1466" s="74" t="s">
        <v>51</v>
      </c>
      <c r="E1466" s="78">
        <v>0.15060000000000001</v>
      </c>
      <c r="F1466" s="64">
        <f>TRUNC(29.09,2)</f>
        <v>29.09</v>
      </c>
      <c r="G1466" s="64">
        <f t="shared" si="79"/>
        <v>4.38</v>
      </c>
      <c r="H1466" s="64"/>
      <c r="I1466" s="78"/>
    </row>
    <row r="1467" spans="1:9" ht="30">
      <c r="A1467" s="74"/>
      <c r="B1467" s="80" t="s">
        <v>1105</v>
      </c>
      <c r="C1467" s="81" t="s">
        <v>1106</v>
      </c>
      <c r="D1467" s="74" t="s">
        <v>51</v>
      </c>
      <c r="E1467" s="78">
        <v>0.15060000000000001</v>
      </c>
      <c r="F1467" s="64">
        <f>TRUNC(23.85,2)</f>
        <v>23.85</v>
      </c>
      <c r="G1467" s="64">
        <f t="shared" si="79"/>
        <v>3.59</v>
      </c>
      <c r="H1467" s="64"/>
      <c r="I1467" s="78"/>
    </row>
    <row r="1468" spans="1:9" ht="15">
      <c r="A1468" s="74"/>
      <c r="B1468" s="80"/>
      <c r="C1468" s="81"/>
      <c r="D1468" s="74"/>
      <c r="E1468" s="78" t="s">
        <v>33</v>
      </c>
      <c r="F1468" s="64"/>
      <c r="G1468" s="64">
        <f>TRUNC(SUM(G1462:G1467),2)</f>
        <v>47.62</v>
      </c>
      <c r="H1468" s="64"/>
      <c r="I1468" s="78"/>
    </row>
    <row r="1469" spans="1:9" ht="30">
      <c r="A1469" s="68" t="s">
        <v>1081</v>
      </c>
      <c r="B1469" s="98" t="s">
        <v>1107</v>
      </c>
      <c r="C1469" s="23" t="s">
        <v>1108</v>
      </c>
      <c r="D1469" s="68" t="s">
        <v>7</v>
      </c>
      <c r="E1469" s="24">
        <v>6</v>
      </c>
      <c r="F1469" s="24">
        <f>TRUNC(F1470,2)</f>
        <v>15.19</v>
      </c>
      <c r="G1469" s="24">
        <f>TRUNC(F1469*1.2882,2)</f>
        <v>19.559999999999999</v>
      </c>
      <c r="H1469" s="24">
        <f>TRUNC(F1469*E1469,2)</f>
        <v>91.14</v>
      </c>
      <c r="I1469" s="24">
        <f>TRUNC(E1469*G1469,2)</f>
        <v>117.36</v>
      </c>
    </row>
    <row r="1470" spans="1:9" ht="30">
      <c r="A1470" s="74"/>
      <c r="B1470" s="80" t="s">
        <v>1107</v>
      </c>
      <c r="C1470" s="81" t="s">
        <v>1108</v>
      </c>
      <c r="D1470" s="74" t="s">
        <v>7</v>
      </c>
      <c r="E1470" s="78">
        <v>1</v>
      </c>
      <c r="F1470" s="64">
        <f>G1477</f>
        <v>15.19</v>
      </c>
      <c r="G1470" s="64">
        <f t="shared" ref="G1470:G1476" si="80">TRUNC(E1470*F1470,2)</f>
        <v>15.19</v>
      </c>
      <c r="H1470" s="64"/>
      <c r="I1470" s="78"/>
    </row>
    <row r="1471" spans="1:9" ht="15">
      <c r="A1471" s="74"/>
      <c r="B1471" s="80" t="s">
        <v>1097</v>
      </c>
      <c r="C1471" s="81" t="s">
        <v>1098</v>
      </c>
      <c r="D1471" s="74" t="s">
        <v>7</v>
      </c>
      <c r="E1471" s="78">
        <v>1.5699999999999999E-2</v>
      </c>
      <c r="F1471" s="64">
        <v>2.13</v>
      </c>
      <c r="G1471" s="64">
        <f t="shared" si="80"/>
        <v>0.03</v>
      </c>
      <c r="H1471" s="64"/>
      <c r="I1471" s="78"/>
    </row>
    <row r="1472" spans="1:9" ht="15">
      <c r="A1472" s="74"/>
      <c r="B1472" s="80" t="s">
        <v>1099</v>
      </c>
      <c r="C1472" s="81" t="s">
        <v>1100</v>
      </c>
      <c r="D1472" s="74" t="s">
        <v>7</v>
      </c>
      <c r="E1472" s="78">
        <v>1.4E-2</v>
      </c>
      <c r="F1472" s="64">
        <v>86.3</v>
      </c>
      <c r="G1472" s="64">
        <f t="shared" si="80"/>
        <v>1.2</v>
      </c>
      <c r="H1472" s="64"/>
      <c r="I1472" s="78"/>
    </row>
    <row r="1473" spans="1:9" ht="15">
      <c r="A1473" s="74"/>
      <c r="B1473" s="80" t="s">
        <v>1109</v>
      </c>
      <c r="C1473" s="81" t="s">
        <v>1110</v>
      </c>
      <c r="D1473" s="74" t="s">
        <v>7</v>
      </c>
      <c r="E1473" s="78">
        <v>1</v>
      </c>
      <c r="F1473" s="64">
        <v>7.54</v>
      </c>
      <c r="G1473" s="64">
        <f t="shared" si="80"/>
        <v>7.54</v>
      </c>
      <c r="H1473" s="64"/>
      <c r="I1473" s="78"/>
    </row>
    <row r="1474" spans="1:9" ht="15">
      <c r="A1474" s="74"/>
      <c r="B1474" s="80" t="s">
        <v>1103</v>
      </c>
      <c r="C1474" s="81" t="s">
        <v>1104</v>
      </c>
      <c r="D1474" s="74" t="s">
        <v>7</v>
      </c>
      <c r="E1474" s="78">
        <v>1.18E-2</v>
      </c>
      <c r="F1474" s="64">
        <v>76.17</v>
      </c>
      <c r="G1474" s="64">
        <f t="shared" si="80"/>
        <v>0.89</v>
      </c>
      <c r="H1474" s="64"/>
      <c r="I1474" s="78"/>
    </row>
    <row r="1475" spans="1:9" ht="15">
      <c r="A1475" s="74"/>
      <c r="B1475" s="80" t="s">
        <v>146</v>
      </c>
      <c r="C1475" s="81" t="s">
        <v>147</v>
      </c>
      <c r="D1475" s="74" t="s">
        <v>51</v>
      </c>
      <c r="E1475" s="78">
        <v>0.1047</v>
      </c>
      <c r="F1475" s="64">
        <f>TRUNC(29.09,2)</f>
        <v>29.09</v>
      </c>
      <c r="G1475" s="64">
        <f t="shared" si="80"/>
        <v>3.04</v>
      </c>
      <c r="H1475" s="64"/>
      <c r="I1475" s="78"/>
    </row>
    <row r="1476" spans="1:9" ht="30">
      <c r="A1476" s="74"/>
      <c r="B1476" s="80" t="s">
        <v>1105</v>
      </c>
      <c r="C1476" s="81" t="s">
        <v>1106</v>
      </c>
      <c r="D1476" s="74" t="s">
        <v>51</v>
      </c>
      <c r="E1476" s="78">
        <v>0.1047</v>
      </c>
      <c r="F1476" s="64">
        <f>TRUNC(23.85,2)</f>
        <v>23.85</v>
      </c>
      <c r="G1476" s="64">
        <f t="shared" si="80"/>
        <v>2.4900000000000002</v>
      </c>
      <c r="H1476" s="64"/>
      <c r="I1476" s="78"/>
    </row>
    <row r="1477" spans="1:9" ht="15">
      <c r="A1477" s="74"/>
      <c r="B1477" s="80"/>
      <c r="C1477" s="81"/>
      <c r="D1477" s="74"/>
      <c r="E1477" s="78" t="s">
        <v>33</v>
      </c>
      <c r="F1477" s="64"/>
      <c r="G1477" s="64">
        <f>TRUNC(SUM(G1471:G1476),2)</f>
        <v>15.19</v>
      </c>
      <c r="H1477" s="64"/>
      <c r="I1477" s="78"/>
    </row>
    <row r="1478" spans="1:9" ht="30">
      <c r="A1478" s="68" t="s">
        <v>1082</v>
      </c>
      <c r="B1478" s="98" t="s">
        <v>1111</v>
      </c>
      <c r="C1478" s="23" t="s">
        <v>1112</v>
      </c>
      <c r="D1478" s="68" t="s">
        <v>7</v>
      </c>
      <c r="E1478" s="24">
        <v>14</v>
      </c>
      <c r="F1478" s="24">
        <f>TRUNC(F1479,2)</f>
        <v>13.47</v>
      </c>
      <c r="G1478" s="24">
        <f>TRUNC(F1478*1.2882,2)</f>
        <v>17.350000000000001</v>
      </c>
      <c r="H1478" s="24">
        <f>TRUNC(F1478*E1478,2)</f>
        <v>188.58</v>
      </c>
      <c r="I1478" s="24">
        <f>TRUNC(E1478*G1478,2)</f>
        <v>242.9</v>
      </c>
    </row>
    <row r="1479" spans="1:9" ht="30">
      <c r="A1479" s="74"/>
      <c r="B1479" s="80" t="s">
        <v>1111</v>
      </c>
      <c r="C1479" s="81" t="s">
        <v>1112</v>
      </c>
      <c r="D1479" s="74" t="s">
        <v>7</v>
      </c>
      <c r="E1479" s="78">
        <v>1</v>
      </c>
      <c r="F1479" s="64">
        <f>G1486</f>
        <v>13.47</v>
      </c>
      <c r="G1479" s="64">
        <f t="shared" ref="G1479:G1485" si="81">TRUNC(E1479*F1479,2)</f>
        <v>13.47</v>
      </c>
      <c r="H1479" s="64"/>
      <c r="I1479" s="78"/>
    </row>
    <row r="1480" spans="1:9" ht="15">
      <c r="A1480" s="74"/>
      <c r="B1480" s="80" t="s">
        <v>1097</v>
      </c>
      <c r="C1480" s="81" t="s">
        <v>1098</v>
      </c>
      <c r="D1480" s="74" t="s">
        <v>7</v>
      </c>
      <c r="E1480" s="78">
        <v>3.5999999999999997E-2</v>
      </c>
      <c r="F1480" s="64">
        <v>2.13</v>
      </c>
      <c r="G1480" s="64">
        <f t="shared" si="81"/>
        <v>7.0000000000000007E-2</v>
      </c>
      <c r="H1480" s="64"/>
      <c r="I1480" s="78"/>
    </row>
    <row r="1481" spans="1:9" ht="15">
      <c r="A1481" s="74"/>
      <c r="B1481" s="80" t="s">
        <v>1099</v>
      </c>
      <c r="C1481" s="81" t="s">
        <v>1100</v>
      </c>
      <c r="D1481" s="74" t="s">
        <v>7</v>
      </c>
      <c r="E1481" s="78">
        <v>1.0999999999999999E-2</v>
      </c>
      <c r="F1481" s="64">
        <v>86.3</v>
      </c>
      <c r="G1481" s="64">
        <f t="shared" si="81"/>
        <v>0.94</v>
      </c>
      <c r="H1481" s="64"/>
      <c r="I1481" s="78"/>
    </row>
    <row r="1482" spans="1:9" ht="15">
      <c r="A1482" s="74"/>
      <c r="B1482" s="80" t="s">
        <v>1113</v>
      </c>
      <c r="C1482" s="81" t="s">
        <v>1114</v>
      </c>
      <c r="D1482" s="74" t="s">
        <v>7</v>
      </c>
      <c r="E1482" s="78">
        <v>1</v>
      </c>
      <c r="F1482" s="64">
        <v>3.18</v>
      </c>
      <c r="G1482" s="64">
        <f t="shared" si="81"/>
        <v>3.18</v>
      </c>
      <c r="H1482" s="64"/>
      <c r="I1482" s="78"/>
    </row>
    <row r="1483" spans="1:9" ht="15">
      <c r="A1483" s="74"/>
      <c r="B1483" s="80" t="s">
        <v>1103</v>
      </c>
      <c r="C1483" s="81" t="s">
        <v>1104</v>
      </c>
      <c r="D1483" s="74" t="s">
        <v>7</v>
      </c>
      <c r="E1483" s="78">
        <v>9.4000000000000004E-3</v>
      </c>
      <c r="F1483" s="64">
        <v>76.17</v>
      </c>
      <c r="G1483" s="64">
        <f t="shared" si="81"/>
        <v>0.71</v>
      </c>
      <c r="H1483" s="64"/>
      <c r="I1483" s="78"/>
    </row>
    <row r="1484" spans="1:9" ht="15">
      <c r="A1484" s="74"/>
      <c r="B1484" s="80" t="s">
        <v>146</v>
      </c>
      <c r="C1484" s="81" t="s">
        <v>147</v>
      </c>
      <c r="D1484" s="74" t="s">
        <v>51</v>
      </c>
      <c r="E1484" s="78">
        <v>0.16209999999999999</v>
      </c>
      <c r="F1484" s="64">
        <f>TRUNC(29.09,2)</f>
        <v>29.09</v>
      </c>
      <c r="G1484" s="64">
        <f t="shared" si="81"/>
        <v>4.71</v>
      </c>
      <c r="H1484" s="64"/>
      <c r="I1484" s="78"/>
    </row>
    <row r="1485" spans="1:9" ht="30">
      <c r="A1485" s="74"/>
      <c r="B1485" s="80" t="s">
        <v>1105</v>
      </c>
      <c r="C1485" s="81" t="s">
        <v>1106</v>
      </c>
      <c r="D1485" s="74" t="s">
        <v>51</v>
      </c>
      <c r="E1485" s="78">
        <v>0.16209999999999999</v>
      </c>
      <c r="F1485" s="64">
        <f>TRUNC(23.85,2)</f>
        <v>23.85</v>
      </c>
      <c r="G1485" s="64">
        <f t="shared" si="81"/>
        <v>3.86</v>
      </c>
      <c r="H1485" s="64"/>
      <c r="I1485" s="78"/>
    </row>
    <row r="1486" spans="1:9" ht="15">
      <c r="A1486" s="74"/>
      <c r="B1486" s="80"/>
      <c r="C1486" s="81"/>
      <c r="D1486" s="74"/>
      <c r="E1486" s="78" t="s">
        <v>33</v>
      </c>
      <c r="F1486" s="64"/>
      <c r="G1486" s="64">
        <f>TRUNC(SUM(G1480:G1485),2)</f>
        <v>13.47</v>
      </c>
      <c r="H1486" s="64"/>
      <c r="I1486" s="78"/>
    </row>
    <row r="1487" spans="1:9" ht="30">
      <c r="A1487" s="68" t="s">
        <v>1083</v>
      </c>
      <c r="B1487" s="98" t="s">
        <v>1115</v>
      </c>
      <c r="C1487" s="23" t="s">
        <v>1116</v>
      </c>
      <c r="D1487" s="68" t="s">
        <v>7</v>
      </c>
      <c r="E1487" s="24">
        <f>24+2+6+1+1+7+1+1+3</f>
        <v>46</v>
      </c>
      <c r="F1487" s="24">
        <f>TRUNC(F1488,2)</f>
        <v>9.5399999999999991</v>
      </c>
      <c r="G1487" s="24">
        <f>TRUNC(F1487*1.2882,2)</f>
        <v>12.28</v>
      </c>
      <c r="H1487" s="24">
        <f>TRUNC(F1487*E1487,2)</f>
        <v>438.84</v>
      </c>
      <c r="I1487" s="24">
        <f>TRUNC(E1487*G1487,2)</f>
        <v>564.88</v>
      </c>
    </row>
    <row r="1488" spans="1:9" ht="30">
      <c r="A1488" s="74"/>
      <c r="B1488" s="80" t="s">
        <v>1115</v>
      </c>
      <c r="C1488" s="81" t="s">
        <v>1116</v>
      </c>
      <c r="D1488" s="74" t="s">
        <v>7</v>
      </c>
      <c r="E1488" s="78">
        <v>1</v>
      </c>
      <c r="F1488" s="64">
        <f>G1495</f>
        <v>9.5399999999999991</v>
      </c>
      <c r="G1488" s="64">
        <f t="shared" ref="G1488:G1494" si="82">TRUNC(E1488*F1488,2)</f>
        <v>9.5399999999999991</v>
      </c>
      <c r="H1488" s="64"/>
      <c r="I1488" s="78"/>
    </row>
    <row r="1489" spans="1:9" ht="15">
      <c r="A1489" s="74"/>
      <c r="B1489" s="80" t="s">
        <v>1097</v>
      </c>
      <c r="C1489" s="81" t="s">
        <v>1098</v>
      </c>
      <c r="D1489" s="74" t="s">
        <v>7</v>
      </c>
      <c r="E1489" s="78">
        <v>3.0200000000000001E-2</v>
      </c>
      <c r="F1489" s="64">
        <v>2.13</v>
      </c>
      <c r="G1489" s="64">
        <f t="shared" si="82"/>
        <v>0.06</v>
      </c>
      <c r="H1489" s="64"/>
      <c r="I1489" s="78"/>
    </row>
    <row r="1490" spans="1:9" ht="15">
      <c r="A1490" s="74"/>
      <c r="B1490" s="80" t="s">
        <v>1099</v>
      </c>
      <c r="C1490" s="81" t="s">
        <v>1100</v>
      </c>
      <c r="D1490" s="74" t="s">
        <v>7</v>
      </c>
      <c r="E1490" s="78">
        <v>8.0000000000000002E-3</v>
      </c>
      <c r="F1490" s="64">
        <v>86.3</v>
      </c>
      <c r="G1490" s="64">
        <f t="shared" si="82"/>
        <v>0.69</v>
      </c>
      <c r="H1490" s="64"/>
      <c r="I1490" s="78"/>
    </row>
    <row r="1491" spans="1:9" ht="15">
      <c r="A1491" s="74"/>
      <c r="B1491" s="80" t="s">
        <v>1117</v>
      </c>
      <c r="C1491" s="81" t="s">
        <v>1118</v>
      </c>
      <c r="D1491" s="74" t="s">
        <v>7</v>
      </c>
      <c r="E1491" s="78">
        <v>1</v>
      </c>
      <c r="F1491" s="64">
        <v>1.06</v>
      </c>
      <c r="G1491" s="64">
        <f t="shared" si="82"/>
        <v>1.06</v>
      </c>
      <c r="H1491" s="64"/>
      <c r="I1491" s="78"/>
    </row>
    <row r="1492" spans="1:9" ht="15">
      <c r="A1492" s="74"/>
      <c r="B1492" s="80" t="s">
        <v>1103</v>
      </c>
      <c r="C1492" s="81" t="s">
        <v>1104</v>
      </c>
      <c r="D1492" s="74" t="s">
        <v>7</v>
      </c>
      <c r="E1492" s="78">
        <v>7.1000000000000004E-3</v>
      </c>
      <c r="F1492" s="64">
        <v>76.17</v>
      </c>
      <c r="G1492" s="64">
        <f t="shared" si="82"/>
        <v>0.54</v>
      </c>
      <c r="H1492" s="64"/>
      <c r="I1492" s="78"/>
    </row>
    <row r="1493" spans="1:9" ht="15">
      <c r="A1493" s="74"/>
      <c r="B1493" s="80" t="s">
        <v>146</v>
      </c>
      <c r="C1493" s="81" t="s">
        <v>147</v>
      </c>
      <c r="D1493" s="74" t="s">
        <v>51</v>
      </c>
      <c r="E1493" s="78">
        <v>0.13589999999999999</v>
      </c>
      <c r="F1493" s="64">
        <f>TRUNC(29.09,2)</f>
        <v>29.09</v>
      </c>
      <c r="G1493" s="64">
        <f t="shared" si="82"/>
        <v>3.95</v>
      </c>
      <c r="H1493" s="64"/>
      <c r="I1493" s="78"/>
    </row>
    <row r="1494" spans="1:9" ht="30">
      <c r="A1494" s="74"/>
      <c r="B1494" s="80" t="s">
        <v>1105</v>
      </c>
      <c r="C1494" s="81" t="s">
        <v>1106</v>
      </c>
      <c r="D1494" s="74" t="s">
        <v>51</v>
      </c>
      <c r="E1494" s="78">
        <v>0.13589999999999999</v>
      </c>
      <c r="F1494" s="64">
        <f>TRUNC(23.85,2)</f>
        <v>23.85</v>
      </c>
      <c r="G1494" s="64">
        <f t="shared" si="82"/>
        <v>3.24</v>
      </c>
      <c r="H1494" s="64"/>
      <c r="I1494" s="78"/>
    </row>
    <row r="1495" spans="1:9" ht="15">
      <c r="A1495" s="74"/>
      <c r="B1495" s="80"/>
      <c r="C1495" s="81"/>
      <c r="D1495" s="74"/>
      <c r="E1495" s="78" t="s">
        <v>33</v>
      </c>
      <c r="F1495" s="64"/>
      <c r="G1495" s="64">
        <f>TRUNC(SUM(G1489:G1494),2)</f>
        <v>9.5399999999999991</v>
      </c>
      <c r="H1495" s="64"/>
      <c r="I1495" s="78"/>
    </row>
    <row r="1496" spans="1:9" ht="30">
      <c r="A1496" s="68" t="s">
        <v>1084</v>
      </c>
      <c r="B1496" s="98" t="s">
        <v>1119</v>
      </c>
      <c r="C1496" s="23" t="s">
        <v>1120</v>
      </c>
      <c r="D1496" s="68" t="s">
        <v>7</v>
      </c>
      <c r="E1496" s="24">
        <f>1+2+1+1+2+1+4</f>
        <v>12</v>
      </c>
      <c r="F1496" s="24">
        <f>TRUNC(F1497,2)</f>
        <v>7.87</v>
      </c>
      <c r="G1496" s="24">
        <f>TRUNC(F1496*1.2882,2)</f>
        <v>10.130000000000001</v>
      </c>
      <c r="H1496" s="24">
        <f>TRUNC(F1496*E1496,2)</f>
        <v>94.44</v>
      </c>
      <c r="I1496" s="24">
        <f>TRUNC(E1496*G1496,2)</f>
        <v>121.56</v>
      </c>
    </row>
    <row r="1497" spans="1:9" ht="30">
      <c r="A1497" s="74"/>
      <c r="B1497" s="80" t="s">
        <v>1119</v>
      </c>
      <c r="C1497" s="81" t="s">
        <v>1120</v>
      </c>
      <c r="D1497" s="74" t="s">
        <v>7</v>
      </c>
      <c r="E1497" s="78">
        <v>1</v>
      </c>
      <c r="F1497" s="64">
        <f>G1504</f>
        <v>7.87</v>
      </c>
      <c r="G1497" s="64">
        <f t="shared" ref="G1497:G1503" si="83">TRUNC(E1497*F1497,2)</f>
        <v>7.87</v>
      </c>
      <c r="H1497" s="64"/>
      <c r="I1497" s="78"/>
    </row>
    <row r="1498" spans="1:9" ht="15">
      <c r="A1498" s="74"/>
      <c r="B1498" s="80" t="s">
        <v>1097</v>
      </c>
      <c r="C1498" s="81" t="s">
        <v>1098</v>
      </c>
      <c r="D1498" s="74" t="s">
        <v>7</v>
      </c>
      <c r="E1498" s="78">
        <v>2.5999999999999999E-2</v>
      </c>
      <c r="F1498" s="64">
        <v>2.13</v>
      </c>
      <c r="G1498" s="64">
        <f t="shared" si="83"/>
        <v>0.05</v>
      </c>
      <c r="H1498" s="64"/>
      <c r="I1498" s="78"/>
    </row>
    <row r="1499" spans="1:9" ht="15">
      <c r="A1499" s="74"/>
      <c r="B1499" s="80" t="s">
        <v>1099</v>
      </c>
      <c r="C1499" s="81" t="s">
        <v>1100</v>
      </c>
      <c r="D1499" s="74" t="s">
        <v>7</v>
      </c>
      <c r="E1499" s="78">
        <v>6.0000000000000001E-3</v>
      </c>
      <c r="F1499" s="64">
        <v>86.3</v>
      </c>
      <c r="G1499" s="64">
        <f t="shared" si="83"/>
        <v>0.51</v>
      </c>
      <c r="H1499" s="64"/>
      <c r="I1499" s="78"/>
    </row>
    <row r="1500" spans="1:9" ht="15">
      <c r="A1500" s="74"/>
      <c r="B1500" s="80" t="s">
        <v>1121</v>
      </c>
      <c r="C1500" s="81" t="s">
        <v>1122</v>
      </c>
      <c r="D1500" s="74" t="s">
        <v>7</v>
      </c>
      <c r="E1500" s="78">
        <v>1</v>
      </c>
      <c r="F1500" s="64">
        <v>0.77</v>
      </c>
      <c r="G1500" s="64">
        <f t="shared" si="83"/>
        <v>0.77</v>
      </c>
      <c r="H1500" s="64"/>
      <c r="I1500" s="78"/>
    </row>
    <row r="1501" spans="1:9" ht="15">
      <c r="A1501" s="74"/>
      <c r="B1501" s="80" t="s">
        <v>1103</v>
      </c>
      <c r="C1501" s="81" t="s">
        <v>1104</v>
      </c>
      <c r="D1501" s="74" t="s">
        <v>7</v>
      </c>
      <c r="E1501" s="78">
        <v>4.7000000000000002E-3</v>
      </c>
      <c r="F1501" s="64">
        <v>76.17</v>
      </c>
      <c r="G1501" s="64">
        <f t="shared" si="83"/>
        <v>0.35</v>
      </c>
      <c r="H1501" s="64"/>
      <c r="I1501" s="78"/>
    </row>
    <row r="1502" spans="1:9" ht="15">
      <c r="A1502" s="74"/>
      <c r="B1502" s="80" t="s">
        <v>146</v>
      </c>
      <c r="C1502" s="81" t="s">
        <v>147</v>
      </c>
      <c r="D1502" s="74" t="s">
        <v>51</v>
      </c>
      <c r="E1502" s="78">
        <v>0.1172</v>
      </c>
      <c r="F1502" s="64">
        <f>TRUNC(29.09,2)</f>
        <v>29.09</v>
      </c>
      <c r="G1502" s="64">
        <f t="shared" si="83"/>
        <v>3.4</v>
      </c>
      <c r="H1502" s="64"/>
      <c r="I1502" s="78"/>
    </row>
    <row r="1503" spans="1:9" ht="30">
      <c r="A1503" s="74"/>
      <c r="B1503" s="80" t="s">
        <v>1105</v>
      </c>
      <c r="C1503" s="81" t="s">
        <v>1106</v>
      </c>
      <c r="D1503" s="74" t="s">
        <v>51</v>
      </c>
      <c r="E1503" s="78">
        <v>0.1172</v>
      </c>
      <c r="F1503" s="64">
        <f>TRUNC(23.85,2)</f>
        <v>23.85</v>
      </c>
      <c r="G1503" s="64">
        <f t="shared" si="83"/>
        <v>2.79</v>
      </c>
      <c r="H1503" s="64"/>
      <c r="I1503" s="78"/>
    </row>
    <row r="1504" spans="1:9" ht="15">
      <c r="A1504" s="74"/>
      <c r="B1504" s="80"/>
      <c r="C1504" s="81"/>
      <c r="D1504" s="74"/>
      <c r="E1504" s="78" t="s">
        <v>33</v>
      </c>
      <c r="F1504" s="64"/>
      <c r="G1504" s="64">
        <f>TRUNC(SUM(G1498:G1503),2)</f>
        <v>7.87</v>
      </c>
      <c r="H1504" s="64"/>
      <c r="I1504" s="78"/>
    </row>
    <row r="1505" spans="1:9" ht="45">
      <c r="A1505" s="262" t="s">
        <v>1141</v>
      </c>
      <c r="B1505" s="263" t="s">
        <v>1123</v>
      </c>
      <c r="C1505" s="264" t="s">
        <v>1124</v>
      </c>
      <c r="D1505" s="262" t="s">
        <v>7</v>
      </c>
      <c r="E1505" s="265">
        <v>5</v>
      </c>
      <c r="F1505" s="265">
        <f>TRUNC(F1506,2)</f>
        <v>74.459999999999994</v>
      </c>
      <c r="G1505" s="265">
        <f>TRUNC(F1505*1.2882,2)</f>
        <v>95.91</v>
      </c>
      <c r="H1505" s="265">
        <f>TRUNC(F1505*E1505,2)</f>
        <v>372.3</v>
      </c>
      <c r="I1505" s="265">
        <f>TRUNC(E1505*G1505,2)</f>
        <v>479.55</v>
      </c>
    </row>
    <row r="1506" spans="1:9" s="261" customFormat="1" ht="45">
      <c r="A1506" s="269"/>
      <c r="B1506" s="270" t="s">
        <v>1123</v>
      </c>
      <c r="C1506" s="271" t="s">
        <v>1124</v>
      </c>
      <c r="D1506" s="272" t="s">
        <v>7</v>
      </c>
      <c r="E1506" s="273">
        <v>1</v>
      </c>
      <c r="F1506" s="274">
        <f>G1513</f>
        <v>74.459999999999994</v>
      </c>
      <c r="G1506" s="274">
        <f t="shared" ref="G1506:G1512" si="84">TRUNC(E1506*F1506,2)</f>
        <v>74.459999999999994</v>
      </c>
      <c r="H1506" s="274"/>
      <c r="I1506" s="275"/>
    </row>
    <row r="1507" spans="1:9" s="261" customFormat="1" ht="15">
      <c r="A1507" s="276"/>
      <c r="B1507" s="267" t="s">
        <v>1097</v>
      </c>
      <c r="C1507" s="94" t="s">
        <v>1098</v>
      </c>
      <c r="D1507" s="266" t="s">
        <v>7</v>
      </c>
      <c r="E1507" s="95">
        <v>5.5E-2</v>
      </c>
      <c r="F1507" s="268">
        <f>TRUNC(2.13,2)</f>
        <v>2.13</v>
      </c>
      <c r="G1507" s="268">
        <f t="shared" si="84"/>
        <v>0.11</v>
      </c>
      <c r="H1507" s="268"/>
      <c r="I1507" s="277"/>
    </row>
    <row r="1508" spans="1:9" s="261" customFormat="1" ht="15">
      <c r="A1508" s="276"/>
      <c r="B1508" s="267" t="s">
        <v>1099</v>
      </c>
      <c r="C1508" s="94" t="s">
        <v>1100</v>
      </c>
      <c r="D1508" s="266" t="s">
        <v>7</v>
      </c>
      <c r="E1508" s="95">
        <v>6.2E-2</v>
      </c>
      <c r="F1508" s="268">
        <f>TRUNC(86.3,2)</f>
        <v>86.3</v>
      </c>
      <c r="G1508" s="268">
        <f t="shared" si="84"/>
        <v>5.35</v>
      </c>
      <c r="H1508" s="268"/>
      <c r="I1508" s="277"/>
    </row>
    <row r="1509" spans="1:9" s="261" customFormat="1" ht="15">
      <c r="A1509" s="276"/>
      <c r="B1509" s="267" t="s">
        <v>1125</v>
      </c>
      <c r="C1509" s="94" t="s">
        <v>1126</v>
      </c>
      <c r="D1509" s="266" t="s">
        <v>7</v>
      </c>
      <c r="E1509" s="95">
        <v>0.23100000000000001</v>
      </c>
      <c r="F1509" s="268">
        <f>TRUNC(24.86,2)</f>
        <v>24.86</v>
      </c>
      <c r="G1509" s="268">
        <f t="shared" si="84"/>
        <v>5.74</v>
      </c>
      <c r="H1509" s="268"/>
      <c r="I1509" s="277"/>
    </row>
    <row r="1510" spans="1:9" s="261" customFormat="1" ht="15">
      <c r="A1510" s="276"/>
      <c r="B1510" s="267" t="s">
        <v>1127</v>
      </c>
      <c r="C1510" s="94" t="s">
        <v>1128</v>
      </c>
      <c r="D1510" s="266" t="s">
        <v>7</v>
      </c>
      <c r="E1510" s="95">
        <v>1</v>
      </c>
      <c r="F1510" s="268">
        <f>TRUNC(43.79,2)</f>
        <v>43.79</v>
      </c>
      <c r="G1510" s="268">
        <f t="shared" si="84"/>
        <v>43.79</v>
      </c>
      <c r="H1510" s="268"/>
      <c r="I1510" s="277"/>
    </row>
    <row r="1511" spans="1:9" s="261" customFormat="1" ht="15">
      <c r="A1511" s="276"/>
      <c r="B1511" s="267" t="s">
        <v>146</v>
      </c>
      <c r="C1511" s="94" t="s">
        <v>147</v>
      </c>
      <c r="D1511" s="266" t="s">
        <v>51</v>
      </c>
      <c r="E1511" s="95">
        <v>0.36799999999999999</v>
      </c>
      <c r="F1511" s="64">
        <f>TRUNC(29.09,2)</f>
        <v>29.09</v>
      </c>
      <c r="G1511" s="268">
        <f t="shared" si="84"/>
        <v>10.7</v>
      </c>
      <c r="H1511" s="268"/>
      <c r="I1511" s="277"/>
    </row>
    <row r="1512" spans="1:9" s="261" customFormat="1" ht="30">
      <c r="A1512" s="276"/>
      <c r="B1512" s="267" t="s">
        <v>1105</v>
      </c>
      <c r="C1512" s="94" t="s">
        <v>1106</v>
      </c>
      <c r="D1512" s="266" t="s">
        <v>51</v>
      </c>
      <c r="E1512" s="95">
        <v>0.36799999999999999</v>
      </c>
      <c r="F1512" s="64">
        <f>TRUNC(23.85,2)</f>
        <v>23.85</v>
      </c>
      <c r="G1512" s="268">
        <f t="shared" si="84"/>
        <v>8.77</v>
      </c>
      <c r="H1512" s="268"/>
      <c r="I1512" s="277"/>
    </row>
    <row r="1513" spans="1:9" s="261" customFormat="1" ht="15">
      <c r="A1513" s="278"/>
      <c r="B1513" s="279"/>
      <c r="C1513" s="280"/>
      <c r="D1513" s="281"/>
      <c r="E1513" s="282" t="s">
        <v>33</v>
      </c>
      <c r="F1513" s="283"/>
      <c r="G1513" s="283">
        <f>TRUNC(SUM(G1507:G1512),2)</f>
        <v>74.459999999999994</v>
      </c>
      <c r="H1513" s="283"/>
      <c r="I1513" s="284"/>
    </row>
    <row r="1514" spans="1:9" ht="45">
      <c r="A1514" s="170" t="s">
        <v>1142</v>
      </c>
      <c r="B1514" s="248" t="s">
        <v>1129</v>
      </c>
      <c r="C1514" s="249" t="s">
        <v>1130</v>
      </c>
      <c r="D1514" s="170" t="s">
        <v>7</v>
      </c>
      <c r="E1514" s="250">
        <v>5</v>
      </c>
      <c r="F1514" s="250">
        <f>TRUNC(F1515,2)</f>
        <v>30.21</v>
      </c>
      <c r="G1514" s="250">
        <f>TRUNC(F1514*1.2882,2)</f>
        <v>38.909999999999997</v>
      </c>
      <c r="H1514" s="250">
        <f>TRUNC(F1514*E1514,2)</f>
        <v>151.05000000000001</v>
      </c>
      <c r="I1514" s="250">
        <f>TRUNC(E1514*G1514,2)</f>
        <v>194.55</v>
      </c>
    </row>
    <row r="1515" spans="1:9" ht="45">
      <c r="A1515" s="74"/>
      <c r="B1515" s="80" t="s">
        <v>1129</v>
      </c>
      <c r="C1515" s="81" t="s">
        <v>1130</v>
      </c>
      <c r="D1515" s="74" t="s">
        <v>7</v>
      </c>
      <c r="E1515" s="78">
        <v>1</v>
      </c>
      <c r="F1515" s="64">
        <f>G1522</f>
        <v>30.21</v>
      </c>
      <c r="G1515" s="64">
        <f t="shared" ref="G1515:G1521" si="85">TRUNC(E1515*F1515,2)</f>
        <v>30.21</v>
      </c>
      <c r="H1515" s="64"/>
      <c r="I1515" s="78"/>
    </row>
    <row r="1516" spans="1:9" ht="15">
      <c r="A1516" s="74"/>
      <c r="B1516" s="80" t="s">
        <v>1097</v>
      </c>
      <c r="C1516" s="81" t="s">
        <v>1098</v>
      </c>
      <c r="D1516" s="74" t="s">
        <v>7</v>
      </c>
      <c r="E1516" s="78">
        <v>3.4000000000000002E-2</v>
      </c>
      <c r="F1516" s="64">
        <f>TRUNC(2.13,2)</f>
        <v>2.13</v>
      </c>
      <c r="G1516" s="64">
        <f t="shared" si="85"/>
        <v>7.0000000000000007E-2</v>
      </c>
      <c r="H1516" s="64"/>
      <c r="I1516" s="78"/>
    </row>
    <row r="1517" spans="1:9" ht="15">
      <c r="A1517" s="74"/>
      <c r="B1517" s="80" t="s">
        <v>1099</v>
      </c>
      <c r="C1517" s="81" t="s">
        <v>1100</v>
      </c>
      <c r="D1517" s="74" t="s">
        <v>7</v>
      </c>
      <c r="E1517" s="78">
        <v>2.7E-2</v>
      </c>
      <c r="F1517" s="64">
        <f>TRUNC(86.3,2)</f>
        <v>86.3</v>
      </c>
      <c r="G1517" s="64">
        <f t="shared" si="85"/>
        <v>2.33</v>
      </c>
      <c r="H1517" s="64"/>
      <c r="I1517" s="78"/>
    </row>
    <row r="1518" spans="1:9" ht="15">
      <c r="A1518" s="74"/>
      <c r="B1518" s="80" t="s">
        <v>1125</v>
      </c>
      <c r="C1518" s="81" t="s">
        <v>1126</v>
      </c>
      <c r="D1518" s="74" t="s">
        <v>7</v>
      </c>
      <c r="E1518" s="78">
        <v>0.107</v>
      </c>
      <c r="F1518" s="64">
        <f>TRUNC(24.86,2)</f>
        <v>24.86</v>
      </c>
      <c r="G1518" s="64">
        <f t="shared" si="85"/>
        <v>2.66</v>
      </c>
      <c r="H1518" s="64"/>
      <c r="I1518" s="78"/>
    </row>
    <row r="1519" spans="1:9" ht="15">
      <c r="A1519" s="74"/>
      <c r="B1519" s="80" t="s">
        <v>1131</v>
      </c>
      <c r="C1519" s="81" t="s">
        <v>1132</v>
      </c>
      <c r="D1519" s="74" t="s">
        <v>7</v>
      </c>
      <c r="E1519" s="78">
        <v>1</v>
      </c>
      <c r="F1519" s="64">
        <f>TRUNC(13.14,2)</f>
        <v>13.14</v>
      </c>
      <c r="G1519" s="64">
        <f t="shared" si="85"/>
        <v>13.14</v>
      </c>
      <c r="H1519" s="64"/>
      <c r="I1519" s="78"/>
    </row>
    <row r="1520" spans="1:9" ht="15">
      <c r="A1520" s="74"/>
      <c r="B1520" s="80" t="s">
        <v>146</v>
      </c>
      <c r="C1520" s="81" t="s">
        <v>147</v>
      </c>
      <c r="D1520" s="74" t="s">
        <v>51</v>
      </c>
      <c r="E1520" s="78">
        <v>0.22700000000000001</v>
      </c>
      <c r="F1520" s="64">
        <f>TRUNC(29.09,2)</f>
        <v>29.09</v>
      </c>
      <c r="G1520" s="64">
        <f t="shared" si="85"/>
        <v>6.6</v>
      </c>
      <c r="H1520" s="64"/>
      <c r="I1520" s="78"/>
    </row>
    <row r="1521" spans="1:9" ht="30">
      <c r="A1521" s="74"/>
      <c r="B1521" s="80" t="s">
        <v>1105</v>
      </c>
      <c r="C1521" s="81" t="s">
        <v>1106</v>
      </c>
      <c r="D1521" s="74" t="s">
        <v>51</v>
      </c>
      <c r="E1521" s="78">
        <v>0.22700000000000001</v>
      </c>
      <c r="F1521" s="64">
        <f>TRUNC(23.85,2)</f>
        <v>23.85</v>
      </c>
      <c r="G1521" s="64">
        <f t="shared" si="85"/>
        <v>5.41</v>
      </c>
      <c r="H1521" s="64"/>
      <c r="I1521" s="78"/>
    </row>
    <row r="1522" spans="1:9" ht="15">
      <c r="A1522" s="74"/>
      <c r="B1522" s="80"/>
      <c r="C1522" s="81"/>
      <c r="D1522" s="74"/>
      <c r="E1522" s="78" t="s">
        <v>33</v>
      </c>
      <c r="F1522" s="64"/>
      <c r="G1522" s="64">
        <f>TRUNC(SUM(G1516:G1521),2)</f>
        <v>30.21</v>
      </c>
      <c r="H1522" s="64"/>
      <c r="I1522" s="78"/>
    </row>
    <row r="1523" spans="1:9" ht="45">
      <c r="A1523" s="68" t="s">
        <v>1143</v>
      </c>
      <c r="B1523" s="98" t="s">
        <v>1133</v>
      </c>
      <c r="C1523" s="23" t="s">
        <v>1134</v>
      </c>
      <c r="D1523" s="68" t="s">
        <v>7</v>
      </c>
      <c r="E1523" s="24">
        <v>1</v>
      </c>
      <c r="F1523" s="24">
        <f>TRUNC(F1524,2)</f>
        <v>17.16</v>
      </c>
      <c r="G1523" s="24">
        <f>TRUNC(F1523*1.2882,2)</f>
        <v>22.1</v>
      </c>
      <c r="H1523" s="24">
        <f>TRUNC(F1523*E1523,2)</f>
        <v>17.16</v>
      </c>
      <c r="I1523" s="24">
        <f>TRUNC(E1523*G1523,2)</f>
        <v>22.1</v>
      </c>
    </row>
    <row r="1524" spans="1:9" ht="45">
      <c r="A1524" s="74"/>
      <c r="B1524" s="80" t="s">
        <v>1133</v>
      </c>
      <c r="C1524" s="81" t="s">
        <v>1134</v>
      </c>
      <c r="D1524" s="74" t="s">
        <v>7</v>
      </c>
      <c r="E1524" s="78">
        <v>1</v>
      </c>
      <c r="F1524" s="64">
        <f>G1531</f>
        <v>17.16</v>
      </c>
      <c r="G1524" s="64">
        <f t="shared" ref="G1524:G1530" si="86">TRUNC(E1524*F1524,2)</f>
        <v>17.16</v>
      </c>
      <c r="H1524" s="64"/>
      <c r="I1524" s="78"/>
    </row>
    <row r="1525" spans="1:9" ht="15">
      <c r="A1525" s="74"/>
      <c r="B1525" s="80" t="s">
        <v>1097</v>
      </c>
      <c r="C1525" s="81" t="s">
        <v>1098</v>
      </c>
      <c r="D1525" s="74" t="s">
        <v>7</v>
      </c>
      <c r="E1525" s="78">
        <v>2.4E-2</v>
      </c>
      <c r="F1525" s="64">
        <f>TRUNC(2.13,2)</f>
        <v>2.13</v>
      </c>
      <c r="G1525" s="64">
        <f t="shared" si="86"/>
        <v>0.05</v>
      </c>
      <c r="H1525" s="64"/>
      <c r="I1525" s="78"/>
    </row>
    <row r="1526" spans="1:9" ht="15">
      <c r="A1526" s="74"/>
      <c r="B1526" s="80" t="s">
        <v>1099</v>
      </c>
      <c r="C1526" s="81" t="s">
        <v>1100</v>
      </c>
      <c r="D1526" s="74" t="s">
        <v>7</v>
      </c>
      <c r="E1526" s="78">
        <v>1.4E-2</v>
      </c>
      <c r="F1526" s="64">
        <f>TRUNC(86.3,2)</f>
        <v>86.3</v>
      </c>
      <c r="G1526" s="64">
        <f t="shared" si="86"/>
        <v>1.2</v>
      </c>
      <c r="H1526" s="64"/>
      <c r="I1526" s="78"/>
    </row>
    <row r="1527" spans="1:9" ht="15">
      <c r="A1527" s="74"/>
      <c r="B1527" s="80" t="s">
        <v>1125</v>
      </c>
      <c r="C1527" s="81" t="s">
        <v>1126</v>
      </c>
      <c r="D1527" s="74" t="s">
        <v>7</v>
      </c>
      <c r="E1527" s="78">
        <v>0.06</v>
      </c>
      <c r="F1527" s="64">
        <f>TRUNC(24.86,2)</f>
        <v>24.86</v>
      </c>
      <c r="G1527" s="64">
        <f t="shared" si="86"/>
        <v>1.49</v>
      </c>
      <c r="H1527" s="64"/>
      <c r="I1527" s="78"/>
    </row>
    <row r="1528" spans="1:9" ht="15">
      <c r="A1528" s="74"/>
      <c r="B1528" s="80" t="s">
        <v>1135</v>
      </c>
      <c r="C1528" s="81" t="s">
        <v>1136</v>
      </c>
      <c r="D1528" s="74" t="s">
        <v>7</v>
      </c>
      <c r="E1528" s="78">
        <v>1</v>
      </c>
      <c r="F1528" s="64">
        <f>TRUNC(6.01,2)</f>
        <v>6.01</v>
      </c>
      <c r="G1528" s="64">
        <f t="shared" si="86"/>
        <v>6.01</v>
      </c>
      <c r="H1528" s="64"/>
      <c r="I1528" s="78"/>
    </row>
    <row r="1529" spans="1:9" ht="15">
      <c r="A1529" s="74"/>
      <c r="B1529" s="80" t="s">
        <v>146</v>
      </c>
      <c r="C1529" s="81" t="s">
        <v>147</v>
      </c>
      <c r="D1529" s="74" t="s">
        <v>51</v>
      </c>
      <c r="E1529" s="78">
        <v>0.159</v>
      </c>
      <c r="F1529" s="64">
        <f>TRUNC(29.09,2)</f>
        <v>29.09</v>
      </c>
      <c r="G1529" s="64">
        <f t="shared" si="86"/>
        <v>4.62</v>
      </c>
      <c r="H1529" s="64"/>
      <c r="I1529" s="78"/>
    </row>
    <row r="1530" spans="1:9" ht="30">
      <c r="A1530" s="74"/>
      <c r="B1530" s="80" t="s">
        <v>1105</v>
      </c>
      <c r="C1530" s="81" t="s">
        <v>1106</v>
      </c>
      <c r="D1530" s="74" t="s">
        <v>51</v>
      </c>
      <c r="E1530" s="78">
        <v>0.159</v>
      </c>
      <c r="F1530" s="64">
        <f>TRUNC(23.85,2)</f>
        <v>23.85</v>
      </c>
      <c r="G1530" s="64">
        <f t="shared" si="86"/>
        <v>3.79</v>
      </c>
      <c r="H1530" s="64"/>
      <c r="I1530" s="78"/>
    </row>
    <row r="1531" spans="1:9" ht="15">
      <c r="A1531" s="74"/>
      <c r="B1531" s="80"/>
      <c r="C1531" s="81"/>
      <c r="D1531" s="74"/>
      <c r="E1531" s="78" t="s">
        <v>33</v>
      </c>
      <c r="F1531" s="64"/>
      <c r="G1531" s="64">
        <f>TRUNC(SUM(G1525:G1530),2)</f>
        <v>17.16</v>
      </c>
      <c r="H1531" s="64"/>
      <c r="I1531" s="78"/>
    </row>
    <row r="1532" spans="1:9" ht="45">
      <c r="A1532" s="68" t="s">
        <v>1144</v>
      </c>
      <c r="B1532" s="98" t="s">
        <v>1137</v>
      </c>
      <c r="C1532" s="23" t="s">
        <v>1138</v>
      </c>
      <c r="D1532" s="68" t="s">
        <v>7</v>
      </c>
      <c r="E1532" s="24">
        <v>2</v>
      </c>
      <c r="F1532" s="24">
        <f>TRUNC(F1533,2)</f>
        <v>12.96</v>
      </c>
      <c r="G1532" s="24">
        <f>TRUNC(F1532*1.2882,2)</f>
        <v>16.690000000000001</v>
      </c>
      <c r="H1532" s="24">
        <f>TRUNC(F1532*E1532,2)</f>
        <v>25.92</v>
      </c>
      <c r="I1532" s="24">
        <f>TRUNC(E1532*G1532,2)</f>
        <v>33.380000000000003</v>
      </c>
    </row>
    <row r="1533" spans="1:9" ht="45">
      <c r="A1533" s="74"/>
      <c r="B1533" s="80" t="s">
        <v>1137</v>
      </c>
      <c r="C1533" s="81" t="s">
        <v>1138</v>
      </c>
      <c r="D1533" s="74" t="s">
        <v>7</v>
      </c>
      <c r="E1533" s="78">
        <v>1</v>
      </c>
      <c r="F1533" s="64">
        <f>G1540</f>
        <v>12.96</v>
      </c>
      <c r="G1533" s="64">
        <f t="shared" ref="G1533:G1539" si="87">TRUNC(E1533*F1533,2)</f>
        <v>12.96</v>
      </c>
      <c r="H1533" s="64"/>
      <c r="I1533" s="78"/>
    </row>
    <row r="1534" spans="1:9" ht="15">
      <c r="A1534" s="74"/>
      <c r="B1534" s="80" t="s">
        <v>1097</v>
      </c>
      <c r="C1534" s="81" t="s">
        <v>1098</v>
      </c>
      <c r="D1534" s="74" t="s">
        <v>7</v>
      </c>
      <c r="E1534" s="78">
        <v>2.4E-2</v>
      </c>
      <c r="F1534" s="64">
        <f>TRUNC(2.13,2)</f>
        <v>2.13</v>
      </c>
      <c r="G1534" s="64">
        <f t="shared" si="87"/>
        <v>0.05</v>
      </c>
      <c r="H1534" s="64"/>
      <c r="I1534" s="78"/>
    </row>
    <row r="1535" spans="1:9" ht="15">
      <c r="A1535" s="74"/>
      <c r="B1535" s="80" t="s">
        <v>1099</v>
      </c>
      <c r="C1535" s="81" t="s">
        <v>1100</v>
      </c>
      <c r="D1535" s="74" t="s">
        <v>7</v>
      </c>
      <c r="E1535" s="78">
        <v>1.4E-2</v>
      </c>
      <c r="F1535" s="64">
        <f>TRUNC(86.3,2)</f>
        <v>86.3</v>
      </c>
      <c r="G1535" s="64">
        <f t="shared" si="87"/>
        <v>1.2</v>
      </c>
      <c r="H1535" s="64"/>
      <c r="I1535" s="78"/>
    </row>
    <row r="1536" spans="1:9" ht="15">
      <c r="A1536" s="74"/>
      <c r="B1536" s="80" t="s">
        <v>1125</v>
      </c>
      <c r="C1536" s="81" t="s">
        <v>1126</v>
      </c>
      <c r="D1536" s="74" t="s">
        <v>7</v>
      </c>
      <c r="E1536" s="78">
        <v>0.06</v>
      </c>
      <c r="F1536" s="64">
        <f>TRUNC(24.86,2)</f>
        <v>24.86</v>
      </c>
      <c r="G1536" s="64">
        <f t="shared" si="87"/>
        <v>1.49</v>
      </c>
      <c r="H1536" s="64"/>
      <c r="I1536" s="78"/>
    </row>
    <row r="1537" spans="1:9" ht="15">
      <c r="A1537" s="74"/>
      <c r="B1537" s="80" t="s">
        <v>1139</v>
      </c>
      <c r="C1537" s="81" t="s">
        <v>1140</v>
      </c>
      <c r="D1537" s="74" t="s">
        <v>7</v>
      </c>
      <c r="E1537" s="78">
        <v>1</v>
      </c>
      <c r="F1537" s="64">
        <f>TRUNC(1.81,2)</f>
        <v>1.81</v>
      </c>
      <c r="G1537" s="64">
        <f t="shared" si="87"/>
        <v>1.81</v>
      </c>
      <c r="H1537" s="64"/>
      <c r="I1537" s="78"/>
    </row>
    <row r="1538" spans="1:9" ht="15">
      <c r="A1538" s="74"/>
      <c r="B1538" s="80" t="s">
        <v>146</v>
      </c>
      <c r="C1538" s="81" t="s">
        <v>147</v>
      </c>
      <c r="D1538" s="74" t="s">
        <v>51</v>
      </c>
      <c r="E1538" s="78">
        <v>0.159</v>
      </c>
      <c r="F1538" s="64">
        <f>TRUNC(29.09,2)</f>
        <v>29.09</v>
      </c>
      <c r="G1538" s="64">
        <f t="shared" si="87"/>
        <v>4.62</v>
      </c>
      <c r="H1538" s="64"/>
      <c r="I1538" s="78"/>
    </row>
    <row r="1539" spans="1:9" ht="30">
      <c r="A1539" s="74"/>
      <c r="B1539" s="80" t="s">
        <v>1105</v>
      </c>
      <c r="C1539" s="81" t="s">
        <v>1106</v>
      </c>
      <c r="D1539" s="74" t="s">
        <v>51</v>
      </c>
      <c r="E1539" s="78">
        <v>0.159</v>
      </c>
      <c r="F1539" s="64">
        <f>TRUNC(23.85,2)</f>
        <v>23.85</v>
      </c>
      <c r="G1539" s="64">
        <f t="shared" si="87"/>
        <v>3.79</v>
      </c>
      <c r="H1539" s="64"/>
      <c r="I1539" s="78"/>
    </row>
    <row r="1540" spans="1:9" ht="15">
      <c r="A1540" s="74"/>
      <c r="B1540" s="80"/>
      <c r="C1540" s="81"/>
      <c r="D1540" s="74"/>
      <c r="E1540" s="78" t="s">
        <v>33</v>
      </c>
      <c r="F1540" s="64"/>
      <c r="G1540" s="64">
        <f>TRUNC(SUM(G1534:G1539),2)</f>
        <v>12.96</v>
      </c>
      <c r="H1540" s="64"/>
      <c r="I1540" s="78"/>
    </row>
    <row r="1541" spans="1:9" ht="30">
      <c r="A1541" s="68" t="s">
        <v>1145</v>
      </c>
      <c r="B1541" s="98" t="s">
        <v>1146</v>
      </c>
      <c r="C1541" s="23" t="s">
        <v>1147</v>
      </c>
      <c r="D1541" s="68" t="s">
        <v>7</v>
      </c>
      <c r="E1541" s="24">
        <v>4</v>
      </c>
      <c r="F1541" s="24">
        <f>TRUNC(F1542,2)</f>
        <v>22.94</v>
      </c>
      <c r="G1541" s="24">
        <f>TRUNC(F1541*1.2882,2)</f>
        <v>29.55</v>
      </c>
      <c r="H1541" s="24">
        <f>TRUNC(F1541*E1541,2)</f>
        <v>91.76</v>
      </c>
      <c r="I1541" s="24">
        <f>TRUNC(E1541*G1541,2)</f>
        <v>118.2</v>
      </c>
    </row>
    <row r="1542" spans="1:9" ht="30">
      <c r="A1542" s="74"/>
      <c r="B1542" s="80" t="s">
        <v>1146</v>
      </c>
      <c r="C1542" s="81" t="s">
        <v>1147</v>
      </c>
      <c r="D1542" s="74" t="s">
        <v>7</v>
      </c>
      <c r="E1542" s="78">
        <v>1</v>
      </c>
      <c r="F1542" s="64">
        <f>G1549</f>
        <v>22.94</v>
      </c>
      <c r="G1542" s="64">
        <f t="shared" ref="G1542:G1548" si="88">TRUNC(E1542*F1542,2)</f>
        <v>22.94</v>
      </c>
      <c r="H1542" s="64"/>
      <c r="I1542" s="78"/>
    </row>
    <row r="1543" spans="1:9" ht="15">
      <c r="A1543" s="74"/>
      <c r="B1543" s="80" t="s">
        <v>1097</v>
      </c>
      <c r="C1543" s="81" t="s">
        <v>1098</v>
      </c>
      <c r="D1543" s="74" t="s">
        <v>7</v>
      </c>
      <c r="E1543" s="78">
        <v>1.77E-2</v>
      </c>
      <c r="F1543" s="64">
        <f>TRUNC(2.13,2)</f>
        <v>2.13</v>
      </c>
      <c r="G1543" s="64">
        <f t="shared" si="88"/>
        <v>0.03</v>
      </c>
      <c r="H1543" s="64"/>
      <c r="I1543" s="78"/>
    </row>
    <row r="1544" spans="1:9" ht="15">
      <c r="A1544" s="74"/>
      <c r="B1544" s="80" t="s">
        <v>1099</v>
      </c>
      <c r="C1544" s="81" t="s">
        <v>1100</v>
      </c>
      <c r="D1544" s="74" t="s">
        <v>7</v>
      </c>
      <c r="E1544" s="78">
        <v>2.0500000000000001E-2</v>
      </c>
      <c r="F1544" s="64">
        <f>TRUNC(86.3,2)</f>
        <v>86.3</v>
      </c>
      <c r="G1544" s="64">
        <f t="shared" si="88"/>
        <v>1.76</v>
      </c>
      <c r="H1544" s="64"/>
      <c r="I1544" s="78"/>
    </row>
    <row r="1545" spans="1:9" ht="30">
      <c r="A1545" s="74"/>
      <c r="B1545" s="80" t="s">
        <v>1148</v>
      </c>
      <c r="C1545" s="81" t="s">
        <v>1149</v>
      </c>
      <c r="D1545" s="74" t="s">
        <v>7</v>
      </c>
      <c r="E1545" s="78">
        <v>1</v>
      </c>
      <c r="F1545" s="64">
        <f>TRUNC(15.83,2)</f>
        <v>15.83</v>
      </c>
      <c r="G1545" s="64">
        <f t="shared" si="88"/>
        <v>15.83</v>
      </c>
      <c r="H1545" s="64"/>
      <c r="I1545" s="78"/>
    </row>
    <row r="1546" spans="1:9" ht="15">
      <c r="A1546" s="74"/>
      <c r="B1546" s="80" t="s">
        <v>1103</v>
      </c>
      <c r="C1546" s="81" t="s">
        <v>1104</v>
      </c>
      <c r="D1546" s="74" t="s">
        <v>7</v>
      </c>
      <c r="E1546" s="78">
        <v>1.5299999999999999E-2</v>
      </c>
      <c r="F1546" s="64">
        <f>TRUNC(76.17,2)</f>
        <v>76.17</v>
      </c>
      <c r="G1546" s="64">
        <f t="shared" si="88"/>
        <v>1.1599999999999999</v>
      </c>
      <c r="H1546" s="64"/>
      <c r="I1546" s="78"/>
    </row>
    <row r="1547" spans="1:9" ht="15">
      <c r="A1547" s="74"/>
      <c r="B1547" s="80" t="s">
        <v>146</v>
      </c>
      <c r="C1547" s="81" t="s">
        <v>147</v>
      </c>
      <c r="D1547" s="74" t="s">
        <v>51</v>
      </c>
      <c r="E1547" s="78">
        <v>7.8799999999999995E-2</v>
      </c>
      <c r="F1547" s="64">
        <f>TRUNC(29.09,2)</f>
        <v>29.09</v>
      </c>
      <c r="G1547" s="64">
        <f t="shared" si="88"/>
        <v>2.29</v>
      </c>
      <c r="H1547" s="64"/>
      <c r="I1547" s="78"/>
    </row>
    <row r="1548" spans="1:9" ht="30">
      <c r="A1548" s="74"/>
      <c r="B1548" s="80" t="s">
        <v>1105</v>
      </c>
      <c r="C1548" s="81" t="s">
        <v>1106</v>
      </c>
      <c r="D1548" s="74" t="s">
        <v>51</v>
      </c>
      <c r="E1548" s="78">
        <v>7.8799999999999995E-2</v>
      </c>
      <c r="F1548" s="64">
        <f>TRUNC(23.85,2)</f>
        <v>23.85</v>
      </c>
      <c r="G1548" s="64">
        <f t="shared" si="88"/>
        <v>1.87</v>
      </c>
      <c r="H1548" s="64"/>
      <c r="I1548" s="78"/>
    </row>
    <row r="1549" spans="1:9" ht="15">
      <c r="A1549" s="74"/>
      <c r="B1549" s="80"/>
      <c r="C1549" s="81"/>
      <c r="D1549" s="74"/>
      <c r="E1549" s="78" t="s">
        <v>33</v>
      </c>
      <c r="F1549" s="64"/>
      <c r="G1549" s="64">
        <f>TRUNC(SUM(G1543:G1548),2)</f>
        <v>22.94</v>
      </c>
      <c r="H1549" s="64"/>
      <c r="I1549" s="78"/>
    </row>
    <row r="1550" spans="1:9" ht="45">
      <c r="A1550" s="223" t="s">
        <v>1166</v>
      </c>
      <c r="B1550" s="98" t="s">
        <v>1150</v>
      </c>
      <c r="C1550" s="23" t="s">
        <v>1151</v>
      </c>
      <c r="D1550" s="68" t="s">
        <v>7</v>
      </c>
      <c r="E1550" s="24">
        <v>6</v>
      </c>
      <c r="F1550" s="24">
        <f>TRUNC(F1551,2)</f>
        <v>26.03</v>
      </c>
      <c r="G1550" s="24">
        <f>TRUNC(F1550*1.2882,2)</f>
        <v>33.53</v>
      </c>
      <c r="H1550" s="24">
        <f>TRUNC(F1550*E1550,2)</f>
        <v>156.18</v>
      </c>
      <c r="I1550" s="24">
        <f>TRUNC(E1550*G1550,2)</f>
        <v>201.18</v>
      </c>
    </row>
    <row r="1551" spans="1:9" ht="45">
      <c r="A1551" s="74"/>
      <c r="B1551" s="80" t="s">
        <v>1150</v>
      </c>
      <c r="C1551" s="81" t="s">
        <v>1151</v>
      </c>
      <c r="D1551" s="74" t="s">
        <v>7</v>
      </c>
      <c r="E1551" s="78">
        <v>1</v>
      </c>
      <c r="F1551" s="64">
        <f>G1558</f>
        <v>26.03</v>
      </c>
      <c r="G1551" s="64">
        <f t="shared" ref="G1551:G1557" si="89">TRUNC(E1551*F1551,2)</f>
        <v>26.03</v>
      </c>
      <c r="H1551" s="64"/>
      <c r="I1551" s="78"/>
    </row>
    <row r="1552" spans="1:9" ht="15">
      <c r="A1552" s="74"/>
      <c r="B1552" s="80" t="s">
        <v>1097</v>
      </c>
      <c r="C1552" s="81" t="s">
        <v>1098</v>
      </c>
      <c r="D1552" s="74" t="s">
        <v>7</v>
      </c>
      <c r="E1552" s="78">
        <v>2.06E-2</v>
      </c>
      <c r="F1552" s="64">
        <f>TRUNC(2.13,2)</f>
        <v>2.13</v>
      </c>
      <c r="G1552" s="64">
        <f t="shared" si="89"/>
        <v>0.04</v>
      </c>
      <c r="H1552" s="64"/>
      <c r="I1552" s="78"/>
    </row>
    <row r="1553" spans="1:9" ht="15">
      <c r="A1553" s="74"/>
      <c r="B1553" s="80" t="s">
        <v>1099</v>
      </c>
      <c r="C1553" s="81" t="s">
        <v>1100</v>
      </c>
      <c r="D1553" s="74" t="s">
        <v>7</v>
      </c>
      <c r="E1553" s="78">
        <v>2.5999999999999999E-2</v>
      </c>
      <c r="F1553" s="64">
        <f>TRUNC(86.3,2)</f>
        <v>86.3</v>
      </c>
      <c r="G1553" s="64">
        <f t="shared" si="89"/>
        <v>2.2400000000000002</v>
      </c>
      <c r="H1553" s="64"/>
      <c r="I1553" s="78"/>
    </row>
    <row r="1554" spans="1:9" ht="15">
      <c r="A1554" s="74"/>
      <c r="B1554" s="80" t="s">
        <v>1103</v>
      </c>
      <c r="C1554" s="81" t="s">
        <v>1104</v>
      </c>
      <c r="D1554" s="74" t="s">
        <v>7</v>
      </c>
      <c r="E1554" s="78">
        <v>1.8800000000000001E-2</v>
      </c>
      <c r="F1554" s="64">
        <f>TRUNC(76.17,2)</f>
        <v>76.17</v>
      </c>
      <c r="G1554" s="64">
        <f t="shared" si="89"/>
        <v>1.43</v>
      </c>
      <c r="H1554" s="64"/>
      <c r="I1554" s="78"/>
    </row>
    <row r="1555" spans="1:9" ht="30">
      <c r="A1555" s="74"/>
      <c r="B1555" s="80" t="s">
        <v>1152</v>
      </c>
      <c r="C1555" s="81" t="s">
        <v>1153</v>
      </c>
      <c r="D1555" s="74" t="s">
        <v>7</v>
      </c>
      <c r="E1555" s="78">
        <v>1</v>
      </c>
      <c r="F1555" s="64">
        <v>17.440000000000001</v>
      </c>
      <c r="G1555" s="64">
        <f t="shared" si="89"/>
        <v>17.440000000000001</v>
      </c>
      <c r="H1555" s="64"/>
      <c r="I1555" s="78"/>
    </row>
    <row r="1556" spans="1:9" ht="15">
      <c r="A1556" s="74"/>
      <c r="B1556" s="80" t="s">
        <v>146</v>
      </c>
      <c r="C1556" s="81" t="s">
        <v>147</v>
      </c>
      <c r="D1556" s="74" t="s">
        <v>51</v>
      </c>
      <c r="E1556" s="78">
        <v>9.2399999999999996E-2</v>
      </c>
      <c r="F1556" s="64">
        <f>TRUNC(29.09,2)</f>
        <v>29.09</v>
      </c>
      <c r="G1556" s="64">
        <f t="shared" si="89"/>
        <v>2.68</v>
      </c>
      <c r="H1556" s="64"/>
      <c r="I1556" s="78"/>
    </row>
    <row r="1557" spans="1:9" ht="30">
      <c r="A1557" s="74"/>
      <c r="B1557" s="80" t="s">
        <v>1105</v>
      </c>
      <c r="C1557" s="81" t="s">
        <v>1106</v>
      </c>
      <c r="D1557" s="74" t="s">
        <v>51</v>
      </c>
      <c r="E1557" s="78">
        <v>9.2399999999999996E-2</v>
      </c>
      <c r="F1557" s="64">
        <f>TRUNC(23.85,2)</f>
        <v>23.85</v>
      </c>
      <c r="G1557" s="64">
        <f t="shared" si="89"/>
        <v>2.2000000000000002</v>
      </c>
      <c r="H1557" s="64"/>
      <c r="I1557" s="78"/>
    </row>
    <row r="1558" spans="1:9" ht="15">
      <c r="A1558" s="74"/>
      <c r="B1558" s="80"/>
      <c r="C1558" s="81"/>
      <c r="D1558" s="74"/>
      <c r="E1558" s="78" t="s">
        <v>33</v>
      </c>
      <c r="F1558" s="64"/>
      <c r="G1558" s="64">
        <f>TRUNC(SUM(G1552:G1557),2)</f>
        <v>26.03</v>
      </c>
      <c r="H1558" s="64"/>
      <c r="I1558" s="78"/>
    </row>
    <row r="1559" spans="1:9" ht="45">
      <c r="A1559" s="68" t="s">
        <v>1167</v>
      </c>
      <c r="B1559" s="98" t="s">
        <v>1154</v>
      </c>
      <c r="C1559" s="23" t="s">
        <v>1155</v>
      </c>
      <c r="D1559" s="68" t="s">
        <v>7</v>
      </c>
      <c r="E1559" s="24">
        <v>6</v>
      </c>
      <c r="F1559" s="24">
        <f>TRUNC(F1560,2)</f>
        <v>10.3</v>
      </c>
      <c r="G1559" s="24">
        <f>TRUNC(F1559*1.2882,2)</f>
        <v>13.26</v>
      </c>
      <c r="H1559" s="24">
        <f>TRUNC(F1559*E1559,2)</f>
        <v>61.8</v>
      </c>
      <c r="I1559" s="24">
        <f>TRUNC(E1559*G1559,2)</f>
        <v>79.56</v>
      </c>
    </row>
    <row r="1560" spans="1:9" ht="45">
      <c r="A1560" s="74"/>
      <c r="B1560" s="80" t="s">
        <v>1154</v>
      </c>
      <c r="C1560" s="81" t="s">
        <v>1155</v>
      </c>
      <c r="D1560" s="74" t="s">
        <v>7</v>
      </c>
      <c r="E1560" s="78">
        <v>1</v>
      </c>
      <c r="F1560" s="64">
        <f>G1567</f>
        <v>10.3</v>
      </c>
      <c r="G1560" s="64">
        <f t="shared" ref="G1560:G1566" si="90">TRUNC(E1560*F1560,2)</f>
        <v>10.3</v>
      </c>
      <c r="H1560" s="64"/>
      <c r="I1560" s="78"/>
    </row>
    <row r="1561" spans="1:9" ht="15">
      <c r="A1561" s="74"/>
      <c r="B1561" s="80" t="s">
        <v>1097</v>
      </c>
      <c r="C1561" s="81" t="s">
        <v>1098</v>
      </c>
      <c r="D1561" s="74" t="s">
        <v>7</v>
      </c>
      <c r="E1561" s="78">
        <v>1.44E-2</v>
      </c>
      <c r="F1561" s="64">
        <f>TRUNC(2.13,2)</f>
        <v>2.13</v>
      </c>
      <c r="G1561" s="64">
        <f t="shared" si="90"/>
        <v>0.03</v>
      </c>
      <c r="H1561" s="64"/>
      <c r="I1561" s="78"/>
    </row>
    <row r="1562" spans="1:9" ht="15">
      <c r="A1562" s="74"/>
      <c r="B1562" s="80" t="s">
        <v>1099</v>
      </c>
      <c r="C1562" s="81" t="s">
        <v>1100</v>
      </c>
      <c r="D1562" s="74" t="s">
        <v>7</v>
      </c>
      <c r="E1562" s="78">
        <v>1.2500000000000001E-2</v>
      </c>
      <c r="F1562" s="64">
        <f>TRUNC(86.3,2)</f>
        <v>86.3</v>
      </c>
      <c r="G1562" s="64">
        <f t="shared" si="90"/>
        <v>1.07</v>
      </c>
      <c r="H1562" s="64"/>
      <c r="I1562" s="78"/>
    </row>
    <row r="1563" spans="1:9" ht="15">
      <c r="A1563" s="74"/>
      <c r="B1563" s="80" t="s">
        <v>1103</v>
      </c>
      <c r="C1563" s="81" t="s">
        <v>1104</v>
      </c>
      <c r="D1563" s="74" t="s">
        <v>7</v>
      </c>
      <c r="E1563" s="78">
        <v>1.06E-2</v>
      </c>
      <c r="F1563" s="64">
        <f>TRUNC(76.17,2)</f>
        <v>76.17</v>
      </c>
      <c r="G1563" s="64">
        <f t="shared" si="90"/>
        <v>0.8</v>
      </c>
      <c r="H1563" s="64"/>
      <c r="I1563" s="78"/>
    </row>
    <row r="1564" spans="1:9" ht="30">
      <c r="A1564" s="74"/>
      <c r="B1564" s="80" t="s">
        <v>1156</v>
      </c>
      <c r="C1564" s="81" t="s">
        <v>1157</v>
      </c>
      <c r="D1564" s="74" t="s">
        <v>7</v>
      </c>
      <c r="E1564" s="78">
        <v>1</v>
      </c>
      <c r="F1564" s="64">
        <v>5.05</v>
      </c>
      <c r="G1564" s="64">
        <f t="shared" si="90"/>
        <v>5.05</v>
      </c>
      <c r="H1564" s="64"/>
      <c r="I1564" s="78"/>
    </row>
    <row r="1565" spans="1:9" ht="15">
      <c r="A1565" s="74"/>
      <c r="B1565" s="80" t="s">
        <v>146</v>
      </c>
      <c r="C1565" s="81" t="s">
        <v>147</v>
      </c>
      <c r="D1565" s="74" t="s">
        <v>51</v>
      </c>
      <c r="E1565" s="78">
        <v>6.3500000000000001E-2</v>
      </c>
      <c r="F1565" s="64">
        <f>TRUNC(29.09,2)</f>
        <v>29.09</v>
      </c>
      <c r="G1565" s="64">
        <f t="shared" si="90"/>
        <v>1.84</v>
      </c>
      <c r="H1565" s="64"/>
      <c r="I1565" s="78"/>
    </row>
    <row r="1566" spans="1:9" ht="30">
      <c r="A1566" s="74"/>
      <c r="B1566" s="80" t="s">
        <v>1105</v>
      </c>
      <c r="C1566" s="81" t="s">
        <v>1106</v>
      </c>
      <c r="D1566" s="74" t="s">
        <v>51</v>
      </c>
      <c r="E1566" s="78">
        <v>6.3500000000000001E-2</v>
      </c>
      <c r="F1566" s="64">
        <f>TRUNC(23.85,2)</f>
        <v>23.85</v>
      </c>
      <c r="G1566" s="64">
        <f t="shared" si="90"/>
        <v>1.51</v>
      </c>
      <c r="H1566" s="64"/>
      <c r="I1566" s="78"/>
    </row>
    <row r="1567" spans="1:9" ht="15">
      <c r="A1567" s="74"/>
      <c r="B1567" s="80"/>
      <c r="C1567" s="81"/>
      <c r="D1567" s="74"/>
      <c r="E1567" s="78" t="s">
        <v>33</v>
      </c>
      <c r="F1567" s="64"/>
      <c r="G1567" s="64">
        <f>TRUNC(SUM(G1561:G1566),2)</f>
        <v>10.3</v>
      </c>
      <c r="H1567" s="64"/>
      <c r="I1567" s="78"/>
    </row>
    <row r="1568" spans="1:9" ht="45">
      <c r="A1568" s="68" t="s">
        <v>1168</v>
      </c>
      <c r="B1568" s="98" t="s">
        <v>1162</v>
      </c>
      <c r="C1568" s="23" t="s">
        <v>1163</v>
      </c>
      <c r="D1568" s="68" t="s">
        <v>7</v>
      </c>
      <c r="E1568" s="24">
        <v>18</v>
      </c>
      <c r="F1568" s="24">
        <f>TRUNC(F1569,2)</f>
        <v>7.37</v>
      </c>
      <c r="G1568" s="24">
        <f>TRUNC(F1568*1.2882,2)</f>
        <v>9.49</v>
      </c>
      <c r="H1568" s="24">
        <f>TRUNC(F1568*E1568,2)</f>
        <v>132.66</v>
      </c>
      <c r="I1568" s="24">
        <f>TRUNC(E1568*G1568,2)</f>
        <v>170.82</v>
      </c>
    </row>
    <row r="1569" spans="1:9" ht="45">
      <c r="A1569" s="74"/>
      <c r="B1569" s="80" t="s">
        <v>1162</v>
      </c>
      <c r="C1569" s="81" t="s">
        <v>1163</v>
      </c>
      <c r="D1569" s="74" t="s">
        <v>7</v>
      </c>
      <c r="E1569" s="78">
        <v>1</v>
      </c>
      <c r="F1569" s="64">
        <f>G1576</f>
        <v>7.37</v>
      </c>
      <c r="G1569" s="64">
        <f t="shared" ref="G1569:G1575" si="91">TRUNC(E1569*F1569,2)</f>
        <v>7.37</v>
      </c>
      <c r="H1569" s="64"/>
      <c r="I1569" s="78"/>
    </row>
    <row r="1570" spans="1:9" ht="15">
      <c r="A1570" s="74"/>
      <c r="B1570" s="80" t="s">
        <v>1097</v>
      </c>
      <c r="C1570" s="81" t="s">
        <v>1098</v>
      </c>
      <c r="D1570" s="74" t="s">
        <v>7</v>
      </c>
      <c r="E1570" s="78">
        <v>3.15E-2</v>
      </c>
      <c r="F1570" s="64">
        <f>TRUNC(2.13,2)</f>
        <v>2.13</v>
      </c>
      <c r="G1570" s="64">
        <f t="shared" si="91"/>
        <v>0.06</v>
      </c>
      <c r="H1570" s="64"/>
      <c r="I1570" s="78"/>
    </row>
    <row r="1571" spans="1:9" ht="15">
      <c r="A1571" s="74"/>
      <c r="B1571" s="80" t="s">
        <v>1099</v>
      </c>
      <c r="C1571" s="81" t="s">
        <v>1100</v>
      </c>
      <c r="D1571" s="74" t="s">
        <v>7</v>
      </c>
      <c r="E1571" s="78">
        <v>7.0000000000000001E-3</v>
      </c>
      <c r="F1571" s="64">
        <f>TRUNC(86.3,2)</f>
        <v>86.3</v>
      </c>
      <c r="G1571" s="64">
        <f t="shared" si="91"/>
        <v>0.6</v>
      </c>
      <c r="H1571" s="64"/>
      <c r="I1571" s="78"/>
    </row>
    <row r="1572" spans="1:9" ht="15">
      <c r="A1572" s="74"/>
      <c r="B1572" s="80" t="s">
        <v>1103</v>
      </c>
      <c r="C1572" s="81" t="s">
        <v>1104</v>
      </c>
      <c r="D1572" s="74" t="s">
        <v>7</v>
      </c>
      <c r="E1572" s="78">
        <v>5.8999999999999999E-3</v>
      </c>
      <c r="F1572" s="64">
        <f>TRUNC(76.17,2)</f>
        <v>76.17</v>
      </c>
      <c r="G1572" s="64">
        <f t="shared" si="91"/>
        <v>0.44</v>
      </c>
      <c r="H1572" s="64"/>
      <c r="I1572" s="78"/>
    </row>
    <row r="1573" spans="1:9" ht="30">
      <c r="A1573" s="74"/>
      <c r="B1573" s="80" t="s">
        <v>1164</v>
      </c>
      <c r="C1573" s="81" t="s">
        <v>1165</v>
      </c>
      <c r="D1573" s="74" t="s">
        <v>7</v>
      </c>
      <c r="E1573" s="78">
        <v>1</v>
      </c>
      <c r="F1573" s="64">
        <f>TRUNC(1.28,2)</f>
        <v>1.28</v>
      </c>
      <c r="G1573" s="64">
        <f t="shared" si="91"/>
        <v>1.28</v>
      </c>
      <c r="H1573" s="64"/>
      <c r="I1573" s="78"/>
    </row>
    <row r="1574" spans="1:9" ht="15">
      <c r="A1574" s="74"/>
      <c r="B1574" s="80" t="s">
        <v>146</v>
      </c>
      <c r="C1574" s="81" t="s">
        <v>147</v>
      </c>
      <c r="D1574" s="74" t="s">
        <v>51</v>
      </c>
      <c r="E1574" s="78">
        <v>9.4399999999999998E-2</v>
      </c>
      <c r="F1574" s="64">
        <f>TRUNC(29.09,2)</f>
        <v>29.09</v>
      </c>
      <c r="G1574" s="64">
        <f t="shared" si="91"/>
        <v>2.74</v>
      </c>
      <c r="H1574" s="64"/>
      <c r="I1574" s="78"/>
    </row>
    <row r="1575" spans="1:9" ht="30">
      <c r="A1575" s="74"/>
      <c r="B1575" s="80" t="s">
        <v>1105</v>
      </c>
      <c r="C1575" s="81" t="s">
        <v>1106</v>
      </c>
      <c r="D1575" s="74" t="s">
        <v>51</v>
      </c>
      <c r="E1575" s="78">
        <v>9.4399999999999998E-2</v>
      </c>
      <c r="F1575" s="64">
        <f>TRUNC(23.85,2)</f>
        <v>23.85</v>
      </c>
      <c r="G1575" s="64">
        <f t="shared" si="91"/>
        <v>2.25</v>
      </c>
      <c r="H1575" s="64"/>
      <c r="I1575" s="78"/>
    </row>
    <row r="1576" spans="1:9" ht="15">
      <c r="A1576" s="74"/>
      <c r="B1576" s="80"/>
      <c r="C1576" s="81"/>
      <c r="D1576" s="74"/>
      <c r="E1576" s="78" t="s">
        <v>33</v>
      </c>
      <c r="F1576" s="64"/>
      <c r="G1576" s="64">
        <f>TRUNC(SUM(G1570:G1575),2)</f>
        <v>7.37</v>
      </c>
      <c r="H1576" s="64"/>
      <c r="I1576" s="78"/>
    </row>
    <row r="1577" spans="1:9" ht="45">
      <c r="A1577" s="68" t="s">
        <v>1169</v>
      </c>
      <c r="B1577" s="98" t="s">
        <v>1158</v>
      </c>
      <c r="C1577" s="23" t="s">
        <v>1159</v>
      </c>
      <c r="D1577" s="68" t="s">
        <v>7</v>
      </c>
      <c r="E1577" s="24">
        <v>6</v>
      </c>
      <c r="F1577" s="24">
        <f>TRUNC(F1578,2)</f>
        <v>6.86</v>
      </c>
      <c r="G1577" s="24">
        <f>TRUNC(F1577*1.2882,2)</f>
        <v>8.83</v>
      </c>
      <c r="H1577" s="24">
        <f>TRUNC(F1577*E1577,2)</f>
        <v>41.16</v>
      </c>
      <c r="I1577" s="24">
        <f>TRUNC(E1577*G1577,2)</f>
        <v>52.98</v>
      </c>
    </row>
    <row r="1578" spans="1:9" ht="45">
      <c r="A1578" s="74"/>
      <c r="B1578" s="80" t="s">
        <v>1158</v>
      </c>
      <c r="C1578" s="81" t="s">
        <v>1159</v>
      </c>
      <c r="D1578" s="74" t="s">
        <v>7</v>
      </c>
      <c r="E1578" s="78">
        <v>1</v>
      </c>
      <c r="F1578" s="64">
        <f>G1585</f>
        <v>6.86</v>
      </c>
      <c r="G1578" s="64">
        <f t="shared" ref="G1578:G1584" si="92">TRUNC(E1578*F1578,2)</f>
        <v>6.86</v>
      </c>
      <c r="H1578" s="64"/>
      <c r="I1578" s="78"/>
    </row>
    <row r="1579" spans="1:9" ht="15">
      <c r="A1579" s="74"/>
      <c r="B1579" s="80" t="s">
        <v>1097</v>
      </c>
      <c r="C1579" s="81" t="s">
        <v>1098</v>
      </c>
      <c r="D1579" s="74" t="s">
        <v>7</v>
      </c>
      <c r="E1579" s="78">
        <v>1.2E-2</v>
      </c>
      <c r="F1579" s="64">
        <f>TRUNC(2.13,2)</f>
        <v>2.13</v>
      </c>
      <c r="G1579" s="64">
        <f t="shared" si="92"/>
        <v>0.02</v>
      </c>
      <c r="H1579" s="64"/>
      <c r="I1579" s="78"/>
    </row>
    <row r="1580" spans="1:9" ht="15">
      <c r="A1580" s="74"/>
      <c r="B1580" s="80" t="s">
        <v>1099</v>
      </c>
      <c r="C1580" s="81" t="s">
        <v>1100</v>
      </c>
      <c r="D1580" s="74" t="s">
        <v>7</v>
      </c>
      <c r="E1580" s="78">
        <v>9.4999999999999998E-3</v>
      </c>
      <c r="F1580" s="64">
        <f>TRUNC(86.3,2)</f>
        <v>86.3</v>
      </c>
      <c r="G1580" s="64">
        <f t="shared" si="92"/>
        <v>0.81</v>
      </c>
      <c r="H1580" s="64"/>
      <c r="I1580" s="78"/>
    </row>
    <row r="1581" spans="1:9" ht="15">
      <c r="A1581" s="74"/>
      <c r="B1581" s="80" t="s">
        <v>1103</v>
      </c>
      <c r="C1581" s="81" t="s">
        <v>1104</v>
      </c>
      <c r="D1581" s="74" t="s">
        <v>7</v>
      </c>
      <c r="E1581" s="78">
        <v>8.2000000000000007E-3</v>
      </c>
      <c r="F1581" s="64">
        <f>TRUNC(76.17,2)</f>
        <v>76.17</v>
      </c>
      <c r="G1581" s="64">
        <f t="shared" si="92"/>
        <v>0.62</v>
      </c>
      <c r="H1581" s="64"/>
      <c r="I1581" s="78"/>
    </row>
    <row r="1582" spans="1:9" ht="30">
      <c r="A1582" s="74"/>
      <c r="B1582" s="80" t="s">
        <v>1160</v>
      </c>
      <c r="C1582" s="81" t="s">
        <v>1161</v>
      </c>
      <c r="D1582" s="74" t="s">
        <v>7</v>
      </c>
      <c r="E1582" s="78">
        <v>1</v>
      </c>
      <c r="F1582" s="64">
        <f>TRUNC(2.65,2)</f>
        <v>2.65</v>
      </c>
      <c r="G1582" s="64">
        <f t="shared" si="92"/>
        <v>2.65</v>
      </c>
      <c r="H1582" s="64"/>
      <c r="I1582" s="78"/>
    </row>
    <row r="1583" spans="1:9" ht="15">
      <c r="A1583" s="74"/>
      <c r="B1583" s="80" t="s">
        <v>146</v>
      </c>
      <c r="C1583" s="81" t="s">
        <v>147</v>
      </c>
      <c r="D1583" s="74" t="s">
        <v>51</v>
      </c>
      <c r="E1583" s="78">
        <v>5.2400000000000002E-2</v>
      </c>
      <c r="F1583" s="64">
        <f>TRUNC(29.09,2)</f>
        <v>29.09</v>
      </c>
      <c r="G1583" s="64">
        <f t="shared" si="92"/>
        <v>1.52</v>
      </c>
      <c r="H1583" s="64"/>
      <c r="I1583" s="78"/>
    </row>
    <row r="1584" spans="1:9" ht="30">
      <c r="A1584" s="74"/>
      <c r="B1584" s="80" t="s">
        <v>1105</v>
      </c>
      <c r="C1584" s="81" t="s">
        <v>1106</v>
      </c>
      <c r="D1584" s="74" t="s">
        <v>51</v>
      </c>
      <c r="E1584" s="78">
        <v>5.2400000000000002E-2</v>
      </c>
      <c r="F1584" s="64">
        <f>TRUNC(23.85,2)</f>
        <v>23.85</v>
      </c>
      <c r="G1584" s="64">
        <f t="shared" si="92"/>
        <v>1.24</v>
      </c>
      <c r="H1584" s="64"/>
      <c r="I1584" s="78"/>
    </row>
    <row r="1585" spans="1:9" ht="15">
      <c r="A1585" s="74"/>
      <c r="B1585" s="80"/>
      <c r="C1585" s="81"/>
      <c r="D1585" s="74"/>
      <c r="E1585" s="78" t="s">
        <v>33</v>
      </c>
      <c r="F1585" s="64"/>
      <c r="G1585" s="64">
        <f>TRUNC(SUM(G1579:G1584),2)</f>
        <v>6.86</v>
      </c>
      <c r="H1585" s="64"/>
      <c r="I1585" s="78"/>
    </row>
    <row r="1586" spans="1:9" ht="45">
      <c r="A1586" s="68" t="s">
        <v>1170</v>
      </c>
      <c r="B1586" s="98" t="s">
        <v>1172</v>
      </c>
      <c r="C1586" s="23" t="s">
        <v>1173</v>
      </c>
      <c r="D1586" s="68" t="s">
        <v>7</v>
      </c>
      <c r="E1586" s="24">
        <v>3</v>
      </c>
      <c r="F1586" s="24">
        <f>TRUNC(F1587,2)</f>
        <v>105.15</v>
      </c>
      <c r="G1586" s="24">
        <f>TRUNC(F1586*1.2882,2)</f>
        <v>135.44999999999999</v>
      </c>
      <c r="H1586" s="24">
        <f>TRUNC(F1586*E1586,2)</f>
        <v>315.45</v>
      </c>
      <c r="I1586" s="24">
        <f>TRUNC(E1586*G1586,2)</f>
        <v>406.35</v>
      </c>
    </row>
    <row r="1587" spans="1:9" ht="45">
      <c r="A1587" s="74"/>
      <c r="B1587" s="80" t="s">
        <v>1172</v>
      </c>
      <c r="C1587" s="81" t="s">
        <v>1173</v>
      </c>
      <c r="D1587" s="74" t="s">
        <v>7</v>
      </c>
      <c r="E1587" s="78">
        <v>1</v>
      </c>
      <c r="F1587" s="64">
        <f>G1594</f>
        <v>105.15</v>
      </c>
      <c r="G1587" s="64">
        <f t="shared" ref="G1587:G1593" si="93">TRUNC(E1587*F1587,2)</f>
        <v>105.15</v>
      </c>
      <c r="H1587" s="64"/>
      <c r="I1587" s="78"/>
    </row>
    <row r="1588" spans="1:9" ht="15">
      <c r="A1588" s="74"/>
      <c r="B1588" s="80" t="s">
        <v>1097</v>
      </c>
      <c r="C1588" s="81" t="s">
        <v>1098</v>
      </c>
      <c r="D1588" s="74" t="s">
        <v>7</v>
      </c>
      <c r="E1588" s="78">
        <v>3.1E-2</v>
      </c>
      <c r="F1588" s="64">
        <f>TRUNC(2.13,2)</f>
        <v>2.13</v>
      </c>
      <c r="G1588" s="64">
        <f t="shared" si="93"/>
        <v>0.06</v>
      </c>
      <c r="H1588" s="64"/>
      <c r="I1588" s="78"/>
    </row>
    <row r="1589" spans="1:9" ht="15">
      <c r="A1589" s="74"/>
      <c r="B1589" s="80" t="s">
        <v>1099</v>
      </c>
      <c r="C1589" s="81" t="s">
        <v>1100</v>
      </c>
      <c r="D1589" s="74" t="s">
        <v>7</v>
      </c>
      <c r="E1589" s="78">
        <v>5.1999999999999998E-2</v>
      </c>
      <c r="F1589" s="64">
        <f>TRUNC(86.3,2)</f>
        <v>86.3</v>
      </c>
      <c r="G1589" s="64">
        <f t="shared" si="93"/>
        <v>4.4800000000000004</v>
      </c>
      <c r="H1589" s="64"/>
      <c r="I1589" s="78"/>
    </row>
    <row r="1590" spans="1:9" ht="15">
      <c r="A1590" s="74"/>
      <c r="B1590" s="80" t="s">
        <v>1125</v>
      </c>
      <c r="C1590" s="81" t="s">
        <v>1126</v>
      </c>
      <c r="D1590" s="74" t="s">
        <v>7</v>
      </c>
      <c r="E1590" s="78">
        <v>0.19400000000000001</v>
      </c>
      <c r="F1590" s="64">
        <f>TRUNC(24.86,2)</f>
        <v>24.86</v>
      </c>
      <c r="G1590" s="64">
        <f t="shared" si="93"/>
        <v>4.82</v>
      </c>
      <c r="H1590" s="64"/>
      <c r="I1590" s="78"/>
    </row>
    <row r="1591" spans="1:9" ht="30">
      <c r="A1591" s="74"/>
      <c r="B1591" s="80" t="s">
        <v>1174</v>
      </c>
      <c r="C1591" s="81" t="s">
        <v>1175</v>
      </c>
      <c r="D1591" s="74" t="s">
        <v>7</v>
      </c>
      <c r="E1591" s="78">
        <v>1</v>
      </c>
      <c r="F1591" s="64">
        <f>TRUNC(79.5,2)</f>
        <v>79.5</v>
      </c>
      <c r="G1591" s="64">
        <f t="shared" si="93"/>
        <v>79.5</v>
      </c>
      <c r="H1591" s="64"/>
      <c r="I1591" s="78"/>
    </row>
    <row r="1592" spans="1:9" ht="15">
      <c r="A1592" s="74"/>
      <c r="B1592" s="80" t="s">
        <v>146</v>
      </c>
      <c r="C1592" s="81" t="s">
        <v>147</v>
      </c>
      <c r="D1592" s="74" t="s">
        <v>51</v>
      </c>
      <c r="E1592" s="78">
        <v>0.308</v>
      </c>
      <c r="F1592" s="64">
        <f>TRUNC(29.09,2)</f>
        <v>29.09</v>
      </c>
      <c r="G1592" s="64">
        <f t="shared" si="93"/>
        <v>8.9499999999999993</v>
      </c>
      <c r="H1592" s="64"/>
      <c r="I1592" s="78"/>
    </row>
    <row r="1593" spans="1:9" ht="30">
      <c r="A1593" s="74"/>
      <c r="B1593" s="80" t="s">
        <v>1105</v>
      </c>
      <c r="C1593" s="81" t="s">
        <v>1106</v>
      </c>
      <c r="D1593" s="74" t="s">
        <v>51</v>
      </c>
      <c r="E1593" s="78">
        <v>0.308</v>
      </c>
      <c r="F1593" s="64">
        <f>TRUNC(23.85,2)</f>
        <v>23.85</v>
      </c>
      <c r="G1593" s="64">
        <f t="shared" si="93"/>
        <v>7.34</v>
      </c>
      <c r="H1593" s="64"/>
      <c r="I1593" s="78"/>
    </row>
    <row r="1594" spans="1:9" ht="15">
      <c r="A1594" s="74"/>
      <c r="B1594" s="80"/>
      <c r="C1594" s="81"/>
      <c r="D1594" s="74"/>
      <c r="E1594" s="78" t="s">
        <v>33</v>
      </c>
      <c r="F1594" s="64"/>
      <c r="G1594" s="64">
        <f>TRUNC(SUM(G1588:G1593),2)</f>
        <v>105.15</v>
      </c>
      <c r="H1594" s="64"/>
      <c r="I1594" s="78"/>
    </row>
    <row r="1595" spans="1:9" ht="60">
      <c r="A1595" s="68" t="s">
        <v>1171</v>
      </c>
      <c r="B1595" s="98" t="s">
        <v>1176</v>
      </c>
      <c r="C1595" s="23" t="s">
        <v>1177</v>
      </c>
      <c r="D1595" s="68" t="s">
        <v>7</v>
      </c>
      <c r="E1595" s="24">
        <v>6</v>
      </c>
      <c r="F1595" s="24">
        <f>TRUNC(F1596,2)</f>
        <v>66.150000000000006</v>
      </c>
      <c r="G1595" s="24">
        <f>TRUNC(F1595*1.2882,2)</f>
        <v>85.21</v>
      </c>
      <c r="H1595" s="24">
        <f>TRUNC(F1595*E1595,2)</f>
        <v>396.9</v>
      </c>
      <c r="I1595" s="24">
        <f>TRUNC(E1595*G1595,2)</f>
        <v>511.26</v>
      </c>
    </row>
    <row r="1596" spans="1:9" ht="60">
      <c r="A1596" s="74"/>
      <c r="B1596" s="80" t="s">
        <v>1176</v>
      </c>
      <c r="C1596" s="81" t="s">
        <v>1177</v>
      </c>
      <c r="D1596" s="74" t="s">
        <v>7</v>
      </c>
      <c r="E1596" s="78">
        <v>1</v>
      </c>
      <c r="F1596" s="64">
        <f>G1603</f>
        <v>66.150000000000006</v>
      </c>
      <c r="G1596" s="64">
        <f t="shared" ref="G1596:G1602" si="94">TRUNC(E1596*F1596,2)</f>
        <v>66.150000000000006</v>
      </c>
      <c r="H1596" s="64"/>
      <c r="I1596" s="78"/>
    </row>
    <row r="1597" spans="1:9" ht="15">
      <c r="A1597" s="74"/>
      <c r="B1597" s="80" t="s">
        <v>1097</v>
      </c>
      <c r="C1597" s="81" t="s">
        <v>1098</v>
      </c>
      <c r="D1597" s="74" t="s">
        <v>7</v>
      </c>
      <c r="E1597" s="78">
        <v>2.3E-2</v>
      </c>
      <c r="F1597" s="64">
        <f>TRUNC(2.13,2)</f>
        <v>2.13</v>
      </c>
      <c r="G1597" s="64">
        <f t="shared" si="94"/>
        <v>0.04</v>
      </c>
      <c r="H1597" s="64"/>
      <c r="I1597" s="78"/>
    </row>
    <row r="1598" spans="1:9" ht="15">
      <c r="A1598" s="74"/>
      <c r="B1598" s="80" t="s">
        <v>1099</v>
      </c>
      <c r="C1598" s="81" t="s">
        <v>1100</v>
      </c>
      <c r="D1598" s="74" t="s">
        <v>7</v>
      </c>
      <c r="E1598" s="78">
        <v>1.0999999999999999E-2</v>
      </c>
      <c r="F1598" s="64">
        <f>TRUNC(86.3,2)</f>
        <v>86.3</v>
      </c>
      <c r="G1598" s="64">
        <f t="shared" si="94"/>
        <v>0.94</v>
      </c>
      <c r="H1598" s="64"/>
      <c r="I1598" s="78"/>
    </row>
    <row r="1599" spans="1:9" ht="15">
      <c r="A1599" s="74"/>
      <c r="B1599" s="80" t="s">
        <v>1125</v>
      </c>
      <c r="C1599" s="81" t="s">
        <v>1126</v>
      </c>
      <c r="D1599" s="74" t="s">
        <v>7</v>
      </c>
      <c r="E1599" s="78">
        <v>4.5999999999999999E-2</v>
      </c>
      <c r="F1599" s="64">
        <f>TRUNC(24.86,2)</f>
        <v>24.86</v>
      </c>
      <c r="G1599" s="64">
        <f t="shared" si="94"/>
        <v>1.1399999999999999</v>
      </c>
      <c r="H1599" s="64"/>
      <c r="I1599" s="78"/>
    </row>
    <row r="1600" spans="1:9" ht="30">
      <c r="A1600" s="74"/>
      <c r="B1600" s="80" t="s">
        <v>1178</v>
      </c>
      <c r="C1600" s="81" t="s">
        <v>1179</v>
      </c>
      <c r="D1600" s="74" t="s">
        <v>7</v>
      </c>
      <c r="E1600" s="78">
        <v>1</v>
      </c>
      <c r="F1600" s="64">
        <f>TRUNC(51.82,2)</f>
        <v>51.82</v>
      </c>
      <c r="G1600" s="64">
        <f t="shared" si="94"/>
        <v>51.82</v>
      </c>
      <c r="H1600" s="64"/>
      <c r="I1600" s="78"/>
    </row>
    <row r="1601" spans="1:9" ht="15">
      <c r="A1601" s="74"/>
      <c r="B1601" s="80" t="s">
        <v>146</v>
      </c>
      <c r="C1601" s="81" t="s">
        <v>147</v>
      </c>
      <c r="D1601" s="74" t="s">
        <v>51</v>
      </c>
      <c r="E1601" s="78">
        <v>0.23100000000000001</v>
      </c>
      <c r="F1601" s="64">
        <f>TRUNC(29.09,2)</f>
        <v>29.09</v>
      </c>
      <c r="G1601" s="64">
        <f t="shared" si="94"/>
        <v>6.71</v>
      </c>
      <c r="H1601" s="64"/>
      <c r="I1601" s="78"/>
    </row>
    <row r="1602" spans="1:9" ht="30">
      <c r="A1602" s="74"/>
      <c r="B1602" s="80" t="s">
        <v>1105</v>
      </c>
      <c r="C1602" s="81" t="s">
        <v>1106</v>
      </c>
      <c r="D1602" s="74" t="s">
        <v>51</v>
      </c>
      <c r="E1602" s="78">
        <v>0.23100000000000001</v>
      </c>
      <c r="F1602" s="64">
        <f>TRUNC(23.85,2)</f>
        <v>23.85</v>
      </c>
      <c r="G1602" s="64">
        <f t="shared" si="94"/>
        <v>5.5</v>
      </c>
      <c r="H1602" s="64"/>
      <c r="I1602" s="78"/>
    </row>
    <row r="1603" spans="1:9" ht="15">
      <c r="A1603" s="74"/>
      <c r="B1603" s="80"/>
      <c r="C1603" s="81"/>
      <c r="D1603" s="74"/>
      <c r="E1603" s="78" t="s">
        <v>33</v>
      </c>
      <c r="F1603" s="64"/>
      <c r="G1603" s="64">
        <f>TRUNC(SUM(G1597:G1602),2)</f>
        <v>66.150000000000006</v>
      </c>
      <c r="H1603" s="64"/>
      <c r="I1603" s="78"/>
    </row>
    <row r="1604" spans="1:9" ht="60">
      <c r="A1604" s="68" t="s">
        <v>1198</v>
      </c>
      <c r="B1604" s="98" t="s">
        <v>1180</v>
      </c>
      <c r="C1604" s="23" t="s">
        <v>1181</v>
      </c>
      <c r="D1604" s="68" t="s">
        <v>7</v>
      </c>
      <c r="E1604" s="24">
        <v>3</v>
      </c>
      <c r="F1604" s="24">
        <f>TRUNC(F1605,2)</f>
        <v>25.5</v>
      </c>
      <c r="G1604" s="24">
        <f>TRUNC(F1604*1.2882,2)</f>
        <v>32.840000000000003</v>
      </c>
      <c r="H1604" s="24">
        <f>TRUNC(F1604*E1604,2)</f>
        <v>76.5</v>
      </c>
      <c r="I1604" s="24">
        <f>TRUNC(E1604*G1604,2)</f>
        <v>98.52</v>
      </c>
    </row>
    <row r="1605" spans="1:9" ht="60">
      <c r="A1605" s="74"/>
      <c r="B1605" s="80" t="s">
        <v>1180</v>
      </c>
      <c r="C1605" s="81" t="s">
        <v>1181</v>
      </c>
      <c r="D1605" s="74" t="s">
        <v>7</v>
      </c>
      <c r="E1605" s="78">
        <v>1</v>
      </c>
      <c r="F1605" s="64">
        <f>G1612</f>
        <v>25.5</v>
      </c>
      <c r="G1605" s="64">
        <f t="shared" ref="G1605:G1611" si="95">TRUNC(E1605*F1605,2)</f>
        <v>25.5</v>
      </c>
      <c r="H1605" s="64"/>
      <c r="I1605" s="78"/>
    </row>
    <row r="1606" spans="1:9" ht="15">
      <c r="A1606" s="74"/>
      <c r="B1606" s="80" t="s">
        <v>1097</v>
      </c>
      <c r="C1606" s="81" t="s">
        <v>1098</v>
      </c>
      <c r="D1606" s="74" t="s">
        <v>7</v>
      </c>
      <c r="E1606" s="78">
        <v>1.4E-2</v>
      </c>
      <c r="F1606" s="64">
        <f>TRUNC(2.13,2)</f>
        <v>2.13</v>
      </c>
      <c r="G1606" s="64">
        <f t="shared" si="95"/>
        <v>0.02</v>
      </c>
      <c r="H1606" s="64"/>
      <c r="I1606" s="78"/>
    </row>
    <row r="1607" spans="1:9" ht="15">
      <c r="A1607" s="74"/>
      <c r="B1607" s="80" t="s">
        <v>1099</v>
      </c>
      <c r="C1607" s="81" t="s">
        <v>1100</v>
      </c>
      <c r="D1607" s="74" t="s">
        <v>7</v>
      </c>
      <c r="E1607" s="78">
        <v>1.0999999999999999E-2</v>
      </c>
      <c r="F1607" s="64">
        <f>TRUNC(86.3,2)</f>
        <v>86.3</v>
      </c>
      <c r="G1607" s="64">
        <f t="shared" si="95"/>
        <v>0.94</v>
      </c>
      <c r="H1607" s="64"/>
      <c r="I1607" s="78"/>
    </row>
    <row r="1608" spans="1:9" ht="15">
      <c r="A1608" s="74"/>
      <c r="B1608" s="80" t="s">
        <v>1125</v>
      </c>
      <c r="C1608" s="81" t="s">
        <v>1126</v>
      </c>
      <c r="D1608" s="74" t="s">
        <v>7</v>
      </c>
      <c r="E1608" s="78">
        <v>4.5999999999999999E-2</v>
      </c>
      <c r="F1608" s="64">
        <f>TRUNC(24.86,2)</f>
        <v>24.86</v>
      </c>
      <c r="G1608" s="64">
        <f t="shared" si="95"/>
        <v>1.1399999999999999</v>
      </c>
      <c r="H1608" s="64"/>
      <c r="I1608" s="78"/>
    </row>
    <row r="1609" spans="1:9" ht="30">
      <c r="A1609" s="74"/>
      <c r="B1609" s="80" t="s">
        <v>1182</v>
      </c>
      <c r="C1609" s="81" t="s">
        <v>1183</v>
      </c>
      <c r="D1609" s="74" t="s">
        <v>7</v>
      </c>
      <c r="E1609" s="78">
        <v>1</v>
      </c>
      <c r="F1609" s="64">
        <f>TRUNC(16.21,2)</f>
        <v>16.21</v>
      </c>
      <c r="G1609" s="64">
        <f t="shared" si="95"/>
        <v>16.21</v>
      </c>
      <c r="H1609" s="64"/>
      <c r="I1609" s="78"/>
    </row>
    <row r="1610" spans="1:9" ht="15">
      <c r="A1610" s="74"/>
      <c r="B1610" s="80" t="s">
        <v>146</v>
      </c>
      <c r="C1610" s="81" t="s">
        <v>147</v>
      </c>
      <c r="D1610" s="74" t="s">
        <v>51</v>
      </c>
      <c r="E1610" s="78">
        <v>0.13600000000000001</v>
      </c>
      <c r="F1610" s="64">
        <f>TRUNC(29.09,2)</f>
        <v>29.09</v>
      </c>
      <c r="G1610" s="64">
        <f t="shared" si="95"/>
        <v>3.95</v>
      </c>
      <c r="H1610" s="64"/>
      <c r="I1610" s="78"/>
    </row>
    <row r="1611" spans="1:9" ht="30">
      <c r="A1611" s="74"/>
      <c r="B1611" s="80" t="s">
        <v>1105</v>
      </c>
      <c r="C1611" s="81" t="s">
        <v>1106</v>
      </c>
      <c r="D1611" s="74" t="s">
        <v>51</v>
      </c>
      <c r="E1611" s="78">
        <v>0.13600000000000001</v>
      </c>
      <c r="F1611" s="64">
        <f>TRUNC(23.85,2)</f>
        <v>23.85</v>
      </c>
      <c r="G1611" s="64">
        <f t="shared" si="95"/>
        <v>3.24</v>
      </c>
      <c r="H1611" s="64"/>
      <c r="I1611" s="78"/>
    </row>
    <row r="1612" spans="1:9" ht="15">
      <c r="A1612" s="74"/>
      <c r="B1612" s="80"/>
      <c r="C1612" s="81"/>
      <c r="D1612" s="74"/>
      <c r="E1612" s="78" t="s">
        <v>33</v>
      </c>
      <c r="F1612" s="64"/>
      <c r="G1612" s="64">
        <f>TRUNC(SUM(G1606:G1611),2)</f>
        <v>25.5</v>
      </c>
      <c r="H1612" s="64"/>
      <c r="I1612" s="78"/>
    </row>
    <row r="1613" spans="1:9" ht="30">
      <c r="A1613" s="68" t="s">
        <v>1199</v>
      </c>
      <c r="B1613" s="98" t="s">
        <v>1184</v>
      </c>
      <c r="C1613" s="23" t="s">
        <v>1185</v>
      </c>
      <c r="D1613" s="68" t="s">
        <v>7</v>
      </c>
      <c r="E1613" s="24">
        <v>3</v>
      </c>
      <c r="F1613" s="24">
        <f>TRUNC(F1614,2)</f>
        <v>95.63</v>
      </c>
      <c r="G1613" s="24">
        <f>TRUNC(F1613*1.2882,2)</f>
        <v>123.19</v>
      </c>
      <c r="H1613" s="24">
        <f>TRUNC(F1613*E1613,2)</f>
        <v>286.89</v>
      </c>
      <c r="I1613" s="24">
        <f>TRUNC(E1613*G1613,2)</f>
        <v>369.57</v>
      </c>
    </row>
    <row r="1614" spans="1:9" ht="30">
      <c r="A1614" s="74"/>
      <c r="B1614" s="80" t="s">
        <v>1184</v>
      </c>
      <c r="C1614" s="81" t="s">
        <v>1185</v>
      </c>
      <c r="D1614" s="74" t="s">
        <v>7</v>
      </c>
      <c r="E1614" s="78">
        <v>1</v>
      </c>
      <c r="F1614" s="64">
        <f>G1619</f>
        <v>95.63</v>
      </c>
      <c r="G1614" s="64">
        <f>TRUNC(E1614*F1614,2)</f>
        <v>95.63</v>
      </c>
      <c r="H1614" s="64"/>
      <c r="I1614" s="78"/>
    </row>
    <row r="1615" spans="1:9" ht="15">
      <c r="A1615" s="74"/>
      <c r="B1615" s="80" t="s">
        <v>1186</v>
      </c>
      <c r="C1615" s="81" t="s">
        <v>1187</v>
      </c>
      <c r="D1615" s="74" t="s">
        <v>7</v>
      </c>
      <c r="E1615" s="78">
        <v>1</v>
      </c>
      <c r="F1615" s="64">
        <v>77.37</v>
      </c>
      <c r="G1615" s="64">
        <f>TRUNC(E1615*F1615,2)</f>
        <v>77.37</v>
      </c>
      <c r="H1615" s="64"/>
      <c r="I1615" s="78"/>
    </row>
    <row r="1616" spans="1:9" ht="15">
      <c r="A1616" s="74"/>
      <c r="B1616" s="80" t="s">
        <v>1188</v>
      </c>
      <c r="C1616" s="81" t="s">
        <v>1189</v>
      </c>
      <c r="D1616" s="74" t="s">
        <v>7</v>
      </c>
      <c r="E1616" s="78">
        <v>2.4E-2</v>
      </c>
      <c r="F1616" s="64">
        <v>11.69</v>
      </c>
      <c r="G1616" s="64">
        <f>TRUNC(E1616*F1616,2)</f>
        <v>0.28000000000000003</v>
      </c>
      <c r="H1616" s="64"/>
      <c r="I1616" s="78"/>
    </row>
    <row r="1617" spans="1:9" ht="15">
      <c r="A1617" s="74"/>
      <c r="B1617" s="80" t="s">
        <v>146</v>
      </c>
      <c r="C1617" s="81" t="s">
        <v>147</v>
      </c>
      <c r="D1617" s="74" t="s">
        <v>51</v>
      </c>
      <c r="E1617" s="78">
        <v>0.33979999999999999</v>
      </c>
      <c r="F1617" s="64">
        <f>TRUNC(29.09,2)</f>
        <v>29.09</v>
      </c>
      <c r="G1617" s="64">
        <f>TRUNC(E1617*F1617,2)</f>
        <v>9.8800000000000008</v>
      </c>
      <c r="H1617" s="64"/>
      <c r="I1617" s="78"/>
    </row>
    <row r="1618" spans="1:9" ht="30">
      <c r="A1618" s="74"/>
      <c r="B1618" s="80" t="s">
        <v>1105</v>
      </c>
      <c r="C1618" s="81" t="s">
        <v>1106</v>
      </c>
      <c r="D1618" s="74" t="s">
        <v>51</v>
      </c>
      <c r="E1618" s="78">
        <v>0.33979999999999999</v>
      </c>
      <c r="F1618" s="64">
        <f>TRUNC(23.85,2)</f>
        <v>23.85</v>
      </c>
      <c r="G1618" s="64">
        <f>TRUNC(E1618*F1618,2)</f>
        <v>8.1</v>
      </c>
      <c r="H1618" s="64"/>
      <c r="I1618" s="78"/>
    </row>
    <row r="1619" spans="1:9" ht="15">
      <c r="A1619" s="74"/>
      <c r="B1619" s="80"/>
      <c r="C1619" s="81"/>
      <c r="D1619" s="74"/>
      <c r="E1619" s="78" t="s">
        <v>33</v>
      </c>
      <c r="F1619" s="64"/>
      <c r="G1619" s="64">
        <f>TRUNC(SUM(G1615:G1618),2)</f>
        <v>95.63</v>
      </c>
      <c r="H1619" s="64"/>
      <c r="I1619" s="78"/>
    </row>
    <row r="1620" spans="1:9" ht="30">
      <c r="A1620" s="68" t="s">
        <v>1200</v>
      </c>
      <c r="B1620" s="98" t="s">
        <v>1190</v>
      </c>
      <c r="C1620" s="23" t="s">
        <v>1191</v>
      </c>
      <c r="D1620" s="68" t="s">
        <v>7</v>
      </c>
      <c r="E1620" s="24">
        <v>3</v>
      </c>
      <c r="F1620" s="24">
        <f>TRUNC(F1621,2)</f>
        <v>54.88</v>
      </c>
      <c r="G1620" s="24">
        <f>TRUNC(F1620*1.2882,2)</f>
        <v>70.69</v>
      </c>
      <c r="H1620" s="24">
        <f>TRUNC(F1620*E1620,2)</f>
        <v>164.64</v>
      </c>
      <c r="I1620" s="24">
        <f>TRUNC(E1620*G1620,2)</f>
        <v>212.07</v>
      </c>
    </row>
    <row r="1621" spans="1:9" ht="30">
      <c r="A1621" s="74"/>
      <c r="B1621" s="80" t="s">
        <v>1190</v>
      </c>
      <c r="C1621" s="81" t="s">
        <v>1191</v>
      </c>
      <c r="D1621" s="74" t="s">
        <v>7</v>
      </c>
      <c r="E1621" s="78">
        <v>1</v>
      </c>
      <c r="F1621" s="64">
        <f>G1626</f>
        <v>54.88</v>
      </c>
      <c r="G1621" s="64">
        <f>TRUNC(E1621*F1621,2)</f>
        <v>54.88</v>
      </c>
      <c r="H1621" s="64"/>
      <c r="I1621" s="78"/>
    </row>
    <row r="1622" spans="1:9" ht="15">
      <c r="A1622" s="74"/>
      <c r="B1622" s="80" t="s">
        <v>1192</v>
      </c>
      <c r="C1622" s="81" t="s">
        <v>1193</v>
      </c>
      <c r="D1622" s="74" t="s">
        <v>7</v>
      </c>
      <c r="E1622" s="78">
        <v>1</v>
      </c>
      <c r="F1622" s="64">
        <v>44</v>
      </c>
      <c r="G1622" s="64">
        <f>TRUNC(E1622*F1622,2)</f>
        <v>44</v>
      </c>
      <c r="H1622" s="64"/>
      <c r="I1622" s="78"/>
    </row>
    <row r="1623" spans="1:9" ht="15">
      <c r="A1623" s="74"/>
      <c r="B1623" s="80" t="s">
        <v>1188</v>
      </c>
      <c r="C1623" s="81" t="s">
        <v>1189</v>
      </c>
      <c r="D1623" s="74" t="s">
        <v>7</v>
      </c>
      <c r="E1623" s="78">
        <v>1.6799999999999999E-2</v>
      </c>
      <c r="F1623" s="64">
        <v>11.69</v>
      </c>
      <c r="G1623" s="64">
        <f>TRUNC(E1623*F1623,2)</f>
        <v>0.19</v>
      </c>
      <c r="H1623" s="64"/>
      <c r="I1623" s="78"/>
    </row>
    <row r="1624" spans="1:9" ht="15">
      <c r="A1624" s="74"/>
      <c r="B1624" s="80" t="s">
        <v>146</v>
      </c>
      <c r="C1624" s="81" t="s">
        <v>147</v>
      </c>
      <c r="D1624" s="74" t="s">
        <v>51</v>
      </c>
      <c r="E1624" s="78">
        <v>0.2021</v>
      </c>
      <c r="F1624" s="64">
        <f>TRUNC(29.09,2)</f>
        <v>29.09</v>
      </c>
      <c r="G1624" s="64">
        <f>TRUNC(E1624*F1624,2)</f>
        <v>5.87</v>
      </c>
      <c r="H1624" s="64"/>
      <c r="I1624" s="78"/>
    </row>
    <row r="1625" spans="1:9" ht="30">
      <c r="A1625" s="74"/>
      <c r="B1625" s="80" t="s">
        <v>1105</v>
      </c>
      <c r="C1625" s="81" t="s">
        <v>1106</v>
      </c>
      <c r="D1625" s="74" t="s">
        <v>51</v>
      </c>
      <c r="E1625" s="78">
        <v>0.2021</v>
      </c>
      <c r="F1625" s="64">
        <f>TRUNC(23.85,2)</f>
        <v>23.85</v>
      </c>
      <c r="G1625" s="64">
        <f>TRUNC(E1625*F1625,2)</f>
        <v>4.82</v>
      </c>
      <c r="H1625" s="64"/>
      <c r="I1625" s="78"/>
    </row>
    <row r="1626" spans="1:9" ht="15">
      <c r="A1626" s="74"/>
      <c r="B1626" s="80"/>
      <c r="C1626" s="81"/>
      <c r="D1626" s="74"/>
      <c r="E1626" s="78" t="s">
        <v>33</v>
      </c>
      <c r="F1626" s="64"/>
      <c r="G1626" s="64">
        <f>TRUNC(SUM(G1622:G1625),2)</f>
        <v>54.88</v>
      </c>
      <c r="H1626" s="64"/>
      <c r="I1626" s="78"/>
    </row>
    <row r="1627" spans="1:9" ht="30">
      <c r="A1627" s="68" t="s">
        <v>1201</v>
      </c>
      <c r="B1627" s="98" t="s">
        <v>1194</v>
      </c>
      <c r="C1627" s="23" t="s">
        <v>1195</v>
      </c>
      <c r="D1627" s="68" t="s">
        <v>7</v>
      </c>
      <c r="E1627" s="24">
        <v>3</v>
      </c>
      <c r="F1627" s="24">
        <f>TRUNC(F1628,2)</f>
        <v>26.39</v>
      </c>
      <c r="G1627" s="24">
        <f>TRUNC(F1627*1.2882,2)</f>
        <v>33.99</v>
      </c>
      <c r="H1627" s="24">
        <f>TRUNC(F1627*E1627,2)</f>
        <v>79.17</v>
      </c>
      <c r="I1627" s="24">
        <f>TRUNC(E1627*G1627,2)</f>
        <v>101.97</v>
      </c>
    </row>
    <row r="1628" spans="1:9" ht="30">
      <c r="A1628" s="74"/>
      <c r="B1628" s="80" t="s">
        <v>1194</v>
      </c>
      <c r="C1628" s="81" t="s">
        <v>1195</v>
      </c>
      <c r="D1628" s="74" t="s">
        <v>7</v>
      </c>
      <c r="E1628" s="78">
        <v>1</v>
      </c>
      <c r="F1628" s="64">
        <f>G1633</f>
        <v>26.39</v>
      </c>
      <c r="G1628" s="64">
        <f>TRUNC(E1628*F1628,2)</f>
        <v>26.39</v>
      </c>
      <c r="H1628" s="64"/>
      <c r="I1628" s="78"/>
    </row>
    <row r="1629" spans="1:9" ht="15">
      <c r="A1629" s="74"/>
      <c r="B1629" s="80" t="s">
        <v>1196</v>
      </c>
      <c r="C1629" s="81" t="s">
        <v>1197</v>
      </c>
      <c r="D1629" s="74" t="s">
        <v>7</v>
      </c>
      <c r="E1629" s="78">
        <v>1</v>
      </c>
      <c r="F1629" s="64">
        <v>20.45</v>
      </c>
      <c r="G1629" s="64">
        <f>TRUNC(E1629*F1629,2)</f>
        <v>20.45</v>
      </c>
      <c r="H1629" s="64"/>
      <c r="I1629" s="78"/>
    </row>
    <row r="1630" spans="1:9" ht="15">
      <c r="A1630" s="74"/>
      <c r="B1630" s="80" t="s">
        <v>1188</v>
      </c>
      <c r="C1630" s="81" t="s">
        <v>1189</v>
      </c>
      <c r="D1630" s="74" t="s">
        <v>7</v>
      </c>
      <c r="E1630" s="78">
        <v>1.06E-2</v>
      </c>
      <c r="F1630" s="64">
        <f>TRUNC(11.69,2)</f>
        <v>11.69</v>
      </c>
      <c r="G1630" s="64">
        <f>TRUNC(E1630*F1630,2)</f>
        <v>0.12</v>
      </c>
      <c r="H1630" s="64"/>
      <c r="I1630" s="78"/>
    </row>
    <row r="1631" spans="1:9" ht="15">
      <c r="A1631" s="74"/>
      <c r="B1631" s="80" t="s">
        <v>146</v>
      </c>
      <c r="C1631" s="81" t="s">
        <v>147</v>
      </c>
      <c r="D1631" s="74" t="s">
        <v>51</v>
      </c>
      <c r="E1631" s="78">
        <v>0.11020000000000001</v>
      </c>
      <c r="F1631" s="64">
        <f>TRUNC(29.09,2)</f>
        <v>29.09</v>
      </c>
      <c r="G1631" s="64">
        <f>TRUNC(E1631*F1631,2)</f>
        <v>3.2</v>
      </c>
      <c r="H1631" s="64"/>
      <c r="I1631" s="78"/>
    </row>
    <row r="1632" spans="1:9" ht="30">
      <c r="A1632" s="74"/>
      <c r="B1632" s="80" t="s">
        <v>1105</v>
      </c>
      <c r="C1632" s="81" t="s">
        <v>1106</v>
      </c>
      <c r="D1632" s="74" t="s">
        <v>51</v>
      </c>
      <c r="E1632" s="78">
        <v>0.11020000000000001</v>
      </c>
      <c r="F1632" s="64">
        <f>TRUNC(23.85,2)</f>
        <v>23.85</v>
      </c>
      <c r="G1632" s="64">
        <f>TRUNC(E1632*F1632,2)</f>
        <v>2.62</v>
      </c>
      <c r="H1632" s="64"/>
      <c r="I1632" s="78"/>
    </row>
    <row r="1633" spans="1:9" ht="15">
      <c r="A1633" s="74"/>
      <c r="B1633" s="80"/>
      <c r="C1633" s="81"/>
      <c r="D1633" s="74"/>
      <c r="E1633" s="78" t="s">
        <v>33</v>
      </c>
      <c r="F1633" s="64"/>
      <c r="G1633" s="64">
        <f>TRUNC(SUM(G1629:G1632),2)</f>
        <v>26.39</v>
      </c>
      <c r="H1633" s="64"/>
      <c r="I1633" s="78"/>
    </row>
    <row r="1634" spans="1:9" ht="30">
      <c r="A1634" s="68" t="s">
        <v>1202</v>
      </c>
      <c r="B1634" s="98" t="s">
        <v>1205</v>
      </c>
      <c r="C1634" s="23" t="s">
        <v>1206</v>
      </c>
      <c r="D1634" s="68" t="s">
        <v>7</v>
      </c>
      <c r="E1634" s="24">
        <v>3</v>
      </c>
      <c r="F1634" s="24">
        <f>TRUNC(F1635,2)</f>
        <v>84.06</v>
      </c>
      <c r="G1634" s="24">
        <f>TRUNC(F1634*1.2882,2)</f>
        <v>108.28</v>
      </c>
      <c r="H1634" s="24">
        <f>TRUNC(F1634*E1634,2)</f>
        <v>252.18</v>
      </c>
      <c r="I1634" s="24">
        <f>TRUNC(E1634*G1634,2)</f>
        <v>324.83999999999997</v>
      </c>
    </row>
    <row r="1635" spans="1:9" ht="30">
      <c r="A1635" s="74"/>
      <c r="B1635" s="80" t="s">
        <v>1205</v>
      </c>
      <c r="C1635" s="81" t="s">
        <v>1206</v>
      </c>
      <c r="D1635" s="74" t="s">
        <v>7</v>
      </c>
      <c r="E1635" s="78">
        <v>1</v>
      </c>
      <c r="F1635" s="64">
        <f>G1640</f>
        <v>84.06</v>
      </c>
      <c r="G1635" s="64">
        <f>TRUNC(E1635*F1635,2)</f>
        <v>84.06</v>
      </c>
      <c r="H1635" s="64"/>
      <c r="I1635" s="78"/>
    </row>
    <row r="1636" spans="1:9" ht="30">
      <c r="A1636" s="74"/>
      <c r="B1636" s="80" t="s">
        <v>1207</v>
      </c>
      <c r="C1636" s="81" t="s">
        <v>1208</v>
      </c>
      <c r="D1636" s="74" t="s">
        <v>7</v>
      </c>
      <c r="E1636" s="78">
        <v>1</v>
      </c>
      <c r="F1636" s="64">
        <v>73.930000000000007</v>
      </c>
      <c r="G1636" s="64">
        <f>TRUNC(E1636*F1636,2)</f>
        <v>73.930000000000007</v>
      </c>
      <c r="H1636" s="64"/>
      <c r="I1636" s="78"/>
    </row>
    <row r="1637" spans="1:9" ht="15">
      <c r="A1637" s="74"/>
      <c r="B1637" s="80" t="s">
        <v>1188</v>
      </c>
      <c r="C1637" s="81" t="s">
        <v>1189</v>
      </c>
      <c r="D1637" s="74" t="s">
        <v>7</v>
      </c>
      <c r="E1637" s="78">
        <v>5.3E-3</v>
      </c>
      <c r="F1637" s="64">
        <f>TRUNC(11.69,2)</f>
        <v>11.69</v>
      </c>
      <c r="G1637" s="64">
        <f>TRUNC(E1637*F1637,2)</f>
        <v>0.06</v>
      </c>
      <c r="H1637" s="64"/>
      <c r="I1637" s="78"/>
    </row>
    <row r="1638" spans="1:9" ht="15">
      <c r="A1638" s="74"/>
      <c r="B1638" s="80" t="s">
        <v>146</v>
      </c>
      <c r="C1638" s="81" t="s">
        <v>147</v>
      </c>
      <c r="D1638" s="74" t="s">
        <v>51</v>
      </c>
      <c r="E1638" s="78">
        <v>0.19040000000000001</v>
      </c>
      <c r="F1638" s="64">
        <f>TRUNC(29.09,2)</f>
        <v>29.09</v>
      </c>
      <c r="G1638" s="64">
        <f>TRUNC(E1638*F1638,2)</f>
        <v>5.53</v>
      </c>
      <c r="H1638" s="64"/>
      <c r="I1638" s="78"/>
    </row>
    <row r="1639" spans="1:9" ht="30">
      <c r="A1639" s="74"/>
      <c r="B1639" s="80" t="s">
        <v>1105</v>
      </c>
      <c r="C1639" s="81" t="s">
        <v>1106</v>
      </c>
      <c r="D1639" s="74" t="s">
        <v>51</v>
      </c>
      <c r="E1639" s="78">
        <v>0.19040000000000001</v>
      </c>
      <c r="F1639" s="64">
        <f>TRUNC(23.85,2)</f>
        <v>23.85</v>
      </c>
      <c r="G1639" s="64">
        <f>TRUNC(E1639*F1639,2)</f>
        <v>4.54</v>
      </c>
      <c r="H1639" s="64"/>
      <c r="I1639" s="78"/>
    </row>
    <row r="1640" spans="1:9" ht="15">
      <c r="A1640" s="74"/>
      <c r="B1640" s="80"/>
      <c r="C1640" s="81"/>
      <c r="D1640" s="74"/>
      <c r="E1640" s="78" t="s">
        <v>33</v>
      </c>
      <c r="F1640" s="64"/>
      <c r="G1640" s="64">
        <f>TRUNC(SUM(G1636:G1639),2)</f>
        <v>84.06</v>
      </c>
      <c r="H1640" s="64"/>
      <c r="I1640" s="78"/>
    </row>
    <row r="1641" spans="1:9" ht="30">
      <c r="A1641" s="68" t="s">
        <v>1203</v>
      </c>
      <c r="B1641" s="98" t="s">
        <v>1209</v>
      </c>
      <c r="C1641" s="23" t="s">
        <v>1913</v>
      </c>
      <c r="D1641" s="68" t="s">
        <v>7</v>
      </c>
      <c r="E1641" s="24">
        <v>3</v>
      </c>
      <c r="F1641" s="24">
        <f>TRUNC(F1642,2)</f>
        <v>26.16</v>
      </c>
      <c r="G1641" s="24">
        <f>TRUNC(F1641*1.2882,2)</f>
        <v>33.69</v>
      </c>
      <c r="H1641" s="24">
        <f>TRUNC(F1641*E1641,2)</f>
        <v>78.48</v>
      </c>
      <c r="I1641" s="24">
        <f>TRUNC(E1641*G1641,2)</f>
        <v>101.07</v>
      </c>
    </row>
    <row r="1642" spans="1:9" ht="30">
      <c r="A1642" s="74"/>
      <c r="B1642" s="80" t="s">
        <v>1209</v>
      </c>
      <c r="C1642" s="81" t="s">
        <v>1210</v>
      </c>
      <c r="D1642" s="74" t="s">
        <v>7</v>
      </c>
      <c r="E1642" s="78">
        <v>1</v>
      </c>
      <c r="F1642" s="64">
        <f>TRUNC(26.16,2)</f>
        <v>26.16</v>
      </c>
      <c r="G1642" s="64">
        <f>TRUNC(E1642*F1642,2)</f>
        <v>26.16</v>
      </c>
      <c r="H1642" s="64"/>
      <c r="I1642" s="78"/>
    </row>
    <row r="1643" spans="1:9" ht="30">
      <c r="A1643" s="74"/>
      <c r="B1643" s="80" t="s">
        <v>1211</v>
      </c>
      <c r="C1643" s="81" t="s">
        <v>1212</v>
      </c>
      <c r="D1643" s="74" t="s">
        <v>7</v>
      </c>
      <c r="E1643" s="78">
        <v>1</v>
      </c>
      <c r="F1643" s="64">
        <v>26.16</v>
      </c>
      <c r="G1643" s="64">
        <f>TRUNC(E1643*F1643,2)</f>
        <v>26.16</v>
      </c>
      <c r="H1643" s="64"/>
      <c r="I1643" s="78"/>
    </row>
    <row r="1644" spans="1:9" ht="15">
      <c r="A1644" s="74"/>
      <c r="B1644" s="80"/>
      <c r="C1644" s="81"/>
      <c r="D1644" s="74"/>
      <c r="E1644" s="78" t="s">
        <v>33</v>
      </c>
      <c r="F1644" s="64"/>
      <c r="G1644" s="64">
        <f>TRUNC(SUM(G1643:G1643),2)</f>
        <v>26.16</v>
      </c>
      <c r="H1644" s="64"/>
      <c r="I1644" s="78"/>
    </row>
    <row r="1645" spans="1:9" ht="30">
      <c r="A1645" s="68" t="s">
        <v>1204</v>
      </c>
      <c r="B1645" s="98" t="s">
        <v>1213</v>
      </c>
      <c r="C1645" s="23" t="s">
        <v>1214</v>
      </c>
      <c r="D1645" s="68" t="s">
        <v>7</v>
      </c>
      <c r="E1645" s="24">
        <v>3</v>
      </c>
      <c r="F1645" s="24">
        <f>TRUNC(F1646,2)</f>
        <v>1017.99</v>
      </c>
      <c r="G1645" s="24">
        <f>TRUNC(F1645*1.2882,2)</f>
        <v>1311.37</v>
      </c>
      <c r="H1645" s="24">
        <f>TRUNC(F1645*E1645,2)</f>
        <v>3053.97</v>
      </c>
      <c r="I1645" s="24">
        <f>TRUNC(E1645*G1645,2)</f>
        <v>3934.11</v>
      </c>
    </row>
    <row r="1646" spans="1:9" ht="30">
      <c r="A1646" s="74"/>
      <c r="B1646" s="80" t="s">
        <v>1213</v>
      </c>
      <c r="C1646" s="81" t="s">
        <v>1214</v>
      </c>
      <c r="D1646" s="74" t="s">
        <v>7</v>
      </c>
      <c r="E1646" s="78">
        <v>1</v>
      </c>
      <c r="F1646" s="64">
        <f>G1650</f>
        <v>1017.99</v>
      </c>
      <c r="G1646" s="64">
        <f>TRUNC(E1646*F1646,2)</f>
        <v>1017.99</v>
      </c>
      <c r="H1646" s="64"/>
      <c r="I1646" s="78"/>
    </row>
    <row r="1647" spans="1:9" ht="15">
      <c r="A1647" s="74"/>
      <c r="B1647" s="80" t="s">
        <v>1215</v>
      </c>
      <c r="C1647" s="81" t="s">
        <v>1216</v>
      </c>
      <c r="D1647" s="74" t="s">
        <v>7</v>
      </c>
      <c r="E1647" s="78">
        <v>1</v>
      </c>
      <c r="F1647" s="64">
        <v>1003.78</v>
      </c>
      <c r="G1647" s="64">
        <f>TRUNC(E1647*F1647,2)</f>
        <v>1003.78</v>
      </c>
      <c r="H1647" s="64"/>
      <c r="I1647" s="78"/>
    </row>
    <row r="1648" spans="1:9" ht="15">
      <c r="A1648" s="74"/>
      <c r="B1648" s="80" t="s">
        <v>146</v>
      </c>
      <c r="C1648" s="81" t="s">
        <v>147</v>
      </c>
      <c r="D1648" s="74" t="s">
        <v>51</v>
      </c>
      <c r="E1648" s="78">
        <v>0.26860000000000001</v>
      </c>
      <c r="F1648" s="64">
        <f>TRUNC(29.09,2)</f>
        <v>29.09</v>
      </c>
      <c r="G1648" s="64">
        <f>TRUNC(E1648*F1648,2)</f>
        <v>7.81</v>
      </c>
      <c r="H1648" s="64"/>
      <c r="I1648" s="78"/>
    </row>
    <row r="1649" spans="1:9" ht="30">
      <c r="A1649" s="74"/>
      <c r="B1649" s="80" t="s">
        <v>1105</v>
      </c>
      <c r="C1649" s="81" t="s">
        <v>1106</v>
      </c>
      <c r="D1649" s="74" t="s">
        <v>51</v>
      </c>
      <c r="E1649" s="78">
        <v>0.26860000000000001</v>
      </c>
      <c r="F1649" s="64">
        <f>TRUNC(23.85,2)</f>
        <v>23.85</v>
      </c>
      <c r="G1649" s="64">
        <f>TRUNC(E1649*F1649,2)</f>
        <v>6.4</v>
      </c>
      <c r="H1649" s="64"/>
      <c r="I1649" s="78"/>
    </row>
    <row r="1650" spans="1:9" ht="15">
      <c r="A1650" s="74"/>
      <c r="B1650" s="80"/>
      <c r="C1650" s="81"/>
      <c r="D1650" s="74"/>
      <c r="E1650" s="78" t="s">
        <v>33</v>
      </c>
      <c r="F1650" s="64"/>
      <c r="G1650" s="64">
        <f>TRUNC(SUM(G1647:G1649),2)</f>
        <v>1017.99</v>
      </c>
      <c r="H1650" s="64"/>
      <c r="I1650" s="78"/>
    </row>
    <row r="1651" spans="1:9" ht="45">
      <c r="A1651" s="68" t="s">
        <v>1237</v>
      </c>
      <c r="B1651" s="98" t="s">
        <v>1217</v>
      </c>
      <c r="C1651" s="23" t="s">
        <v>1218</v>
      </c>
      <c r="D1651" s="68" t="s">
        <v>7</v>
      </c>
      <c r="E1651" s="24">
        <v>8</v>
      </c>
      <c r="F1651" s="24">
        <f>TRUNC(F1652,2)</f>
        <v>16.600000000000001</v>
      </c>
      <c r="G1651" s="24">
        <f>TRUNC(F1651*1.2882,2)</f>
        <v>21.38</v>
      </c>
      <c r="H1651" s="24">
        <f>TRUNC(F1651*E1651,2)</f>
        <v>132.80000000000001</v>
      </c>
      <c r="I1651" s="24">
        <f>TRUNC(E1651*G1651,2)</f>
        <v>171.04</v>
      </c>
    </row>
    <row r="1652" spans="1:9" ht="45">
      <c r="A1652" s="74"/>
      <c r="B1652" s="80" t="s">
        <v>1217</v>
      </c>
      <c r="C1652" s="81" t="s">
        <v>1218</v>
      </c>
      <c r="D1652" s="74" t="s">
        <v>7</v>
      </c>
      <c r="E1652" s="78">
        <v>1</v>
      </c>
      <c r="F1652" s="64">
        <f>TRUNC(16.603398,2)</f>
        <v>16.600000000000001</v>
      </c>
      <c r="G1652" s="64">
        <f t="shared" ref="G1652:G1658" si="96">TRUNC(E1652*F1652,2)</f>
        <v>16.600000000000001</v>
      </c>
      <c r="H1652" s="64"/>
      <c r="I1652" s="78"/>
    </row>
    <row r="1653" spans="1:9" ht="15">
      <c r="A1653" s="74"/>
      <c r="B1653" s="80" t="s">
        <v>1097</v>
      </c>
      <c r="C1653" s="81" t="s">
        <v>1098</v>
      </c>
      <c r="D1653" s="74" t="s">
        <v>7</v>
      </c>
      <c r="E1653" s="78">
        <v>3.15E-2</v>
      </c>
      <c r="F1653" s="64">
        <v>2.13</v>
      </c>
      <c r="G1653" s="64">
        <f t="shared" si="96"/>
        <v>0.06</v>
      </c>
      <c r="H1653" s="64"/>
      <c r="I1653" s="78"/>
    </row>
    <row r="1654" spans="1:9" ht="30">
      <c r="A1654" s="74"/>
      <c r="B1654" s="80" t="s">
        <v>1219</v>
      </c>
      <c r="C1654" s="81" t="s">
        <v>1220</v>
      </c>
      <c r="D1654" s="74" t="s">
        <v>7</v>
      </c>
      <c r="E1654" s="78">
        <v>1</v>
      </c>
      <c r="F1654" s="64">
        <v>8.89</v>
      </c>
      <c r="G1654" s="64">
        <f t="shared" si="96"/>
        <v>8.89</v>
      </c>
      <c r="H1654" s="64"/>
      <c r="I1654" s="78"/>
    </row>
    <row r="1655" spans="1:9" ht="15">
      <c r="A1655" s="74"/>
      <c r="B1655" s="80" t="s">
        <v>1099</v>
      </c>
      <c r="C1655" s="81" t="s">
        <v>1100</v>
      </c>
      <c r="D1655" s="74" t="s">
        <v>7</v>
      </c>
      <c r="E1655" s="78">
        <v>7.0000000000000001E-3</v>
      </c>
      <c r="F1655" s="64">
        <v>86.3</v>
      </c>
      <c r="G1655" s="64">
        <f t="shared" si="96"/>
        <v>0.6</v>
      </c>
      <c r="H1655" s="64"/>
      <c r="I1655" s="78"/>
    </row>
    <row r="1656" spans="1:9" ht="15">
      <c r="A1656" s="74"/>
      <c r="B1656" s="80" t="s">
        <v>1103</v>
      </c>
      <c r="C1656" s="81" t="s">
        <v>1104</v>
      </c>
      <c r="D1656" s="74" t="s">
        <v>7</v>
      </c>
      <c r="E1656" s="78">
        <v>5.8999999999999999E-3</v>
      </c>
      <c r="F1656" s="64">
        <v>76.17</v>
      </c>
      <c r="G1656" s="64">
        <f t="shared" si="96"/>
        <v>0.44</v>
      </c>
      <c r="H1656" s="64"/>
      <c r="I1656" s="78"/>
    </row>
    <row r="1657" spans="1:9" ht="15">
      <c r="A1657" s="74"/>
      <c r="B1657" s="80" t="s">
        <v>146</v>
      </c>
      <c r="C1657" s="81" t="s">
        <v>147</v>
      </c>
      <c r="D1657" s="74" t="s">
        <v>51</v>
      </c>
      <c r="E1657" s="78">
        <v>0.13120000000000001</v>
      </c>
      <c r="F1657" s="64">
        <f>TRUNC(29.09,2)</f>
        <v>29.09</v>
      </c>
      <c r="G1657" s="64">
        <f t="shared" si="96"/>
        <v>3.81</v>
      </c>
      <c r="H1657" s="64"/>
      <c r="I1657" s="78"/>
    </row>
    <row r="1658" spans="1:9" ht="30">
      <c r="A1658" s="74"/>
      <c r="B1658" s="80" t="s">
        <v>1105</v>
      </c>
      <c r="C1658" s="81" t="s">
        <v>1106</v>
      </c>
      <c r="D1658" s="74" t="s">
        <v>51</v>
      </c>
      <c r="E1658" s="78">
        <v>0.13120000000000001</v>
      </c>
      <c r="F1658" s="64">
        <f>TRUNC(23.85,2)</f>
        <v>23.85</v>
      </c>
      <c r="G1658" s="64">
        <f t="shared" si="96"/>
        <v>3.12</v>
      </c>
      <c r="H1658" s="64"/>
      <c r="I1658" s="78"/>
    </row>
    <row r="1659" spans="1:9" ht="15">
      <c r="A1659" s="74"/>
      <c r="B1659" s="80"/>
      <c r="C1659" s="81"/>
      <c r="D1659" s="74"/>
      <c r="E1659" s="78" t="s">
        <v>33</v>
      </c>
      <c r="F1659" s="64"/>
      <c r="G1659" s="64">
        <f>TRUNC(SUM(G1653:G1658),2)</f>
        <v>16.920000000000002</v>
      </c>
      <c r="H1659" s="64"/>
      <c r="I1659" s="78"/>
    </row>
    <row r="1660" spans="1:9" ht="45">
      <c r="A1660" s="68" t="s">
        <v>1238</v>
      </c>
      <c r="B1660" s="98" t="s">
        <v>1221</v>
      </c>
      <c r="C1660" s="23" t="s">
        <v>1222</v>
      </c>
      <c r="D1660" s="68" t="s">
        <v>7</v>
      </c>
      <c r="E1660" s="24">
        <v>3</v>
      </c>
      <c r="F1660" s="24">
        <f>TRUNC(F1661,2)</f>
        <v>18.78</v>
      </c>
      <c r="G1660" s="24">
        <f>TRUNC(F1660*1.2882,2)</f>
        <v>24.19</v>
      </c>
      <c r="H1660" s="24">
        <f>TRUNC(F1660*E1660,2)</f>
        <v>56.34</v>
      </c>
      <c r="I1660" s="24">
        <f>TRUNC(E1660*G1660,2)</f>
        <v>72.569999999999993</v>
      </c>
    </row>
    <row r="1661" spans="1:9" ht="45">
      <c r="A1661" s="74"/>
      <c r="B1661" s="80" t="s">
        <v>1221</v>
      </c>
      <c r="C1661" s="81" t="s">
        <v>1222</v>
      </c>
      <c r="D1661" s="74" t="s">
        <v>7</v>
      </c>
      <c r="E1661" s="78">
        <v>1</v>
      </c>
      <c r="F1661" s="64">
        <f>TRUNC(18.780897,2)</f>
        <v>18.78</v>
      </c>
      <c r="G1661" s="64">
        <f t="shared" ref="G1661:G1667" si="97">TRUNC(E1661*F1661,2)</f>
        <v>18.78</v>
      </c>
      <c r="H1661" s="64"/>
      <c r="I1661" s="78"/>
    </row>
    <row r="1662" spans="1:9" ht="15">
      <c r="A1662" s="74"/>
      <c r="B1662" s="80" t="s">
        <v>1097</v>
      </c>
      <c r="C1662" s="81" t="s">
        <v>1098</v>
      </c>
      <c r="D1662" s="74" t="s">
        <v>7</v>
      </c>
      <c r="E1662" s="78">
        <v>3.3799999999999997E-2</v>
      </c>
      <c r="F1662" s="64">
        <v>2.13</v>
      </c>
      <c r="G1662" s="64">
        <f t="shared" si="97"/>
        <v>7.0000000000000007E-2</v>
      </c>
      <c r="H1662" s="64"/>
      <c r="I1662" s="78"/>
    </row>
    <row r="1663" spans="1:9" ht="15">
      <c r="A1663" s="74"/>
      <c r="B1663" s="80" t="s">
        <v>1099</v>
      </c>
      <c r="C1663" s="81" t="s">
        <v>1100</v>
      </c>
      <c r="D1663" s="74" t="s">
        <v>7</v>
      </c>
      <c r="E1663" s="78">
        <v>7.0000000000000001E-3</v>
      </c>
      <c r="F1663" s="64">
        <v>86.3</v>
      </c>
      <c r="G1663" s="64">
        <f t="shared" si="97"/>
        <v>0.6</v>
      </c>
      <c r="H1663" s="64"/>
      <c r="I1663" s="78"/>
    </row>
    <row r="1664" spans="1:9" ht="30">
      <c r="A1664" s="74"/>
      <c r="B1664" s="80" t="s">
        <v>1223</v>
      </c>
      <c r="C1664" s="81" t="s">
        <v>1224</v>
      </c>
      <c r="D1664" s="74" t="s">
        <v>7</v>
      </c>
      <c r="E1664" s="78">
        <v>1</v>
      </c>
      <c r="F1664" s="64">
        <v>10.54</v>
      </c>
      <c r="G1664" s="64">
        <f t="shared" si="97"/>
        <v>10.54</v>
      </c>
      <c r="H1664" s="64"/>
      <c r="I1664" s="78"/>
    </row>
    <row r="1665" spans="1:9" ht="15">
      <c r="A1665" s="74"/>
      <c r="B1665" s="80" t="s">
        <v>1103</v>
      </c>
      <c r="C1665" s="81" t="s">
        <v>1104</v>
      </c>
      <c r="D1665" s="74" t="s">
        <v>7</v>
      </c>
      <c r="E1665" s="78">
        <v>5.8999999999999999E-3</v>
      </c>
      <c r="F1665" s="64">
        <v>76.17</v>
      </c>
      <c r="G1665" s="64">
        <f t="shared" si="97"/>
        <v>0.44</v>
      </c>
      <c r="H1665" s="64"/>
      <c r="I1665" s="78"/>
    </row>
    <row r="1666" spans="1:9" ht="15">
      <c r="A1666" s="74"/>
      <c r="B1666" s="80" t="s">
        <v>146</v>
      </c>
      <c r="C1666" s="81" t="s">
        <v>147</v>
      </c>
      <c r="D1666" s="74" t="s">
        <v>51</v>
      </c>
      <c r="E1666" s="78">
        <v>0.1416</v>
      </c>
      <c r="F1666" s="64">
        <f>TRUNC(29.09,2)</f>
        <v>29.09</v>
      </c>
      <c r="G1666" s="64">
        <f t="shared" si="97"/>
        <v>4.1100000000000003</v>
      </c>
      <c r="H1666" s="64"/>
      <c r="I1666" s="78"/>
    </row>
    <row r="1667" spans="1:9" ht="30">
      <c r="A1667" s="74"/>
      <c r="B1667" s="80" t="s">
        <v>1105</v>
      </c>
      <c r="C1667" s="81" t="s">
        <v>1106</v>
      </c>
      <c r="D1667" s="74" t="s">
        <v>51</v>
      </c>
      <c r="E1667" s="78">
        <v>0.1416</v>
      </c>
      <c r="F1667" s="64">
        <f>TRUNC(23.85,2)</f>
        <v>23.85</v>
      </c>
      <c r="G1667" s="64">
        <f t="shared" si="97"/>
        <v>3.37</v>
      </c>
      <c r="H1667" s="64"/>
      <c r="I1667" s="78"/>
    </row>
    <row r="1668" spans="1:9" ht="15">
      <c r="A1668" s="74"/>
      <c r="B1668" s="80"/>
      <c r="C1668" s="81"/>
      <c r="D1668" s="74"/>
      <c r="E1668" s="78" t="s">
        <v>33</v>
      </c>
      <c r="F1668" s="64"/>
      <c r="G1668" s="64">
        <f>TRUNC(SUM(G1662:G1667),2)</f>
        <v>19.13</v>
      </c>
      <c r="H1668" s="64"/>
      <c r="I1668" s="78"/>
    </row>
    <row r="1669" spans="1:9" ht="45">
      <c r="A1669" s="68" t="s">
        <v>1239</v>
      </c>
      <c r="B1669" s="98" t="s">
        <v>1227</v>
      </c>
      <c r="C1669" s="23" t="s">
        <v>1228</v>
      </c>
      <c r="D1669" s="68" t="s">
        <v>7</v>
      </c>
      <c r="E1669" s="24">
        <v>45</v>
      </c>
      <c r="F1669" s="24">
        <f>TRUNC(F1670,2)</f>
        <v>11.32</v>
      </c>
      <c r="G1669" s="24">
        <f>TRUNC(F1669*1.2882,2)</f>
        <v>14.58</v>
      </c>
      <c r="H1669" s="24">
        <f>TRUNC(F1669*E1669,2)</f>
        <v>509.4</v>
      </c>
      <c r="I1669" s="24">
        <f>TRUNC(E1669*G1669,2)</f>
        <v>656.1</v>
      </c>
    </row>
    <row r="1670" spans="1:9" ht="45">
      <c r="A1670" s="74"/>
      <c r="B1670" s="80" t="s">
        <v>1217</v>
      </c>
      <c r="C1670" s="81" t="s">
        <v>1218</v>
      </c>
      <c r="D1670" s="74" t="s">
        <v>7</v>
      </c>
      <c r="E1670" s="78">
        <v>1</v>
      </c>
      <c r="F1670" s="64">
        <f>G1677</f>
        <v>11.32</v>
      </c>
      <c r="G1670" s="64">
        <f t="shared" ref="G1670:G1676" si="98">TRUNC(E1670*F1670,2)</f>
        <v>11.32</v>
      </c>
      <c r="H1670" s="64"/>
      <c r="I1670" s="78"/>
    </row>
    <row r="1671" spans="1:9" ht="15">
      <c r="A1671" s="74"/>
      <c r="B1671" s="80" t="s">
        <v>1097</v>
      </c>
      <c r="C1671" s="81" t="s">
        <v>1098</v>
      </c>
      <c r="D1671" s="74" t="s">
        <v>7</v>
      </c>
      <c r="E1671" s="78">
        <v>3.15E-2</v>
      </c>
      <c r="F1671" s="64">
        <v>2.13</v>
      </c>
      <c r="G1671" s="64">
        <f t="shared" si="98"/>
        <v>0.06</v>
      </c>
      <c r="H1671" s="64"/>
      <c r="I1671" s="78"/>
    </row>
    <row r="1672" spans="1:9" s="169" customFormat="1" ht="31.5">
      <c r="A1672" s="256"/>
      <c r="B1672" s="257" t="s">
        <v>1225</v>
      </c>
      <c r="C1672" s="258" t="s">
        <v>1226</v>
      </c>
      <c r="D1672" s="256" t="s">
        <v>7</v>
      </c>
      <c r="E1672" s="259">
        <v>1</v>
      </c>
      <c r="F1672" s="260">
        <v>3.29</v>
      </c>
      <c r="G1672" s="260">
        <f t="shared" si="98"/>
        <v>3.29</v>
      </c>
      <c r="H1672" s="260"/>
      <c r="I1672" s="259"/>
    </row>
    <row r="1673" spans="1:9" ht="15">
      <c r="A1673" s="74"/>
      <c r="B1673" s="80" t="s">
        <v>1099</v>
      </c>
      <c r="C1673" s="81" t="s">
        <v>1100</v>
      </c>
      <c r="D1673" s="74" t="s">
        <v>7</v>
      </c>
      <c r="E1673" s="78">
        <v>7.0000000000000001E-3</v>
      </c>
      <c r="F1673" s="64">
        <f>TRUNC(86.3,2)</f>
        <v>86.3</v>
      </c>
      <c r="G1673" s="64">
        <f t="shared" si="98"/>
        <v>0.6</v>
      </c>
      <c r="H1673" s="64"/>
      <c r="I1673" s="78"/>
    </row>
    <row r="1674" spans="1:9" ht="15">
      <c r="A1674" s="74"/>
      <c r="B1674" s="80" t="s">
        <v>1103</v>
      </c>
      <c r="C1674" s="81" t="s">
        <v>1104</v>
      </c>
      <c r="D1674" s="74" t="s">
        <v>7</v>
      </c>
      <c r="E1674" s="78">
        <v>5.8999999999999999E-3</v>
      </c>
      <c r="F1674" s="64">
        <f>TRUNC(76.17,2)</f>
        <v>76.17</v>
      </c>
      <c r="G1674" s="64">
        <f t="shared" si="98"/>
        <v>0.44</v>
      </c>
      <c r="H1674" s="64"/>
      <c r="I1674" s="78"/>
    </row>
    <row r="1675" spans="1:9" ht="15">
      <c r="A1675" s="74"/>
      <c r="B1675" s="80" t="s">
        <v>146</v>
      </c>
      <c r="C1675" s="81" t="s">
        <v>147</v>
      </c>
      <c r="D1675" s="74" t="s">
        <v>51</v>
      </c>
      <c r="E1675" s="78">
        <v>0.13120000000000001</v>
      </c>
      <c r="F1675" s="64">
        <f>TRUNC(29.09,2)</f>
        <v>29.09</v>
      </c>
      <c r="G1675" s="64">
        <f t="shared" si="98"/>
        <v>3.81</v>
      </c>
      <c r="H1675" s="64"/>
      <c r="I1675" s="78"/>
    </row>
    <row r="1676" spans="1:9" ht="30">
      <c r="A1676" s="74"/>
      <c r="B1676" s="80" t="s">
        <v>1105</v>
      </c>
      <c r="C1676" s="81" t="s">
        <v>1106</v>
      </c>
      <c r="D1676" s="74" t="s">
        <v>51</v>
      </c>
      <c r="E1676" s="78">
        <v>0.13120000000000001</v>
      </c>
      <c r="F1676" s="64">
        <f>TRUNC(23.85,2)</f>
        <v>23.85</v>
      </c>
      <c r="G1676" s="64">
        <f t="shared" si="98"/>
        <v>3.12</v>
      </c>
      <c r="H1676" s="64"/>
      <c r="I1676" s="78"/>
    </row>
    <row r="1677" spans="1:9" ht="15">
      <c r="A1677" s="74"/>
      <c r="B1677" s="80"/>
      <c r="C1677" s="81"/>
      <c r="D1677" s="74"/>
      <c r="E1677" s="78" t="s">
        <v>33</v>
      </c>
      <c r="F1677" s="64"/>
      <c r="G1677" s="64">
        <f>TRUNC(SUM(G1671:G1676),2)</f>
        <v>11.32</v>
      </c>
      <c r="H1677" s="64"/>
      <c r="I1677" s="78"/>
    </row>
    <row r="1678" spans="1:9" ht="30">
      <c r="A1678" s="68" t="s">
        <v>1240</v>
      </c>
      <c r="B1678" s="98" t="s">
        <v>1229</v>
      </c>
      <c r="C1678" s="23" t="s">
        <v>1230</v>
      </c>
      <c r="D1678" s="68" t="s">
        <v>7</v>
      </c>
      <c r="E1678" s="24">
        <v>5</v>
      </c>
      <c r="F1678" s="24">
        <f>TRUNC(F1679,2)</f>
        <v>22.96</v>
      </c>
      <c r="G1678" s="24">
        <f>TRUNC(F1678*1.2882,2)</f>
        <v>29.57</v>
      </c>
      <c r="H1678" s="24">
        <f>TRUNC(F1678*E1678,2)</f>
        <v>114.8</v>
      </c>
      <c r="I1678" s="24">
        <f>TRUNC(E1678*G1678,2)</f>
        <v>147.85</v>
      </c>
    </row>
    <row r="1679" spans="1:9" ht="30">
      <c r="A1679" s="74"/>
      <c r="B1679" s="80" t="s">
        <v>1229</v>
      </c>
      <c r="C1679" s="81" t="s">
        <v>1230</v>
      </c>
      <c r="D1679" s="74" t="s">
        <v>7</v>
      </c>
      <c r="E1679" s="78">
        <v>1</v>
      </c>
      <c r="F1679" s="64">
        <f>G1686</f>
        <v>22.96</v>
      </c>
      <c r="G1679" s="64">
        <f t="shared" ref="G1679:G1685" si="99">TRUNC(E1679*F1679,2)</f>
        <v>22.96</v>
      </c>
      <c r="H1679" s="64"/>
      <c r="I1679" s="78"/>
    </row>
    <row r="1680" spans="1:9" ht="15">
      <c r="A1680" s="74"/>
      <c r="B1680" s="80" t="s">
        <v>1097</v>
      </c>
      <c r="C1680" s="81" t="s">
        <v>1098</v>
      </c>
      <c r="D1680" s="74" t="s">
        <v>7</v>
      </c>
      <c r="E1680" s="78">
        <v>5.7200000000000001E-2</v>
      </c>
      <c r="F1680" s="64">
        <f>TRUNC(2.13,2)</f>
        <v>2.13</v>
      </c>
      <c r="G1680" s="64">
        <f t="shared" si="99"/>
        <v>0.12</v>
      </c>
      <c r="H1680" s="64"/>
      <c r="I1680" s="78"/>
    </row>
    <row r="1681" spans="1:9" ht="15">
      <c r="A1681" s="74"/>
      <c r="B1681" s="80" t="s">
        <v>1099</v>
      </c>
      <c r="C1681" s="81" t="s">
        <v>1100</v>
      </c>
      <c r="D1681" s="74" t="s">
        <v>7</v>
      </c>
      <c r="E1681" s="78">
        <v>1.43E-2</v>
      </c>
      <c r="F1681" s="64">
        <f>TRUNC(86.3,2)</f>
        <v>86.3</v>
      </c>
      <c r="G1681" s="64">
        <f t="shared" si="99"/>
        <v>1.23</v>
      </c>
      <c r="H1681" s="64"/>
      <c r="I1681" s="78"/>
    </row>
    <row r="1682" spans="1:9" ht="30">
      <c r="A1682" s="74"/>
      <c r="B1682" s="80" t="s">
        <v>1231</v>
      </c>
      <c r="C1682" s="81" t="s">
        <v>1232</v>
      </c>
      <c r="D1682" s="74" t="s">
        <v>7</v>
      </c>
      <c r="E1682" s="78">
        <v>1</v>
      </c>
      <c r="F1682" s="64">
        <f>TRUNC(8.92,2)</f>
        <v>8.92</v>
      </c>
      <c r="G1682" s="64">
        <f t="shared" si="99"/>
        <v>8.92</v>
      </c>
      <c r="H1682" s="64"/>
      <c r="I1682" s="78"/>
    </row>
    <row r="1683" spans="1:9" ht="15">
      <c r="A1683" s="74"/>
      <c r="B1683" s="80" t="s">
        <v>1103</v>
      </c>
      <c r="C1683" s="81" t="s">
        <v>1104</v>
      </c>
      <c r="D1683" s="74" t="s">
        <v>7</v>
      </c>
      <c r="E1683" s="78">
        <v>1.24E-2</v>
      </c>
      <c r="F1683" s="64">
        <f>TRUNC(76.17,2)</f>
        <v>76.17</v>
      </c>
      <c r="G1683" s="64">
        <f t="shared" si="99"/>
        <v>0.94</v>
      </c>
      <c r="H1683" s="64"/>
      <c r="I1683" s="78"/>
    </row>
    <row r="1684" spans="1:9" ht="15">
      <c r="A1684" s="74"/>
      <c r="B1684" s="80" t="s">
        <v>146</v>
      </c>
      <c r="C1684" s="81" t="s">
        <v>147</v>
      </c>
      <c r="D1684" s="74" t="s">
        <v>51</v>
      </c>
      <c r="E1684" s="78">
        <v>0.22209999999999999</v>
      </c>
      <c r="F1684" s="64">
        <f>TRUNC(29.09,2)</f>
        <v>29.09</v>
      </c>
      <c r="G1684" s="64">
        <f t="shared" si="99"/>
        <v>6.46</v>
      </c>
      <c r="H1684" s="64"/>
      <c r="I1684" s="78"/>
    </row>
    <row r="1685" spans="1:9" ht="30">
      <c r="A1685" s="74"/>
      <c r="B1685" s="80" t="s">
        <v>1105</v>
      </c>
      <c r="C1685" s="81" t="s">
        <v>1106</v>
      </c>
      <c r="D1685" s="74" t="s">
        <v>51</v>
      </c>
      <c r="E1685" s="78">
        <v>0.22209999999999999</v>
      </c>
      <c r="F1685" s="64">
        <f>TRUNC(23.85,2)</f>
        <v>23.85</v>
      </c>
      <c r="G1685" s="64">
        <f t="shared" si="99"/>
        <v>5.29</v>
      </c>
      <c r="H1685" s="64"/>
      <c r="I1685" s="78"/>
    </row>
    <row r="1686" spans="1:9" ht="15">
      <c r="A1686" s="74"/>
      <c r="B1686" s="80"/>
      <c r="C1686" s="81"/>
      <c r="D1686" s="74"/>
      <c r="E1686" s="78" t="s">
        <v>33</v>
      </c>
      <c r="F1686" s="64"/>
      <c r="G1686" s="64">
        <f>TRUNC(SUM(G1680:G1685),2)</f>
        <v>22.96</v>
      </c>
      <c r="H1686" s="64"/>
      <c r="I1686" s="78"/>
    </row>
    <row r="1687" spans="1:9" ht="30">
      <c r="A1687" s="68" t="s">
        <v>1253</v>
      </c>
      <c r="B1687" s="98" t="s">
        <v>1233</v>
      </c>
      <c r="C1687" s="23" t="s">
        <v>1234</v>
      </c>
      <c r="D1687" s="68" t="s">
        <v>7</v>
      </c>
      <c r="E1687" s="24">
        <v>42</v>
      </c>
      <c r="F1687" s="24">
        <f>TRUNC(F1688,2)</f>
        <v>16.39</v>
      </c>
      <c r="G1687" s="24">
        <f>TRUNC(F1687*1.2882,2)</f>
        <v>21.11</v>
      </c>
      <c r="H1687" s="24">
        <f>TRUNC(F1687*E1687,2)</f>
        <v>688.38</v>
      </c>
      <c r="I1687" s="24">
        <f>TRUNC(E1687*G1687,2)</f>
        <v>886.62</v>
      </c>
    </row>
    <row r="1688" spans="1:9" ht="30">
      <c r="A1688" s="74"/>
      <c r="B1688" s="80" t="s">
        <v>1233</v>
      </c>
      <c r="C1688" s="81" t="s">
        <v>1234</v>
      </c>
      <c r="D1688" s="74" t="s">
        <v>7</v>
      </c>
      <c r="E1688" s="78">
        <v>1</v>
      </c>
      <c r="F1688" s="64">
        <f>G1695</f>
        <v>16.39</v>
      </c>
      <c r="G1688" s="64">
        <f t="shared" ref="G1688:G1694" si="100">TRUNC(E1688*F1688,2)</f>
        <v>16.39</v>
      </c>
      <c r="H1688" s="64"/>
      <c r="I1688" s="78"/>
    </row>
    <row r="1689" spans="1:9" ht="15">
      <c r="A1689" s="74"/>
      <c r="B1689" s="80" t="s">
        <v>1097</v>
      </c>
      <c r="C1689" s="81" t="s">
        <v>1098</v>
      </c>
      <c r="D1689" s="74" t="s">
        <v>7</v>
      </c>
      <c r="E1689" s="78">
        <v>4.8399999999999999E-2</v>
      </c>
      <c r="F1689" s="64">
        <f>TRUNC(2.13,2)</f>
        <v>2.13</v>
      </c>
      <c r="G1689" s="64">
        <f t="shared" si="100"/>
        <v>0.1</v>
      </c>
      <c r="H1689" s="64"/>
      <c r="I1689" s="78"/>
    </row>
    <row r="1690" spans="1:9" ht="15">
      <c r="A1690" s="74"/>
      <c r="B1690" s="80" t="s">
        <v>1099</v>
      </c>
      <c r="C1690" s="81" t="s">
        <v>1100</v>
      </c>
      <c r="D1690" s="74" t="s">
        <v>7</v>
      </c>
      <c r="E1690" s="78">
        <v>1.0500000000000001E-2</v>
      </c>
      <c r="F1690" s="64">
        <f>TRUNC(86.3,2)</f>
        <v>86.3</v>
      </c>
      <c r="G1690" s="64">
        <f t="shared" si="100"/>
        <v>0.9</v>
      </c>
      <c r="H1690" s="64"/>
      <c r="I1690" s="78"/>
    </row>
    <row r="1691" spans="1:9" ht="30">
      <c r="A1691" s="74"/>
      <c r="B1691" s="80" t="s">
        <v>1235</v>
      </c>
      <c r="C1691" s="81" t="s">
        <v>1236</v>
      </c>
      <c r="D1691" s="74" t="s">
        <v>7</v>
      </c>
      <c r="E1691" s="78">
        <v>1</v>
      </c>
      <c r="F1691" s="64">
        <f>TRUNC(4.74,2)</f>
        <v>4.74</v>
      </c>
      <c r="G1691" s="64">
        <f t="shared" si="100"/>
        <v>4.74</v>
      </c>
      <c r="H1691" s="64"/>
      <c r="I1691" s="78"/>
    </row>
    <row r="1692" spans="1:9" ht="15">
      <c r="A1692" s="74"/>
      <c r="B1692" s="80" t="s">
        <v>1103</v>
      </c>
      <c r="C1692" s="81" t="s">
        <v>1104</v>
      </c>
      <c r="D1692" s="74" t="s">
        <v>7</v>
      </c>
      <c r="E1692" s="78">
        <v>8.8000000000000005E-3</v>
      </c>
      <c r="F1692" s="64">
        <f>TRUNC(76.17,2)</f>
        <v>76.17</v>
      </c>
      <c r="G1692" s="64">
        <f t="shared" si="100"/>
        <v>0.67</v>
      </c>
      <c r="H1692" s="64"/>
      <c r="I1692" s="78"/>
    </row>
    <row r="1693" spans="1:9" ht="15">
      <c r="A1693" s="74"/>
      <c r="B1693" s="80" t="s">
        <v>146</v>
      </c>
      <c r="C1693" s="81" t="s">
        <v>147</v>
      </c>
      <c r="D1693" s="74" t="s">
        <v>51</v>
      </c>
      <c r="E1693" s="78">
        <v>0.18870000000000001</v>
      </c>
      <c r="F1693" s="64">
        <f>TRUNC(29.09,2)</f>
        <v>29.09</v>
      </c>
      <c r="G1693" s="64">
        <f t="shared" si="100"/>
        <v>5.48</v>
      </c>
      <c r="H1693" s="64"/>
      <c r="I1693" s="78"/>
    </row>
    <row r="1694" spans="1:9" ht="30">
      <c r="A1694" s="74"/>
      <c r="B1694" s="80" t="s">
        <v>1105</v>
      </c>
      <c r="C1694" s="81" t="s">
        <v>1106</v>
      </c>
      <c r="D1694" s="74" t="s">
        <v>51</v>
      </c>
      <c r="E1694" s="78">
        <v>0.18870000000000001</v>
      </c>
      <c r="F1694" s="64">
        <f>TRUNC(23.85,2)</f>
        <v>23.85</v>
      </c>
      <c r="G1694" s="64">
        <f t="shared" si="100"/>
        <v>4.5</v>
      </c>
      <c r="H1694" s="64"/>
      <c r="I1694" s="78"/>
    </row>
    <row r="1695" spans="1:9" ht="15">
      <c r="A1695" s="74"/>
      <c r="B1695" s="80"/>
      <c r="C1695" s="81"/>
      <c r="D1695" s="74"/>
      <c r="E1695" s="78" t="s">
        <v>33</v>
      </c>
      <c r="F1695" s="64"/>
      <c r="G1695" s="64">
        <f>TRUNC(SUM(G1689:G1694),2)</f>
        <v>16.39</v>
      </c>
      <c r="H1695" s="64"/>
      <c r="I1695" s="78"/>
    </row>
    <row r="1696" spans="1:9" ht="30">
      <c r="A1696" s="68" t="s">
        <v>1258</v>
      </c>
      <c r="B1696" s="98" t="s">
        <v>1241</v>
      </c>
      <c r="C1696" s="23" t="s">
        <v>1242</v>
      </c>
      <c r="D1696" s="68" t="s">
        <v>7</v>
      </c>
      <c r="E1696" s="24">
        <v>5</v>
      </c>
      <c r="F1696" s="24">
        <f>TRUNC(F1697,2)</f>
        <v>8.68</v>
      </c>
      <c r="G1696" s="24">
        <f>TRUNC(F1696*1.2882,2)</f>
        <v>11.18</v>
      </c>
      <c r="H1696" s="24">
        <f>TRUNC(F1696*E1696,2)</f>
        <v>43.4</v>
      </c>
      <c r="I1696" s="24">
        <f>TRUNC(E1696*G1696,2)</f>
        <v>55.9</v>
      </c>
    </row>
    <row r="1697" spans="1:9" ht="30">
      <c r="A1697" s="74"/>
      <c r="B1697" s="80" t="s">
        <v>1241</v>
      </c>
      <c r="C1697" s="81" t="s">
        <v>1242</v>
      </c>
      <c r="D1697" s="74" t="s">
        <v>7</v>
      </c>
      <c r="E1697" s="78">
        <v>1</v>
      </c>
      <c r="F1697" s="64">
        <f>G1704</f>
        <v>8.68</v>
      </c>
      <c r="G1697" s="64">
        <f t="shared" ref="G1697:G1703" si="101">TRUNC(E1697*F1697,2)</f>
        <v>8.68</v>
      </c>
      <c r="H1697" s="64"/>
      <c r="I1697" s="78"/>
    </row>
    <row r="1698" spans="1:9" ht="15">
      <c r="A1698" s="74"/>
      <c r="B1698" s="80" t="s">
        <v>1097</v>
      </c>
      <c r="C1698" s="81" t="s">
        <v>1098</v>
      </c>
      <c r="D1698" s="74" t="s">
        <v>7</v>
      </c>
      <c r="E1698" s="78">
        <v>3.7100000000000001E-2</v>
      </c>
      <c r="F1698" s="64">
        <f>TRUNC(2.13,2)</f>
        <v>2.13</v>
      </c>
      <c r="G1698" s="64">
        <f t="shared" si="101"/>
        <v>7.0000000000000007E-2</v>
      </c>
      <c r="H1698" s="64"/>
      <c r="I1698" s="78"/>
    </row>
    <row r="1699" spans="1:9" ht="15">
      <c r="A1699" s="74"/>
      <c r="B1699" s="80" t="s">
        <v>1099</v>
      </c>
      <c r="C1699" s="81" t="s">
        <v>1100</v>
      </c>
      <c r="D1699" s="74" t="s">
        <v>7</v>
      </c>
      <c r="E1699" s="78">
        <v>9.4999999999999998E-3</v>
      </c>
      <c r="F1699" s="64">
        <f>TRUNC(86.3,2)</f>
        <v>86.3</v>
      </c>
      <c r="G1699" s="64">
        <f t="shared" si="101"/>
        <v>0.81</v>
      </c>
      <c r="H1699" s="64"/>
      <c r="I1699" s="78"/>
    </row>
    <row r="1700" spans="1:9" ht="30">
      <c r="A1700" s="74"/>
      <c r="B1700" s="80" t="s">
        <v>1243</v>
      </c>
      <c r="C1700" s="81" t="s">
        <v>1244</v>
      </c>
      <c r="D1700" s="74" t="s">
        <v>7</v>
      </c>
      <c r="E1700" s="78">
        <v>1</v>
      </c>
      <c r="F1700" s="64">
        <f>TRUNC(1.31,2)</f>
        <v>1.31</v>
      </c>
      <c r="G1700" s="64">
        <f t="shared" si="101"/>
        <v>1.31</v>
      </c>
      <c r="H1700" s="64"/>
      <c r="I1700" s="78"/>
    </row>
    <row r="1701" spans="1:9" ht="15">
      <c r="A1701" s="74"/>
      <c r="B1701" s="80" t="s">
        <v>1103</v>
      </c>
      <c r="C1701" s="81" t="s">
        <v>1104</v>
      </c>
      <c r="D1701" s="74" t="s">
        <v>7</v>
      </c>
      <c r="E1701" s="78">
        <v>8.2000000000000007E-3</v>
      </c>
      <c r="F1701" s="64">
        <f>TRUNC(76.17,2)</f>
        <v>76.17</v>
      </c>
      <c r="G1701" s="64">
        <f t="shared" si="101"/>
        <v>0.62</v>
      </c>
      <c r="H1701" s="64"/>
      <c r="I1701" s="78"/>
    </row>
    <row r="1702" spans="1:9" ht="15">
      <c r="A1702" s="74"/>
      <c r="B1702" s="80" t="s">
        <v>146</v>
      </c>
      <c r="C1702" s="81" t="s">
        <v>147</v>
      </c>
      <c r="D1702" s="74" t="s">
        <v>51</v>
      </c>
      <c r="E1702" s="78">
        <v>0.1111</v>
      </c>
      <c r="F1702" s="64">
        <f>TRUNC(29.09,2)</f>
        <v>29.09</v>
      </c>
      <c r="G1702" s="64">
        <f t="shared" si="101"/>
        <v>3.23</v>
      </c>
      <c r="H1702" s="64"/>
      <c r="I1702" s="78"/>
    </row>
    <row r="1703" spans="1:9" ht="30">
      <c r="A1703" s="74"/>
      <c r="B1703" s="80" t="s">
        <v>1105</v>
      </c>
      <c r="C1703" s="81" t="s">
        <v>1106</v>
      </c>
      <c r="D1703" s="74" t="s">
        <v>51</v>
      </c>
      <c r="E1703" s="78">
        <v>0.1111</v>
      </c>
      <c r="F1703" s="64">
        <f>TRUNC(23.85,2)</f>
        <v>23.85</v>
      </c>
      <c r="G1703" s="64">
        <f t="shared" si="101"/>
        <v>2.64</v>
      </c>
      <c r="H1703" s="64"/>
      <c r="I1703" s="78"/>
    </row>
    <row r="1704" spans="1:9" ht="15">
      <c r="A1704" s="74"/>
      <c r="B1704" s="80"/>
      <c r="C1704" s="81"/>
      <c r="D1704" s="74"/>
      <c r="E1704" s="78" t="s">
        <v>33</v>
      </c>
      <c r="F1704" s="64"/>
      <c r="G1704" s="64">
        <f>TRUNC(SUM(G1698:G1703),2)</f>
        <v>8.68</v>
      </c>
      <c r="H1704" s="64"/>
      <c r="I1704" s="78"/>
    </row>
    <row r="1705" spans="1:9" ht="30">
      <c r="A1705" s="223" t="s">
        <v>1279</v>
      </c>
      <c r="B1705" s="98" t="s">
        <v>1245</v>
      </c>
      <c r="C1705" s="23" t="s">
        <v>1246</v>
      </c>
      <c r="D1705" s="68" t="s">
        <v>7</v>
      </c>
      <c r="E1705" s="24">
        <v>12</v>
      </c>
      <c r="F1705" s="24">
        <f>TRUNC(F1706,2)</f>
        <v>6.71</v>
      </c>
      <c r="G1705" s="24">
        <f>TRUNC(F1705*1.2882,2)</f>
        <v>8.64</v>
      </c>
      <c r="H1705" s="24">
        <f>TRUNC(F1705*E1705,2)</f>
        <v>80.52</v>
      </c>
      <c r="I1705" s="24">
        <f>TRUNC(E1705*G1705,2)</f>
        <v>103.68</v>
      </c>
    </row>
    <row r="1706" spans="1:9" ht="30">
      <c r="A1706" s="74"/>
      <c r="B1706" s="80" t="s">
        <v>1245</v>
      </c>
      <c r="C1706" s="81" t="s">
        <v>1246</v>
      </c>
      <c r="D1706" s="74" t="s">
        <v>7</v>
      </c>
      <c r="E1706" s="78">
        <v>1</v>
      </c>
      <c r="F1706" s="64">
        <f>G1713</f>
        <v>6.71</v>
      </c>
      <c r="G1706" s="64">
        <f t="shared" ref="G1706:G1712" si="102">TRUNC(E1706*F1706,2)</f>
        <v>6.71</v>
      </c>
      <c r="H1706" s="64"/>
      <c r="I1706" s="78"/>
    </row>
    <row r="1707" spans="1:9" ht="15">
      <c r="A1707" s="74"/>
      <c r="B1707" s="80" t="s">
        <v>1097</v>
      </c>
      <c r="C1707" s="81" t="s">
        <v>1098</v>
      </c>
      <c r="D1707" s="74" t="s">
        <v>7</v>
      </c>
      <c r="E1707" s="78">
        <v>3.15E-2</v>
      </c>
      <c r="F1707" s="64">
        <f>TRUNC(2.13,2)</f>
        <v>2.13</v>
      </c>
      <c r="G1707" s="64">
        <f t="shared" si="102"/>
        <v>0.06</v>
      </c>
      <c r="H1707" s="64"/>
      <c r="I1707" s="78"/>
    </row>
    <row r="1708" spans="1:9" ht="15">
      <c r="A1708" s="74"/>
      <c r="B1708" s="80" t="s">
        <v>1099</v>
      </c>
      <c r="C1708" s="81" t="s">
        <v>1100</v>
      </c>
      <c r="D1708" s="74" t="s">
        <v>7</v>
      </c>
      <c r="E1708" s="78">
        <v>7.0000000000000001E-3</v>
      </c>
      <c r="F1708" s="64">
        <f>TRUNC(86.3,2)</f>
        <v>86.3</v>
      </c>
      <c r="G1708" s="64">
        <f t="shared" si="102"/>
        <v>0.6</v>
      </c>
      <c r="H1708" s="64"/>
      <c r="I1708" s="78"/>
    </row>
    <row r="1709" spans="1:9" ht="30">
      <c r="A1709" s="74"/>
      <c r="B1709" s="80" t="s">
        <v>1247</v>
      </c>
      <c r="C1709" s="81" t="s">
        <v>1248</v>
      </c>
      <c r="D1709" s="74" t="s">
        <v>7</v>
      </c>
      <c r="E1709" s="78">
        <v>1</v>
      </c>
      <c r="F1709" s="64">
        <f>TRUNC(0.62,2)</f>
        <v>0.62</v>
      </c>
      <c r="G1709" s="64">
        <f t="shared" si="102"/>
        <v>0.62</v>
      </c>
      <c r="H1709" s="64"/>
      <c r="I1709" s="78"/>
    </row>
    <row r="1710" spans="1:9" ht="15">
      <c r="A1710" s="74"/>
      <c r="B1710" s="80" t="s">
        <v>1103</v>
      </c>
      <c r="C1710" s="81" t="s">
        <v>1104</v>
      </c>
      <c r="D1710" s="74" t="s">
        <v>7</v>
      </c>
      <c r="E1710" s="78">
        <v>5.8999999999999999E-3</v>
      </c>
      <c r="F1710" s="64">
        <f>TRUNC(76.17,2)</f>
        <v>76.17</v>
      </c>
      <c r="G1710" s="64">
        <f t="shared" si="102"/>
        <v>0.44</v>
      </c>
      <c r="H1710" s="64"/>
      <c r="I1710" s="78"/>
    </row>
    <row r="1711" spans="1:9" ht="15">
      <c r="A1711" s="74"/>
      <c r="B1711" s="80" t="s">
        <v>146</v>
      </c>
      <c r="C1711" s="81" t="s">
        <v>147</v>
      </c>
      <c r="D1711" s="74" t="s">
        <v>51</v>
      </c>
      <c r="E1711" s="78">
        <v>9.4399999999999998E-2</v>
      </c>
      <c r="F1711" s="64">
        <f>TRUNC(29.09,2)</f>
        <v>29.09</v>
      </c>
      <c r="G1711" s="64">
        <f t="shared" si="102"/>
        <v>2.74</v>
      </c>
      <c r="H1711" s="64"/>
      <c r="I1711" s="78"/>
    </row>
    <row r="1712" spans="1:9" ht="30">
      <c r="A1712" s="74"/>
      <c r="B1712" s="80" t="s">
        <v>1105</v>
      </c>
      <c r="C1712" s="81" t="s">
        <v>1106</v>
      </c>
      <c r="D1712" s="74" t="s">
        <v>51</v>
      </c>
      <c r="E1712" s="78">
        <v>9.4399999999999998E-2</v>
      </c>
      <c r="F1712" s="64">
        <f>TRUNC(23.85,2)</f>
        <v>23.85</v>
      </c>
      <c r="G1712" s="64">
        <f t="shared" si="102"/>
        <v>2.25</v>
      </c>
      <c r="H1712" s="64"/>
      <c r="I1712" s="78"/>
    </row>
    <row r="1713" spans="1:9" ht="15">
      <c r="A1713" s="74"/>
      <c r="B1713" s="80"/>
      <c r="C1713" s="81"/>
      <c r="D1713" s="74"/>
      <c r="E1713" s="78" t="s">
        <v>33</v>
      </c>
      <c r="F1713" s="64"/>
      <c r="G1713" s="64">
        <f>TRUNC(SUM(G1707:G1712),2)</f>
        <v>6.71</v>
      </c>
      <c r="H1713" s="64"/>
      <c r="I1713" s="78"/>
    </row>
    <row r="1714" spans="1:9" ht="30">
      <c r="A1714" s="68" t="s">
        <v>1280</v>
      </c>
      <c r="B1714" s="98" t="s">
        <v>1249</v>
      </c>
      <c r="C1714" s="23" t="s">
        <v>1250</v>
      </c>
      <c r="D1714" s="68" t="s">
        <v>7</v>
      </c>
      <c r="E1714" s="24">
        <v>4</v>
      </c>
      <c r="F1714" s="24">
        <f>TRUNC(F1715,2)</f>
        <v>74.95</v>
      </c>
      <c r="G1714" s="24">
        <f>TRUNC(F1714*1.2882,2)</f>
        <v>96.55</v>
      </c>
      <c r="H1714" s="24">
        <f>TRUNC(F1714*E1714,2)</f>
        <v>299.8</v>
      </c>
      <c r="I1714" s="24">
        <f>TRUNC(E1714*G1714,2)</f>
        <v>386.2</v>
      </c>
    </row>
    <row r="1715" spans="1:9" ht="30">
      <c r="A1715" s="74"/>
      <c r="B1715" s="80" t="s">
        <v>1249</v>
      </c>
      <c r="C1715" s="81" t="s">
        <v>1250</v>
      </c>
      <c r="D1715" s="74" t="s">
        <v>7</v>
      </c>
      <c r="E1715" s="78">
        <v>1</v>
      </c>
      <c r="F1715" s="64">
        <f>G1720</f>
        <v>74.95</v>
      </c>
      <c r="G1715" s="64">
        <f>TRUNC(E1715*F1715,2)</f>
        <v>74.95</v>
      </c>
      <c r="H1715" s="64"/>
      <c r="I1715" s="78"/>
    </row>
    <row r="1716" spans="1:9" ht="30">
      <c r="A1716" s="74"/>
      <c r="B1716" s="80" t="s">
        <v>1251</v>
      </c>
      <c r="C1716" s="81" t="s">
        <v>1252</v>
      </c>
      <c r="D1716" s="74" t="s">
        <v>7</v>
      </c>
      <c r="E1716" s="78">
        <v>1</v>
      </c>
      <c r="F1716" s="64">
        <v>61.08</v>
      </c>
      <c r="G1716" s="64">
        <f>TRUNC(E1716*F1716,2)</f>
        <v>61.08</v>
      </c>
      <c r="H1716" s="64"/>
      <c r="I1716" s="78"/>
    </row>
    <row r="1717" spans="1:9" ht="15">
      <c r="A1717" s="74"/>
      <c r="B1717" s="80" t="s">
        <v>1188</v>
      </c>
      <c r="C1717" s="81" t="s">
        <v>1189</v>
      </c>
      <c r="D1717" s="74" t="s">
        <v>7</v>
      </c>
      <c r="E1717" s="78">
        <v>1.32E-2</v>
      </c>
      <c r="F1717" s="64">
        <v>11.69</v>
      </c>
      <c r="G1717" s="64">
        <f>TRUNC(E1717*F1717,2)</f>
        <v>0.15</v>
      </c>
      <c r="H1717" s="64"/>
      <c r="I1717" s="78"/>
    </row>
    <row r="1718" spans="1:9" ht="15">
      <c r="A1718" s="74"/>
      <c r="B1718" s="80" t="s">
        <v>146</v>
      </c>
      <c r="C1718" s="81" t="s">
        <v>147</v>
      </c>
      <c r="D1718" s="74" t="s">
        <v>51</v>
      </c>
      <c r="E1718" s="78">
        <v>0.25950000000000001</v>
      </c>
      <c r="F1718" s="64">
        <f>TRUNC(29.09,2)</f>
        <v>29.09</v>
      </c>
      <c r="G1718" s="64">
        <f>TRUNC(E1718*F1718,2)</f>
        <v>7.54</v>
      </c>
      <c r="H1718" s="64"/>
      <c r="I1718" s="78"/>
    </row>
    <row r="1719" spans="1:9" ht="30">
      <c r="A1719" s="74"/>
      <c r="B1719" s="80" t="s">
        <v>1105</v>
      </c>
      <c r="C1719" s="81" t="s">
        <v>1106</v>
      </c>
      <c r="D1719" s="74" t="s">
        <v>51</v>
      </c>
      <c r="E1719" s="78">
        <v>0.25950000000000001</v>
      </c>
      <c r="F1719" s="64">
        <f>TRUNC(23.85,2)</f>
        <v>23.85</v>
      </c>
      <c r="G1719" s="64">
        <f>TRUNC(E1719*F1719,2)</f>
        <v>6.18</v>
      </c>
      <c r="H1719" s="64"/>
      <c r="I1719" s="78"/>
    </row>
    <row r="1720" spans="1:9" ht="15">
      <c r="A1720" s="74"/>
      <c r="B1720" s="80"/>
      <c r="C1720" s="81"/>
      <c r="D1720" s="74"/>
      <c r="E1720" s="78" t="s">
        <v>33</v>
      </c>
      <c r="F1720" s="64"/>
      <c r="G1720" s="64">
        <f>TRUNC(SUM(G1716:G1719),2)</f>
        <v>74.95</v>
      </c>
      <c r="H1720" s="64"/>
      <c r="I1720" s="78"/>
    </row>
    <row r="1721" spans="1:9" ht="30">
      <c r="A1721" s="68" t="s">
        <v>1281</v>
      </c>
      <c r="B1721" s="98" t="s">
        <v>1254</v>
      </c>
      <c r="C1721" s="23" t="s">
        <v>1255</v>
      </c>
      <c r="D1721" s="68" t="s">
        <v>7</v>
      </c>
      <c r="E1721" s="24">
        <v>6</v>
      </c>
      <c r="F1721" s="24">
        <f>TRUNC(F1722,2)</f>
        <v>61.72</v>
      </c>
      <c r="G1721" s="24">
        <f>TRUNC(F1721*1.2882,2)</f>
        <v>79.5</v>
      </c>
      <c r="H1721" s="24">
        <f>TRUNC(F1721*E1721,2)</f>
        <v>370.32</v>
      </c>
      <c r="I1721" s="24">
        <f>TRUNC(E1721*G1721,2)</f>
        <v>477</v>
      </c>
    </row>
    <row r="1722" spans="1:9" ht="30">
      <c r="A1722" s="74"/>
      <c r="B1722" s="80" t="s">
        <v>1254</v>
      </c>
      <c r="C1722" s="81" t="s">
        <v>1255</v>
      </c>
      <c r="D1722" s="74" t="s">
        <v>7</v>
      </c>
      <c r="E1722" s="78">
        <v>1</v>
      </c>
      <c r="F1722" s="64">
        <f>G1727</f>
        <v>61.72</v>
      </c>
      <c r="G1722" s="64">
        <f>TRUNC(E1722*F1722,2)</f>
        <v>61.72</v>
      </c>
      <c r="H1722" s="64"/>
      <c r="I1722" s="78"/>
    </row>
    <row r="1723" spans="1:9" ht="30">
      <c r="A1723" s="74"/>
      <c r="B1723" s="80" t="s">
        <v>1256</v>
      </c>
      <c r="C1723" s="81" t="s">
        <v>1257</v>
      </c>
      <c r="D1723" s="74" t="s">
        <v>7</v>
      </c>
      <c r="E1723" s="78">
        <v>1</v>
      </c>
      <c r="F1723" s="64">
        <v>49.9</v>
      </c>
      <c r="G1723" s="64">
        <f>TRUNC(E1723*F1723,2)</f>
        <v>49.9</v>
      </c>
      <c r="H1723" s="64"/>
      <c r="I1723" s="78"/>
    </row>
    <row r="1724" spans="1:9" ht="15">
      <c r="A1724" s="74"/>
      <c r="B1724" s="80" t="s">
        <v>1188</v>
      </c>
      <c r="C1724" s="81" t="s">
        <v>1189</v>
      </c>
      <c r="D1724" s="74" t="s">
        <v>7</v>
      </c>
      <c r="E1724" s="78">
        <v>1.06E-2</v>
      </c>
      <c r="F1724" s="64">
        <f>TRUNC(11.69,2)</f>
        <v>11.69</v>
      </c>
      <c r="G1724" s="64">
        <f>TRUNC(E1724*F1724,2)</f>
        <v>0.12</v>
      </c>
      <c r="H1724" s="64"/>
      <c r="I1724" s="78"/>
    </row>
    <row r="1725" spans="1:9" ht="15">
      <c r="A1725" s="74"/>
      <c r="B1725" s="80" t="s">
        <v>146</v>
      </c>
      <c r="C1725" s="81" t="s">
        <v>147</v>
      </c>
      <c r="D1725" s="74" t="s">
        <v>51</v>
      </c>
      <c r="E1725" s="78">
        <v>0.22120000000000001</v>
      </c>
      <c r="F1725" s="64">
        <f>TRUNC(29.09,2)</f>
        <v>29.09</v>
      </c>
      <c r="G1725" s="64">
        <f>TRUNC(E1725*F1725,2)</f>
        <v>6.43</v>
      </c>
      <c r="H1725" s="64"/>
      <c r="I1725" s="78"/>
    </row>
    <row r="1726" spans="1:9" ht="30">
      <c r="A1726" s="74"/>
      <c r="B1726" s="80" t="s">
        <v>1105</v>
      </c>
      <c r="C1726" s="81" t="s">
        <v>1106</v>
      </c>
      <c r="D1726" s="74" t="s">
        <v>51</v>
      </c>
      <c r="E1726" s="78">
        <v>0.22120000000000001</v>
      </c>
      <c r="F1726" s="64">
        <f>TRUNC(23.85,2)</f>
        <v>23.85</v>
      </c>
      <c r="G1726" s="64">
        <f>TRUNC(E1726*F1726,2)</f>
        <v>5.27</v>
      </c>
      <c r="H1726" s="64"/>
      <c r="I1726" s="78"/>
    </row>
    <row r="1727" spans="1:9" ht="15">
      <c r="A1727" s="74"/>
      <c r="B1727" s="80"/>
      <c r="C1727" s="81"/>
      <c r="D1727" s="74"/>
      <c r="E1727" s="78" t="s">
        <v>33</v>
      </c>
      <c r="F1727" s="64"/>
      <c r="G1727" s="64">
        <f>TRUNC(SUM(G1723:G1726),2)</f>
        <v>61.72</v>
      </c>
      <c r="H1727" s="64"/>
      <c r="I1727" s="78"/>
    </row>
    <row r="1728" spans="1:9" ht="45">
      <c r="A1728" s="68" t="s">
        <v>1282</v>
      </c>
      <c r="B1728" s="98" t="s">
        <v>1275</v>
      </c>
      <c r="C1728" s="23" t="s">
        <v>1276</v>
      </c>
      <c r="D1728" s="68" t="s">
        <v>23</v>
      </c>
      <c r="E1728" s="24">
        <v>23</v>
      </c>
      <c r="F1728" s="24">
        <f>TRUNC(F1729,2)</f>
        <v>169.47</v>
      </c>
      <c r="G1728" s="24">
        <f>TRUNC(F1728*1.2882,2)</f>
        <v>218.31</v>
      </c>
      <c r="H1728" s="24">
        <f>TRUNC(F1728*E1728,2)</f>
        <v>3897.81</v>
      </c>
      <c r="I1728" s="24">
        <f>TRUNC(E1728*G1728,2)</f>
        <v>5021.13</v>
      </c>
    </row>
    <row r="1729" spans="1:9" ht="45">
      <c r="A1729" s="74"/>
      <c r="B1729" s="80" t="s">
        <v>1275</v>
      </c>
      <c r="C1729" s="81" t="s">
        <v>1276</v>
      </c>
      <c r="D1729" s="74" t="s">
        <v>23</v>
      </c>
      <c r="E1729" s="78">
        <v>1</v>
      </c>
      <c r="F1729" s="64">
        <f>G1734</f>
        <v>169.47</v>
      </c>
      <c r="G1729" s="64">
        <f>TRUNC(E1729*F1729,2)</f>
        <v>169.47</v>
      </c>
      <c r="H1729" s="64"/>
      <c r="I1729" s="78"/>
    </row>
    <row r="1730" spans="1:9" ht="30">
      <c r="A1730" s="74"/>
      <c r="B1730" s="80" t="s">
        <v>1277</v>
      </c>
      <c r="C1730" s="81" t="s">
        <v>1278</v>
      </c>
      <c r="D1730" s="74" t="s">
        <v>23</v>
      </c>
      <c r="E1730" s="78">
        <v>1.05</v>
      </c>
      <c r="F1730" s="64">
        <v>153.33000000000001</v>
      </c>
      <c r="G1730" s="64">
        <f>TRUNC(E1730*F1730,2)</f>
        <v>160.99</v>
      </c>
      <c r="H1730" s="64"/>
      <c r="I1730" s="78"/>
    </row>
    <row r="1731" spans="1:9" ht="15">
      <c r="A1731" s="74"/>
      <c r="B1731" s="80" t="s">
        <v>652</v>
      </c>
      <c r="C1731" s="81" t="s">
        <v>653</v>
      </c>
      <c r="D1731" s="74" t="s">
        <v>7</v>
      </c>
      <c r="E1731" s="78">
        <v>0.3</v>
      </c>
      <c r="F1731" s="64">
        <v>5.95</v>
      </c>
      <c r="G1731" s="64">
        <f>TRUNC(E1731*F1731,2)</f>
        <v>1.78</v>
      </c>
      <c r="H1731" s="64"/>
      <c r="I1731" s="78"/>
    </row>
    <row r="1732" spans="1:9" ht="30">
      <c r="A1732" s="74"/>
      <c r="B1732" s="80" t="s">
        <v>49</v>
      </c>
      <c r="C1732" s="81" t="s">
        <v>50</v>
      </c>
      <c r="D1732" s="74" t="s">
        <v>51</v>
      </c>
      <c r="E1732" s="78">
        <v>0.18540000000000001</v>
      </c>
      <c r="F1732" s="64">
        <f>TRUNC(15.2,2)</f>
        <v>15.2</v>
      </c>
      <c r="G1732" s="64">
        <f>TRUNC(E1732*F1732,2)</f>
        <v>2.81</v>
      </c>
      <c r="H1732" s="64"/>
      <c r="I1732" s="78"/>
    </row>
    <row r="1733" spans="1:9" ht="30">
      <c r="A1733" s="74"/>
      <c r="B1733" s="80" t="s">
        <v>82</v>
      </c>
      <c r="C1733" s="81" t="s">
        <v>83</v>
      </c>
      <c r="D1733" s="74" t="s">
        <v>51</v>
      </c>
      <c r="E1733" s="78">
        <v>0.18540000000000001</v>
      </c>
      <c r="F1733" s="64">
        <f>TRUNC(21,2)</f>
        <v>21</v>
      </c>
      <c r="G1733" s="64">
        <f>TRUNC(E1733*F1733,2)</f>
        <v>3.89</v>
      </c>
      <c r="H1733" s="64"/>
      <c r="I1733" s="78"/>
    </row>
    <row r="1734" spans="1:9" ht="15">
      <c r="A1734" s="74"/>
      <c r="B1734" s="80"/>
      <c r="C1734" s="81"/>
      <c r="D1734" s="74"/>
      <c r="E1734" s="78" t="s">
        <v>33</v>
      </c>
      <c r="F1734" s="64"/>
      <c r="G1734" s="64">
        <f>TRUNC(SUM(G1730:G1733),2)</f>
        <v>169.47</v>
      </c>
      <c r="H1734" s="64"/>
      <c r="I1734" s="78"/>
    </row>
    <row r="1735" spans="1:9" ht="45">
      <c r="A1735" s="68" t="s">
        <v>1283</v>
      </c>
      <c r="B1735" s="98" t="s">
        <v>1259</v>
      </c>
      <c r="C1735" s="23" t="s">
        <v>1260</v>
      </c>
      <c r="D1735" s="68" t="s">
        <v>23</v>
      </c>
      <c r="E1735" s="24">
        <v>43</v>
      </c>
      <c r="F1735" s="24">
        <f>TRUNC(F1736,2)</f>
        <v>69.989999999999995</v>
      </c>
      <c r="G1735" s="24">
        <f>TRUNC(F1735*1.2882,2)</f>
        <v>90.16</v>
      </c>
      <c r="H1735" s="24">
        <f>TRUNC(F1735*E1735,2)</f>
        <v>3009.57</v>
      </c>
      <c r="I1735" s="24">
        <f>TRUNC(E1735*G1735,2)</f>
        <v>3876.88</v>
      </c>
    </row>
    <row r="1736" spans="1:9" ht="45">
      <c r="A1736" s="74"/>
      <c r="B1736" s="80" t="s">
        <v>1259</v>
      </c>
      <c r="C1736" s="81" t="s">
        <v>1260</v>
      </c>
      <c r="D1736" s="74" t="s">
        <v>23</v>
      </c>
      <c r="E1736" s="78">
        <v>1</v>
      </c>
      <c r="F1736" s="64">
        <f>G1741</f>
        <v>69.989999999999995</v>
      </c>
      <c r="G1736" s="64">
        <f>TRUNC(E1736*F1736,2)</f>
        <v>69.989999999999995</v>
      </c>
      <c r="H1736" s="64"/>
      <c r="I1736" s="78"/>
    </row>
    <row r="1737" spans="1:9" ht="30">
      <c r="A1737" s="74"/>
      <c r="B1737" s="80" t="s">
        <v>1261</v>
      </c>
      <c r="C1737" s="81" t="s">
        <v>1262</v>
      </c>
      <c r="D1737" s="74" t="s">
        <v>7</v>
      </c>
      <c r="E1737" s="78">
        <v>0.1925</v>
      </c>
      <c r="F1737" s="64">
        <v>266.77</v>
      </c>
      <c r="G1737" s="64">
        <f>TRUNC(E1737*F1737,2)</f>
        <v>51.35</v>
      </c>
      <c r="H1737" s="64"/>
      <c r="I1737" s="78"/>
    </row>
    <row r="1738" spans="1:9" ht="15">
      <c r="A1738" s="74"/>
      <c r="B1738" s="80" t="s">
        <v>652</v>
      </c>
      <c r="C1738" s="81" t="s">
        <v>653</v>
      </c>
      <c r="D1738" s="74" t="s">
        <v>7</v>
      </c>
      <c r="E1738" s="78">
        <v>0.44000000000000006</v>
      </c>
      <c r="F1738" s="64">
        <v>5.95</v>
      </c>
      <c r="G1738" s="64">
        <f>TRUNC(E1738*F1738,2)</f>
        <v>2.61</v>
      </c>
      <c r="H1738" s="64"/>
      <c r="I1738" s="78"/>
    </row>
    <row r="1739" spans="1:9" ht="30">
      <c r="A1739" s="74"/>
      <c r="B1739" s="80" t="s">
        <v>49</v>
      </c>
      <c r="C1739" s="81" t="s">
        <v>50</v>
      </c>
      <c r="D1739" s="74" t="s">
        <v>51</v>
      </c>
      <c r="E1739" s="78">
        <v>0.44290000000000002</v>
      </c>
      <c r="F1739" s="64">
        <f>TRUNC(15.2,2)</f>
        <v>15.2</v>
      </c>
      <c r="G1739" s="64">
        <f>TRUNC(E1739*F1739,2)</f>
        <v>6.73</v>
      </c>
      <c r="H1739" s="64"/>
      <c r="I1739" s="78"/>
    </row>
    <row r="1740" spans="1:9" ht="30">
      <c r="A1740" s="74"/>
      <c r="B1740" s="80" t="s">
        <v>82</v>
      </c>
      <c r="C1740" s="81" t="s">
        <v>83</v>
      </c>
      <c r="D1740" s="74" t="s">
        <v>51</v>
      </c>
      <c r="E1740" s="78">
        <v>0.44290000000000002</v>
      </c>
      <c r="F1740" s="64">
        <f>TRUNC(21,2)</f>
        <v>21</v>
      </c>
      <c r="G1740" s="64">
        <f>TRUNC(E1740*F1740,2)</f>
        <v>9.3000000000000007</v>
      </c>
      <c r="H1740" s="64"/>
      <c r="I1740" s="78"/>
    </row>
    <row r="1741" spans="1:9" ht="15">
      <c r="A1741" s="74"/>
      <c r="B1741" s="80"/>
      <c r="C1741" s="81"/>
      <c r="D1741" s="74"/>
      <c r="E1741" s="78" t="s">
        <v>33</v>
      </c>
      <c r="F1741" s="64"/>
      <c r="G1741" s="64">
        <f>TRUNC(SUM(G1737:G1740),2)</f>
        <v>69.989999999999995</v>
      </c>
      <c r="H1741" s="64"/>
      <c r="I1741" s="78"/>
    </row>
    <row r="1742" spans="1:9" ht="45">
      <c r="A1742" s="68" t="s">
        <v>1284</v>
      </c>
      <c r="B1742" s="98" t="s">
        <v>1263</v>
      </c>
      <c r="C1742" s="23" t="s">
        <v>1264</v>
      </c>
      <c r="D1742" s="68" t="s">
        <v>23</v>
      </c>
      <c r="E1742" s="24">
        <v>94</v>
      </c>
      <c r="F1742" s="24">
        <f>TRUNC(F1743,2)</f>
        <v>32.380000000000003</v>
      </c>
      <c r="G1742" s="24">
        <f>TRUNC(F1742*1.2882,2)</f>
        <v>41.71</v>
      </c>
      <c r="H1742" s="24">
        <f>TRUNC(F1742*E1742,2)</f>
        <v>3043.72</v>
      </c>
      <c r="I1742" s="24">
        <f>TRUNC(E1742*G1742,2)</f>
        <v>3920.74</v>
      </c>
    </row>
    <row r="1743" spans="1:9" ht="45">
      <c r="A1743" s="74"/>
      <c r="B1743" s="80" t="s">
        <v>1263</v>
      </c>
      <c r="C1743" s="81" t="s">
        <v>1264</v>
      </c>
      <c r="D1743" s="74" t="s">
        <v>23</v>
      </c>
      <c r="E1743" s="78">
        <v>1</v>
      </c>
      <c r="F1743" s="64">
        <f>G1748</f>
        <v>32.380000000000003</v>
      </c>
      <c r="G1743" s="64">
        <f>TRUNC(E1743*F1743,2)</f>
        <v>32.380000000000003</v>
      </c>
      <c r="H1743" s="64"/>
      <c r="I1743" s="78"/>
    </row>
    <row r="1744" spans="1:9" ht="30">
      <c r="A1744" s="74"/>
      <c r="B1744" s="80" t="s">
        <v>755</v>
      </c>
      <c r="C1744" s="81" t="s">
        <v>756</v>
      </c>
      <c r="D1744" s="74" t="s">
        <v>7</v>
      </c>
      <c r="E1744" s="78">
        <v>0.17499999999999999</v>
      </c>
      <c r="F1744" s="64">
        <v>100.39</v>
      </c>
      <c r="G1744" s="64">
        <f>TRUNC(E1744*F1744,2)</f>
        <v>17.559999999999999</v>
      </c>
      <c r="H1744" s="64"/>
      <c r="I1744" s="78"/>
    </row>
    <row r="1745" spans="1:9" ht="15">
      <c r="A1745" s="74"/>
      <c r="B1745" s="80" t="s">
        <v>652</v>
      </c>
      <c r="C1745" s="81" t="s">
        <v>653</v>
      </c>
      <c r="D1745" s="74" t="s">
        <v>7</v>
      </c>
      <c r="E1745" s="78">
        <v>0.3</v>
      </c>
      <c r="F1745" s="64">
        <v>5.95</v>
      </c>
      <c r="G1745" s="64">
        <f>TRUNC(E1745*F1745,2)</f>
        <v>1.78</v>
      </c>
      <c r="H1745" s="64"/>
      <c r="I1745" s="78"/>
    </row>
    <row r="1746" spans="1:9" ht="30">
      <c r="A1746" s="74"/>
      <c r="B1746" s="80" t="s">
        <v>49</v>
      </c>
      <c r="C1746" s="81" t="s">
        <v>50</v>
      </c>
      <c r="D1746" s="74" t="s">
        <v>51</v>
      </c>
      <c r="E1746" s="78">
        <v>0.36049999999999999</v>
      </c>
      <c r="F1746" s="64">
        <f>TRUNC(15.2,2)</f>
        <v>15.2</v>
      </c>
      <c r="G1746" s="64">
        <f>TRUNC(E1746*F1746,2)</f>
        <v>5.47</v>
      </c>
      <c r="H1746" s="64"/>
      <c r="I1746" s="78"/>
    </row>
    <row r="1747" spans="1:9" ht="30">
      <c r="A1747" s="74"/>
      <c r="B1747" s="80" t="s">
        <v>82</v>
      </c>
      <c r="C1747" s="81" t="s">
        <v>83</v>
      </c>
      <c r="D1747" s="74" t="s">
        <v>51</v>
      </c>
      <c r="E1747" s="78">
        <v>0.36049999999999999</v>
      </c>
      <c r="F1747" s="64">
        <f>TRUNC(21,2)</f>
        <v>21</v>
      </c>
      <c r="G1747" s="64">
        <f>TRUNC(E1747*F1747,2)</f>
        <v>7.57</v>
      </c>
      <c r="H1747" s="64"/>
      <c r="I1747" s="78"/>
    </row>
    <row r="1748" spans="1:9" ht="15">
      <c r="A1748" s="74"/>
      <c r="B1748" s="80"/>
      <c r="C1748" s="81"/>
      <c r="D1748" s="74"/>
      <c r="E1748" s="78" t="s">
        <v>33</v>
      </c>
      <c r="F1748" s="64"/>
      <c r="G1748" s="64">
        <f>TRUNC(SUM(G1744:G1747),2)</f>
        <v>32.380000000000003</v>
      </c>
      <c r="H1748" s="64"/>
      <c r="I1748" s="78"/>
    </row>
    <row r="1749" spans="1:9" ht="45">
      <c r="A1749" s="68" t="s">
        <v>1299</v>
      </c>
      <c r="B1749" s="98" t="s">
        <v>1265</v>
      </c>
      <c r="C1749" s="23" t="s">
        <v>1266</v>
      </c>
      <c r="D1749" s="68" t="s">
        <v>23</v>
      </c>
      <c r="E1749" s="24">
        <v>26</v>
      </c>
      <c r="F1749" s="24">
        <f>TRUNC(F1750,2)</f>
        <v>28.9</v>
      </c>
      <c r="G1749" s="24">
        <f>TRUNC(F1749*1.2882,2)</f>
        <v>37.22</v>
      </c>
      <c r="H1749" s="24">
        <f>TRUNC(F1749*E1749,2)</f>
        <v>751.4</v>
      </c>
      <c r="I1749" s="24">
        <f>TRUNC(E1749*G1749,2)</f>
        <v>967.72</v>
      </c>
    </row>
    <row r="1750" spans="1:9" ht="45">
      <c r="A1750" s="74"/>
      <c r="B1750" s="80" t="s">
        <v>1265</v>
      </c>
      <c r="C1750" s="81" t="s">
        <v>1266</v>
      </c>
      <c r="D1750" s="74" t="s">
        <v>23</v>
      </c>
      <c r="E1750" s="78">
        <v>1</v>
      </c>
      <c r="F1750" s="64">
        <f>G1755</f>
        <v>28.9</v>
      </c>
      <c r="G1750" s="64">
        <f>TRUNC(E1750*F1750,2)</f>
        <v>28.9</v>
      </c>
      <c r="H1750" s="64"/>
      <c r="I1750" s="78"/>
    </row>
    <row r="1751" spans="1:9" ht="30">
      <c r="A1751" s="74"/>
      <c r="B1751" s="80" t="s">
        <v>765</v>
      </c>
      <c r="C1751" s="81" t="s">
        <v>766</v>
      </c>
      <c r="D1751" s="74" t="s">
        <v>7</v>
      </c>
      <c r="E1751" s="78">
        <v>0.17499999999999999</v>
      </c>
      <c r="F1751" s="64">
        <v>92.87</v>
      </c>
      <c r="G1751" s="64">
        <f>TRUNC(E1751*F1751,2)</f>
        <v>16.25</v>
      </c>
      <c r="H1751" s="64"/>
      <c r="I1751" s="78"/>
    </row>
    <row r="1752" spans="1:9" ht="15">
      <c r="A1752" s="74"/>
      <c r="B1752" s="80" t="s">
        <v>652</v>
      </c>
      <c r="C1752" s="81" t="s">
        <v>653</v>
      </c>
      <c r="D1752" s="74" t="s">
        <v>7</v>
      </c>
      <c r="E1752" s="78">
        <v>0.25</v>
      </c>
      <c r="F1752" s="64">
        <v>5.95</v>
      </c>
      <c r="G1752" s="64">
        <f>TRUNC(E1752*F1752,2)</f>
        <v>1.48</v>
      </c>
      <c r="H1752" s="64"/>
      <c r="I1752" s="78"/>
    </row>
    <row r="1753" spans="1:9" ht="30">
      <c r="A1753" s="74"/>
      <c r="B1753" s="80" t="s">
        <v>49</v>
      </c>
      <c r="C1753" s="81" t="s">
        <v>50</v>
      </c>
      <c r="D1753" s="74" t="s">
        <v>51</v>
      </c>
      <c r="E1753" s="78">
        <v>0.309</v>
      </c>
      <c r="F1753" s="64">
        <f>TRUNC(15.2,2)</f>
        <v>15.2</v>
      </c>
      <c r="G1753" s="64">
        <f>TRUNC(E1753*F1753,2)</f>
        <v>4.6900000000000004</v>
      </c>
      <c r="H1753" s="64"/>
      <c r="I1753" s="78"/>
    </row>
    <row r="1754" spans="1:9" ht="30">
      <c r="A1754" s="74"/>
      <c r="B1754" s="80" t="s">
        <v>82</v>
      </c>
      <c r="C1754" s="81" t="s">
        <v>83</v>
      </c>
      <c r="D1754" s="74" t="s">
        <v>51</v>
      </c>
      <c r="E1754" s="78">
        <v>0.309</v>
      </c>
      <c r="F1754" s="64">
        <f>TRUNC(21,2)</f>
        <v>21</v>
      </c>
      <c r="G1754" s="64">
        <f>TRUNC(E1754*F1754,2)</f>
        <v>6.48</v>
      </c>
      <c r="H1754" s="64"/>
      <c r="I1754" s="78"/>
    </row>
    <row r="1755" spans="1:9" ht="15">
      <c r="A1755" s="74"/>
      <c r="B1755" s="80"/>
      <c r="C1755" s="81"/>
      <c r="D1755" s="74"/>
      <c r="E1755" s="78" t="s">
        <v>33</v>
      </c>
      <c r="F1755" s="64"/>
      <c r="G1755" s="64">
        <f>TRUNC(SUM(G1751:G1754),2)</f>
        <v>28.9</v>
      </c>
      <c r="H1755" s="64"/>
      <c r="I1755" s="78"/>
    </row>
    <row r="1756" spans="1:9" ht="45">
      <c r="A1756" s="68" t="s">
        <v>1300</v>
      </c>
      <c r="B1756" s="98" t="s">
        <v>1267</v>
      </c>
      <c r="C1756" s="23" t="s">
        <v>1268</v>
      </c>
      <c r="D1756" s="68" t="s">
        <v>23</v>
      </c>
      <c r="E1756" s="24">
        <v>65.540000000000006</v>
      </c>
      <c r="F1756" s="24">
        <f>TRUNC(F1757,2)</f>
        <v>19.600000000000001</v>
      </c>
      <c r="G1756" s="24">
        <f>TRUNC(F1756*1.2882,2)</f>
        <v>25.24</v>
      </c>
      <c r="H1756" s="24">
        <f>TRUNC(F1756*E1756,2)</f>
        <v>1284.58</v>
      </c>
      <c r="I1756" s="24">
        <f>TRUNC(E1756*G1756,2)</f>
        <v>1654.22</v>
      </c>
    </row>
    <row r="1757" spans="1:9" ht="45">
      <c r="A1757" s="74"/>
      <c r="B1757" s="80" t="s">
        <v>1267</v>
      </c>
      <c r="C1757" s="81" t="s">
        <v>1268</v>
      </c>
      <c r="D1757" s="74" t="s">
        <v>23</v>
      </c>
      <c r="E1757" s="78">
        <v>1</v>
      </c>
      <c r="F1757" s="64">
        <f>G1762</f>
        <v>19.600000000000001</v>
      </c>
      <c r="G1757" s="64">
        <f>TRUNC(E1757*F1757,2)</f>
        <v>19.600000000000001</v>
      </c>
      <c r="H1757" s="64"/>
      <c r="I1757" s="78"/>
    </row>
    <row r="1758" spans="1:9" ht="30">
      <c r="A1758" s="74"/>
      <c r="B1758" s="80" t="s">
        <v>1269</v>
      </c>
      <c r="C1758" s="81" t="s">
        <v>1270</v>
      </c>
      <c r="D1758" s="74" t="s">
        <v>7</v>
      </c>
      <c r="E1758" s="78">
        <v>0.17499999999999999</v>
      </c>
      <c r="F1758" s="64">
        <v>59.13</v>
      </c>
      <c r="G1758" s="64">
        <f>TRUNC(E1758*F1758,2)</f>
        <v>10.34</v>
      </c>
      <c r="H1758" s="64"/>
      <c r="I1758" s="78"/>
    </row>
    <row r="1759" spans="1:9" ht="15">
      <c r="A1759" s="74"/>
      <c r="B1759" s="80" t="s">
        <v>652</v>
      </c>
      <c r="C1759" s="81" t="s">
        <v>653</v>
      </c>
      <c r="D1759" s="74" t="s">
        <v>7</v>
      </c>
      <c r="E1759" s="78">
        <v>0.18</v>
      </c>
      <c r="F1759" s="64">
        <v>5.95</v>
      </c>
      <c r="G1759" s="64">
        <f>TRUNC(E1759*F1759,2)</f>
        <v>1.07</v>
      </c>
      <c r="H1759" s="64"/>
      <c r="I1759" s="78"/>
    </row>
    <row r="1760" spans="1:9" ht="30">
      <c r="A1760" s="74"/>
      <c r="B1760" s="80" t="s">
        <v>49</v>
      </c>
      <c r="C1760" s="81" t="s">
        <v>50</v>
      </c>
      <c r="D1760" s="74" t="s">
        <v>51</v>
      </c>
      <c r="E1760" s="78">
        <v>0.2266</v>
      </c>
      <c r="F1760" s="64">
        <f>TRUNC(15.2,2)</f>
        <v>15.2</v>
      </c>
      <c r="G1760" s="64">
        <f>TRUNC(E1760*F1760,2)</f>
        <v>3.44</v>
      </c>
      <c r="H1760" s="64"/>
      <c r="I1760" s="78"/>
    </row>
    <row r="1761" spans="1:9" ht="30">
      <c r="A1761" s="74"/>
      <c r="B1761" s="80" t="s">
        <v>82</v>
      </c>
      <c r="C1761" s="81" t="s">
        <v>83</v>
      </c>
      <c r="D1761" s="74" t="s">
        <v>51</v>
      </c>
      <c r="E1761" s="78">
        <v>0.2266</v>
      </c>
      <c r="F1761" s="64">
        <f>TRUNC(21,2)</f>
        <v>21</v>
      </c>
      <c r="G1761" s="64">
        <f>TRUNC(E1761*F1761,2)</f>
        <v>4.75</v>
      </c>
      <c r="H1761" s="64"/>
      <c r="I1761" s="78"/>
    </row>
    <row r="1762" spans="1:9" ht="15">
      <c r="A1762" s="74"/>
      <c r="B1762" s="80"/>
      <c r="C1762" s="81"/>
      <c r="D1762" s="74"/>
      <c r="E1762" s="78" t="s">
        <v>33</v>
      </c>
      <c r="F1762" s="64"/>
      <c r="G1762" s="64">
        <f>TRUNC(SUM(G1758:G1761),2)</f>
        <v>19.600000000000001</v>
      </c>
      <c r="H1762" s="64"/>
      <c r="I1762" s="78"/>
    </row>
    <row r="1763" spans="1:9" ht="45">
      <c r="A1763" s="68" t="s">
        <v>1309</v>
      </c>
      <c r="B1763" s="98" t="s">
        <v>1271</v>
      </c>
      <c r="C1763" s="23" t="s">
        <v>1272</v>
      </c>
      <c r="D1763" s="68" t="s">
        <v>23</v>
      </c>
      <c r="E1763" s="24">
        <v>38</v>
      </c>
      <c r="F1763" s="24">
        <f>TRUNC(F1764,2)</f>
        <v>13.98</v>
      </c>
      <c r="G1763" s="24">
        <f>TRUNC(F1763*1.2882,2)</f>
        <v>18</v>
      </c>
      <c r="H1763" s="24">
        <f>TRUNC(F1763*E1763,2)</f>
        <v>531.24</v>
      </c>
      <c r="I1763" s="24">
        <f>TRUNC(E1763*G1763,2)</f>
        <v>684</v>
      </c>
    </row>
    <row r="1764" spans="1:9" ht="45">
      <c r="A1764" s="74"/>
      <c r="B1764" s="80" t="s">
        <v>1271</v>
      </c>
      <c r="C1764" s="81" t="s">
        <v>1272</v>
      </c>
      <c r="D1764" s="74" t="s">
        <v>23</v>
      </c>
      <c r="E1764" s="78">
        <v>1</v>
      </c>
      <c r="F1764" s="64">
        <f>G1769</f>
        <v>13.98</v>
      </c>
      <c r="G1764" s="64">
        <f>TRUNC(E1764*F1764,2)</f>
        <v>13.98</v>
      </c>
      <c r="H1764" s="64"/>
      <c r="I1764" s="78"/>
    </row>
    <row r="1765" spans="1:9" ht="30">
      <c r="A1765" s="74"/>
      <c r="B1765" s="80" t="s">
        <v>1273</v>
      </c>
      <c r="C1765" s="81" t="s">
        <v>1274</v>
      </c>
      <c r="D1765" s="74" t="s">
        <v>7</v>
      </c>
      <c r="E1765" s="78">
        <v>0.17499999999999999</v>
      </c>
      <c r="F1765" s="64">
        <v>36.86</v>
      </c>
      <c r="G1765" s="64">
        <f>TRUNC(E1765*F1765,2)</f>
        <v>6.45</v>
      </c>
      <c r="H1765" s="64"/>
      <c r="I1765" s="78"/>
    </row>
    <row r="1766" spans="1:9" ht="15">
      <c r="A1766" s="74"/>
      <c r="B1766" s="80" t="s">
        <v>652</v>
      </c>
      <c r="C1766" s="81" t="s">
        <v>653</v>
      </c>
      <c r="D1766" s="74" t="s">
        <v>7</v>
      </c>
      <c r="E1766" s="78">
        <v>0.14000000000000001</v>
      </c>
      <c r="F1766" s="64">
        <v>5.95</v>
      </c>
      <c r="G1766" s="64">
        <f>TRUNC(E1766*F1766,2)</f>
        <v>0.83</v>
      </c>
      <c r="H1766" s="64"/>
      <c r="I1766" s="78"/>
    </row>
    <row r="1767" spans="1:9" ht="30">
      <c r="A1767" s="74"/>
      <c r="B1767" s="80" t="s">
        <v>49</v>
      </c>
      <c r="C1767" s="81" t="s">
        <v>50</v>
      </c>
      <c r="D1767" s="74" t="s">
        <v>51</v>
      </c>
      <c r="E1767" s="78">
        <v>0.18540000000000001</v>
      </c>
      <c r="F1767" s="64">
        <f>TRUNC(15.2,2)</f>
        <v>15.2</v>
      </c>
      <c r="G1767" s="64">
        <f>TRUNC(E1767*F1767,2)</f>
        <v>2.81</v>
      </c>
      <c r="H1767" s="64"/>
      <c r="I1767" s="78"/>
    </row>
    <row r="1768" spans="1:9" ht="30">
      <c r="A1768" s="74"/>
      <c r="B1768" s="80" t="s">
        <v>82</v>
      </c>
      <c r="C1768" s="81" t="s">
        <v>83</v>
      </c>
      <c r="D1768" s="74" t="s">
        <v>51</v>
      </c>
      <c r="E1768" s="78">
        <v>0.18540000000000001</v>
      </c>
      <c r="F1768" s="64">
        <f>TRUNC(21,2)</f>
        <v>21</v>
      </c>
      <c r="G1768" s="64">
        <f>TRUNC(E1768*F1768,2)</f>
        <v>3.89</v>
      </c>
      <c r="H1768" s="64"/>
      <c r="I1768" s="78"/>
    </row>
    <row r="1769" spans="1:9" ht="15">
      <c r="A1769" s="74"/>
      <c r="B1769" s="80"/>
      <c r="C1769" s="81"/>
      <c r="D1769" s="74"/>
      <c r="E1769" s="78" t="s">
        <v>33</v>
      </c>
      <c r="F1769" s="64"/>
      <c r="G1769" s="64">
        <f>TRUNC(SUM(G1765:G1768),2)</f>
        <v>13.98</v>
      </c>
      <c r="H1769" s="64"/>
      <c r="I1769" s="78"/>
    </row>
    <row r="1770" spans="1:9" ht="45">
      <c r="A1770" s="68" t="s">
        <v>1310</v>
      </c>
      <c r="B1770" s="98" t="s">
        <v>1285</v>
      </c>
      <c r="C1770" s="23" t="s">
        <v>1286</v>
      </c>
      <c r="D1770" s="68" t="s">
        <v>7</v>
      </c>
      <c r="E1770" s="24">
        <v>8</v>
      </c>
      <c r="F1770" s="24">
        <f>TRUNC(F1771,2)</f>
        <v>41.74</v>
      </c>
      <c r="G1770" s="24">
        <f>TRUNC(F1770*1.2882,2)</f>
        <v>53.76</v>
      </c>
      <c r="H1770" s="24">
        <f>TRUNC(F1770*E1770,2)</f>
        <v>333.92</v>
      </c>
      <c r="I1770" s="24">
        <f>TRUNC(E1770*G1770,2)</f>
        <v>430.08</v>
      </c>
    </row>
    <row r="1771" spans="1:9" ht="45">
      <c r="A1771" s="74"/>
      <c r="B1771" s="80" t="s">
        <v>1285</v>
      </c>
      <c r="C1771" s="81" t="s">
        <v>1286</v>
      </c>
      <c r="D1771" s="74" t="s">
        <v>7</v>
      </c>
      <c r="E1771" s="78">
        <v>1</v>
      </c>
      <c r="F1771" s="64">
        <f>TRUNC(41.74874,2)</f>
        <v>41.74</v>
      </c>
      <c r="G1771" s="64">
        <f t="shared" ref="G1771:G1776" si="103">TRUNC(E1771*F1771,2)</f>
        <v>41.74</v>
      </c>
      <c r="H1771" s="64"/>
      <c r="I1771" s="78"/>
    </row>
    <row r="1772" spans="1:9" ht="30">
      <c r="A1772" s="74"/>
      <c r="B1772" s="80" t="s">
        <v>1287</v>
      </c>
      <c r="C1772" s="81" t="s">
        <v>1288</v>
      </c>
      <c r="D1772" s="74" t="s">
        <v>7</v>
      </c>
      <c r="E1772" s="78">
        <v>4.5999999999999999E-2</v>
      </c>
      <c r="F1772" s="64">
        <v>31.44</v>
      </c>
      <c r="G1772" s="64">
        <f t="shared" si="103"/>
        <v>1.44</v>
      </c>
      <c r="H1772" s="64"/>
      <c r="I1772" s="78"/>
    </row>
    <row r="1773" spans="1:9" ht="15">
      <c r="A1773" s="74"/>
      <c r="B1773" s="80" t="s">
        <v>1289</v>
      </c>
      <c r="C1773" s="81" t="s">
        <v>1290</v>
      </c>
      <c r="D1773" s="74" t="s">
        <v>7</v>
      </c>
      <c r="E1773" s="78">
        <v>1</v>
      </c>
      <c r="F1773" s="64">
        <v>24.34</v>
      </c>
      <c r="G1773" s="64">
        <f t="shared" si="103"/>
        <v>24.34</v>
      </c>
      <c r="H1773" s="64"/>
      <c r="I1773" s="78"/>
    </row>
    <row r="1774" spans="1:9" ht="15">
      <c r="A1774" s="74"/>
      <c r="B1774" s="80" t="s">
        <v>1291</v>
      </c>
      <c r="C1774" s="81" t="s">
        <v>1292</v>
      </c>
      <c r="D1774" s="74" t="s">
        <v>7</v>
      </c>
      <c r="E1774" s="78">
        <v>1</v>
      </c>
      <c r="F1774" s="64">
        <v>3.9</v>
      </c>
      <c r="G1774" s="64">
        <f t="shared" si="103"/>
        <v>3.9</v>
      </c>
      <c r="H1774" s="64"/>
      <c r="I1774" s="78"/>
    </row>
    <row r="1775" spans="1:9" ht="15">
      <c r="A1775" s="74"/>
      <c r="B1775" s="80" t="s">
        <v>146</v>
      </c>
      <c r="C1775" s="81" t="s">
        <v>147</v>
      </c>
      <c r="D1775" s="74" t="s">
        <v>51</v>
      </c>
      <c r="E1775" s="78">
        <v>0.25</v>
      </c>
      <c r="F1775" s="64">
        <f>TRUNC(29.09,2)</f>
        <v>29.09</v>
      </c>
      <c r="G1775" s="64">
        <f t="shared" si="103"/>
        <v>7.27</v>
      </c>
      <c r="H1775" s="64"/>
      <c r="I1775" s="78"/>
    </row>
    <row r="1776" spans="1:9" ht="30">
      <c r="A1776" s="74"/>
      <c r="B1776" s="80" t="s">
        <v>1105</v>
      </c>
      <c r="C1776" s="81" t="s">
        <v>1106</v>
      </c>
      <c r="D1776" s="74" t="s">
        <v>51</v>
      </c>
      <c r="E1776" s="78">
        <v>0.25</v>
      </c>
      <c r="F1776" s="64">
        <f>TRUNC(23.85,2)</f>
        <v>23.85</v>
      </c>
      <c r="G1776" s="64">
        <f t="shared" si="103"/>
        <v>5.96</v>
      </c>
      <c r="H1776" s="64"/>
      <c r="I1776" s="78"/>
    </row>
    <row r="1777" spans="1:9" ht="15">
      <c r="A1777" s="74"/>
      <c r="B1777" s="80"/>
      <c r="C1777" s="81"/>
      <c r="D1777" s="74"/>
      <c r="E1777" s="78" t="s">
        <v>33</v>
      </c>
      <c r="F1777" s="64"/>
      <c r="G1777" s="64">
        <f>TRUNC(SUM(G1772:G1776),2)</f>
        <v>42.91</v>
      </c>
      <c r="H1777" s="64"/>
      <c r="I1777" s="78"/>
    </row>
    <row r="1778" spans="1:9" ht="45">
      <c r="A1778" s="68" t="s">
        <v>1311</v>
      </c>
      <c r="B1778" s="98" t="s">
        <v>1293</v>
      </c>
      <c r="C1778" s="23" t="s">
        <v>1294</v>
      </c>
      <c r="D1778" s="68" t="s">
        <v>7</v>
      </c>
      <c r="E1778" s="24">
        <v>10</v>
      </c>
      <c r="F1778" s="24">
        <f>TRUNC(F1779,2)</f>
        <v>35.380000000000003</v>
      </c>
      <c r="G1778" s="24">
        <f>TRUNC(F1778*1.2882,2)</f>
        <v>45.57</v>
      </c>
      <c r="H1778" s="24">
        <f>TRUNC(F1778*E1778,2)</f>
        <v>353.8</v>
      </c>
      <c r="I1778" s="24">
        <f>TRUNC(E1778*G1778,2)</f>
        <v>455.7</v>
      </c>
    </row>
    <row r="1779" spans="1:9" ht="45">
      <c r="A1779" s="74"/>
      <c r="B1779" s="80" t="s">
        <v>1293</v>
      </c>
      <c r="C1779" s="81" t="s">
        <v>1294</v>
      </c>
      <c r="D1779" s="74" t="s">
        <v>7</v>
      </c>
      <c r="E1779" s="78">
        <v>1</v>
      </c>
      <c r="F1779" s="64">
        <f>G1785</f>
        <v>35.380000000000003</v>
      </c>
      <c r="G1779" s="64">
        <f t="shared" ref="G1779:G1784" si="104">TRUNC(E1779*F1779,2)</f>
        <v>35.380000000000003</v>
      </c>
      <c r="H1779" s="64"/>
      <c r="I1779" s="78"/>
    </row>
    <row r="1780" spans="1:9" ht="30">
      <c r="A1780" s="74"/>
      <c r="B1780" s="80" t="s">
        <v>1287</v>
      </c>
      <c r="C1780" s="81" t="s">
        <v>1288</v>
      </c>
      <c r="D1780" s="74" t="s">
        <v>7</v>
      </c>
      <c r="E1780" s="78">
        <v>0.03</v>
      </c>
      <c r="F1780" s="64">
        <v>31.44</v>
      </c>
      <c r="G1780" s="64">
        <f t="shared" si="104"/>
        <v>0.94</v>
      </c>
      <c r="H1780" s="64"/>
      <c r="I1780" s="78"/>
    </row>
    <row r="1781" spans="1:9" ht="15">
      <c r="A1781" s="74"/>
      <c r="B1781" s="80" t="s">
        <v>1295</v>
      </c>
      <c r="C1781" s="81" t="s">
        <v>1296</v>
      </c>
      <c r="D1781" s="74" t="s">
        <v>7</v>
      </c>
      <c r="E1781" s="78">
        <v>1</v>
      </c>
      <c r="F1781" s="64">
        <v>21.15</v>
      </c>
      <c r="G1781" s="64">
        <f t="shared" si="104"/>
        <v>21.15</v>
      </c>
      <c r="H1781" s="64"/>
      <c r="I1781" s="78"/>
    </row>
    <row r="1782" spans="1:9" ht="15">
      <c r="A1782" s="74"/>
      <c r="B1782" s="80" t="s">
        <v>1297</v>
      </c>
      <c r="C1782" s="81" t="s">
        <v>1298</v>
      </c>
      <c r="D1782" s="74" t="s">
        <v>7</v>
      </c>
      <c r="E1782" s="78">
        <v>1</v>
      </c>
      <c r="F1782" s="64">
        <v>3.24</v>
      </c>
      <c r="G1782" s="64">
        <f t="shared" si="104"/>
        <v>3.24</v>
      </c>
      <c r="H1782" s="64"/>
      <c r="I1782" s="78"/>
    </row>
    <row r="1783" spans="1:9" ht="15">
      <c r="A1783" s="74"/>
      <c r="B1783" s="80" t="s">
        <v>146</v>
      </c>
      <c r="C1783" s="81" t="s">
        <v>147</v>
      </c>
      <c r="D1783" s="74" t="s">
        <v>51</v>
      </c>
      <c r="E1783" s="78">
        <v>0.19</v>
      </c>
      <c r="F1783" s="64">
        <f>TRUNC(29.09,2)</f>
        <v>29.09</v>
      </c>
      <c r="G1783" s="64">
        <f t="shared" si="104"/>
        <v>5.52</v>
      </c>
      <c r="H1783" s="64"/>
      <c r="I1783" s="78"/>
    </row>
    <row r="1784" spans="1:9" ht="30">
      <c r="A1784" s="74"/>
      <c r="B1784" s="80" t="s">
        <v>1105</v>
      </c>
      <c r="C1784" s="81" t="s">
        <v>1106</v>
      </c>
      <c r="D1784" s="74" t="s">
        <v>51</v>
      </c>
      <c r="E1784" s="78">
        <v>0.19</v>
      </c>
      <c r="F1784" s="64">
        <f>TRUNC(23.85,2)</f>
        <v>23.85</v>
      </c>
      <c r="G1784" s="64">
        <f t="shared" si="104"/>
        <v>4.53</v>
      </c>
      <c r="H1784" s="64"/>
      <c r="I1784" s="78"/>
    </row>
    <row r="1785" spans="1:9" ht="15">
      <c r="A1785" s="74"/>
      <c r="B1785" s="80"/>
      <c r="C1785" s="81"/>
      <c r="D1785" s="74"/>
      <c r="E1785" s="78" t="s">
        <v>33</v>
      </c>
      <c r="F1785" s="64"/>
      <c r="G1785" s="64">
        <f>TRUNC(SUM(G1780:G1784),2)</f>
        <v>35.380000000000003</v>
      </c>
      <c r="H1785" s="64"/>
      <c r="I1785" s="78"/>
    </row>
    <row r="1786" spans="1:9" ht="45">
      <c r="A1786" s="68" t="s">
        <v>1312</v>
      </c>
      <c r="B1786" s="98" t="s">
        <v>1303</v>
      </c>
      <c r="C1786" s="23" t="s">
        <v>1304</v>
      </c>
      <c r="D1786" s="68" t="s">
        <v>7</v>
      </c>
      <c r="E1786" s="24">
        <v>8</v>
      </c>
      <c r="F1786" s="24">
        <f>TRUNC(F1787,2)</f>
        <v>174.93</v>
      </c>
      <c r="G1786" s="24">
        <f>TRUNC(F1786*1.2882,2)</f>
        <v>225.34</v>
      </c>
      <c r="H1786" s="24">
        <f>TRUNC(F1786*E1786,2)</f>
        <v>1399.44</v>
      </c>
      <c r="I1786" s="24">
        <f>TRUNC(E1786*G1786,2)</f>
        <v>1802.72</v>
      </c>
    </row>
    <row r="1787" spans="1:9" ht="45">
      <c r="A1787" s="74"/>
      <c r="B1787" s="80" t="s">
        <v>1303</v>
      </c>
      <c r="C1787" s="81" t="s">
        <v>1304</v>
      </c>
      <c r="D1787" s="74" t="s">
        <v>7</v>
      </c>
      <c r="E1787" s="78">
        <v>1</v>
      </c>
      <c r="F1787" s="64">
        <f>TRUNC(174.93,2)</f>
        <v>174.93</v>
      </c>
      <c r="G1787" s="64">
        <f>TRUNC(E1787*F1787,2)</f>
        <v>174.93</v>
      </c>
      <c r="H1787" s="64"/>
      <c r="I1787" s="78"/>
    </row>
    <row r="1788" spans="1:9" ht="15">
      <c r="A1788" s="74"/>
      <c r="B1788" s="80" t="s">
        <v>1305</v>
      </c>
      <c r="C1788" s="81" t="s">
        <v>1306</v>
      </c>
      <c r="D1788" s="74" t="s">
        <v>7</v>
      </c>
      <c r="E1788" s="78">
        <v>1</v>
      </c>
      <c r="F1788" s="64">
        <v>174.93</v>
      </c>
      <c r="G1788" s="64">
        <f>TRUNC(E1788*F1788,2)</f>
        <v>174.93</v>
      </c>
      <c r="H1788" s="64"/>
      <c r="I1788" s="78"/>
    </row>
    <row r="1789" spans="1:9" ht="15">
      <c r="A1789" s="74"/>
      <c r="B1789" s="80"/>
      <c r="C1789" s="81"/>
      <c r="D1789" s="74"/>
      <c r="E1789" s="78" t="s">
        <v>33</v>
      </c>
      <c r="F1789" s="64"/>
      <c r="G1789" s="64">
        <f>TRUNC(SUM(G1788:G1788),2)</f>
        <v>174.93</v>
      </c>
      <c r="H1789" s="64"/>
      <c r="I1789" s="78"/>
    </row>
    <row r="1790" spans="1:9" ht="45">
      <c r="A1790" s="68" t="s">
        <v>1313</v>
      </c>
      <c r="B1790" s="98" t="s">
        <v>1301</v>
      </c>
      <c r="C1790" s="23" t="s">
        <v>1302</v>
      </c>
      <c r="D1790" s="68" t="s">
        <v>7</v>
      </c>
      <c r="E1790" s="24">
        <v>7</v>
      </c>
      <c r="F1790" s="24">
        <f>TRUNC(F1791,2)</f>
        <v>47.45</v>
      </c>
      <c r="G1790" s="24">
        <f>TRUNC(F1790*1.2882,2)</f>
        <v>61.12</v>
      </c>
      <c r="H1790" s="24">
        <f>TRUNC(F1790*E1790,2)</f>
        <v>332.15</v>
      </c>
      <c r="I1790" s="24">
        <f>TRUNC(E1790*G1790,2)</f>
        <v>427.84</v>
      </c>
    </row>
    <row r="1791" spans="1:9" ht="45">
      <c r="A1791" s="74"/>
      <c r="B1791" s="80" t="s">
        <v>1301</v>
      </c>
      <c r="C1791" s="81" t="s">
        <v>1302</v>
      </c>
      <c r="D1791" s="74" t="s">
        <v>7</v>
      </c>
      <c r="E1791" s="78">
        <v>1</v>
      </c>
      <c r="F1791" s="64">
        <f>TRUNC(47.45,2)</f>
        <v>47.45</v>
      </c>
      <c r="G1791" s="64">
        <f>TRUNC(E1791*F1791,2)</f>
        <v>47.45</v>
      </c>
      <c r="H1791" s="64"/>
      <c r="I1791" s="78"/>
    </row>
    <row r="1792" spans="1:9" ht="15">
      <c r="A1792" s="74"/>
      <c r="B1792" s="80" t="s">
        <v>1307</v>
      </c>
      <c r="C1792" s="81" t="s">
        <v>1308</v>
      </c>
      <c r="D1792" s="74" t="s">
        <v>7</v>
      </c>
      <c r="E1792" s="78">
        <v>1</v>
      </c>
      <c r="F1792" s="64">
        <v>47.45</v>
      </c>
      <c r="G1792" s="64">
        <f>TRUNC(E1792*F1792,2)</f>
        <v>47.45</v>
      </c>
      <c r="H1792" s="64"/>
      <c r="I1792" s="78"/>
    </row>
    <row r="1793" spans="1:9" ht="15">
      <c r="A1793" s="74"/>
      <c r="B1793" s="80"/>
      <c r="C1793" s="81"/>
      <c r="D1793" s="74"/>
      <c r="E1793" s="78" t="s">
        <v>33</v>
      </c>
      <c r="F1793" s="64"/>
      <c r="G1793" s="64">
        <f>TRUNC(SUM(G1792:G1792),2)</f>
        <v>47.45</v>
      </c>
      <c r="H1793" s="64"/>
      <c r="I1793" s="78"/>
    </row>
    <row r="1794" spans="1:9" ht="30">
      <c r="A1794" s="68" t="s">
        <v>1336</v>
      </c>
      <c r="B1794" s="98" t="s">
        <v>1314</v>
      </c>
      <c r="C1794" s="23" t="s">
        <v>1315</v>
      </c>
      <c r="D1794" s="68" t="s">
        <v>7</v>
      </c>
      <c r="E1794" s="24">
        <v>1</v>
      </c>
      <c r="F1794" s="24">
        <f>TRUNC(F1795,2)</f>
        <v>49.54</v>
      </c>
      <c r="G1794" s="24">
        <f>TRUNC(F1794*1.2882,2)</f>
        <v>63.81</v>
      </c>
      <c r="H1794" s="24">
        <f>TRUNC(F1794*E1794,2)</f>
        <v>49.54</v>
      </c>
      <c r="I1794" s="24">
        <f>TRUNC(E1794*G1794,2)</f>
        <v>63.81</v>
      </c>
    </row>
    <row r="1795" spans="1:9" ht="30">
      <c r="A1795" s="74"/>
      <c r="B1795" s="80" t="s">
        <v>1314</v>
      </c>
      <c r="C1795" s="81" t="s">
        <v>1315</v>
      </c>
      <c r="D1795" s="74" t="s">
        <v>7</v>
      </c>
      <c r="E1795" s="78">
        <v>1</v>
      </c>
      <c r="F1795" s="64">
        <f>TRUNC(49.54,2)</f>
        <v>49.54</v>
      </c>
      <c r="G1795" s="64">
        <f>TRUNC(E1795*F1795,2)</f>
        <v>49.54</v>
      </c>
      <c r="H1795" s="64"/>
      <c r="I1795" s="78"/>
    </row>
    <row r="1796" spans="1:9" ht="15">
      <c r="A1796" s="74"/>
      <c r="B1796" s="80" t="s">
        <v>1316</v>
      </c>
      <c r="C1796" s="81" t="s">
        <v>1317</v>
      </c>
      <c r="D1796" s="74" t="s">
        <v>7</v>
      </c>
      <c r="E1796" s="78">
        <v>1</v>
      </c>
      <c r="F1796" s="64">
        <f>TRUNC(49.54,2)</f>
        <v>49.54</v>
      </c>
      <c r="G1796" s="64">
        <f>TRUNC(E1796*F1796,2)</f>
        <v>49.54</v>
      </c>
      <c r="H1796" s="64"/>
      <c r="I1796" s="78"/>
    </row>
    <row r="1797" spans="1:9" ht="15">
      <c r="A1797" s="74"/>
      <c r="B1797" s="80"/>
      <c r="C1797" s="81"/>
      <c r="D1797" s="74"/>
      <c r="E1797" s="78" t="s">
        <v>33</v>
      </c>
      <c r="F1797" s="64"/>
      <c r="G1797" s="64">
        <f>TRUNC(SUM(G1796:G1796),2)</f>
        <v>49.54</v>
      </c>
      <c r="H1797" s="64"/>
      <c r="I1797" s="78"/>
    </row>
    <row r="1798" spans="1:9" ht="30">
      <c r="A1798" s="68" t="s">
        <v>1337</v>
      </c>
      <c r="B1798" s="98" t="s">
        <v>1318</v>
      </c>
      <c r="C1798" s="23" t="s">
        <v>1319</v>
      </c>
      <c r="D1798" s="68" t="s">
        <v>7</v>
      </c>
      <c r="E1798" s="24">
        <v>4</v>
      </c>
      <c r="F1798" s="24">
        <f>TRUNC(F1799,2)</f>
        <v>23.71</v>
      </c>
      <c r="G1798" s="24">
        <f>TRUNC(F1798*1.2882,2)</f>
        <v>30.54</v>
      </c>
      <c r="H1798" s="24">
        <f>TRUNC(F1798*E1798,2)</f>
        <v>94.84</v>
      </c>
      <c r="I1798" s="24">
        <f>TRUNC(E1798*G1798,2)</f>
        <v>122.16</v>
      </c>
    </row>
    <row r="1799" spans="1:9" ht="30">
      <c r="A1799" s="74"/>
      <c r="B1799" s="80" t="s">
        <v>1318</v>
      </c>
      <c r="C1799" s="81" t="s">
        <v>1319</v>
      </c>
      <c r="D1799" s="74" t="s">
        <v>7</v>
      </c>
      <c r="E1799" s="78">
        <v>1</v>
      </c>
      <c r="F1799" s="64">
        <f>TRUNC(23.71,2)</f>
        <v>23.71</v>
      </c>
      <c r="G1799" s="64">
        <f>TRUNC(E1799*F1799,2)</f>
        <v>23.71</v>
      </c>
      <c r="H1799" s="64"/>
      <c r="I1799" s="78"/>
    </row>
    <row r="1800" spans="1:9" ht="15">
      <c r="A1800" s="74"/>
      <c r="B1800" s="80" t="s">
        <v>1320</v>
      </c>
      <c r="C1800" s="81" t="s">
        <v>1321</v>
      </c>
      <c r="D1800" s="74" t="s">
        <v>7</v>
      </c>
      <c r="E1800" s="78">
        <v>1</v>
      </c>
      <c r="F1800" s="64">
        <f>TRUNC(23.71,2)</f>
        <v>23.71</v>
      </c>
      <c r="G1800" s="64">
        <f>TRUNC(E1800*F1800,2)</f>
        <v>23.71</v>
      </c>
      <c r="H1800" s="64"/>
      <c r="I1800" s="78"/>
    </row>
    <row r="1801" spans="1:9" ht="15">
      <c r="A1801" s="74"/>
      <c r="B1801" s="80"/>
      <c r="C1801" s="81"/>
      <c r="D1801" s="74"/>
      <c r="E1801" s="78" t="s">
        <v>33</v>
      </c>
      <c r="F1801" s="64"/>
      <c r="G1801" s="64">
        <f>TRUNC(SUM(G1800:G1800),2)</f>
        <v>23.71</v>
      </c>
      <c r="H1801" s="64"/>
      <c r="I1801" s="78"/>
    </row>
    <row r="1802" spans="1:9" ht="45">
      <c r="A1802" s="68" t="s">
        <v>1342</v>
      </c>
      <c r="B1802" s="98" t="s">
        <v>1322</v>
      </c>
      <c r="C1802" s="23" t="s">
        <v>1323</v>
      </c>
      <c r="D1802" s="68" t="s">
        <v>7</v>
      </c>
      <c r="E1802" s="24">
        <v>6</v>
      </c>
      <c r="F1802" s="24">
        <f>TRUNC(F1803,2)</f>
        <v>45.81</v>
      </c>
      <c r="G1802" s="24">
        <f>TRUNC(F1802*1.2882,2)</f>
        <v>59.01</v>
      </c>
      <c r="H1802" s="24">
        <f>TRUNC(F1802*E1802,2)</f>
        <v>274.86</v>
      </c>
      <c r="I1802" s="24">
        <f>TRUNC(E1802*G1802,2)</f>
        <v>354.06</v>
      </c>
    </row>
    <row r="1803" spans="1:9" ht="45">
      <c r="A1803" s="74"/>
      <c r="B1803" s="80" t="s">
        <v>1322</v>
      </c>
      <c r="C1803" s="81" t="s">
        <v>1323</v>
      </c>
      <c r="D1803" s="74" t="s">
        <v>7</v>
      </c>
      <c r="E1803" s="78">
        <v>1</v>
      </c>
      <c r="F1803" s="64">
        <f>G1809</f>
        <v>45.81</v>
      </c>
      <c r="G1803" s="64">
        <f t="shared" ref="G1803:G1808" si="105">TRUNC(E1803*F1803,2)</f>
        <v>45.81</v>
      </c>
      <c r="H1803" s="64"/>
      <c r="I1803" s="78"/>
    </row>
    <row r="1804" spans="1:9" ht="30">
      <c r="A1804" s="74"/>
      <c r="B1804" s="80" t="s">
        <v>1287</v>
      </c>
      <c r="C1804" s="81" t="s">
        <v>1288</v>
      </c>
      <c r="D1804" s="74" t="s">
        <v>7</v>
      </c>
      <c r="E1804" s="78">
        <v>9.1999999999999998E-2</v>
      </c>
      <c r="F1804" s="64">
        <v>31.44</v>
      </c>
      <c r="G1804" s="64">
        <f t="shared" si="105"/>
        <v>2.89</v>
      </c>
      <c r="H1804" s="64"/>
      <c r="I1804" s="78"/>
    </row>
    <row r="1805" spans="1:9" ht="15">
      <c r="A1805" s="74"/>
      <c r="B1805" s="80" t="s">
        <v>1324</v>
      </c>
      <c r="C1805" s="81" t="s">
        <v>1325</v>
      </c>
      <c r="D1805" s="74" t="s">
        <v>7</v>
      </c>
      <c r="E1805" s="78">
        <v>1</v>
      </c>
      <c r="F1805" s="64">
        <v>17.66</v>
      </c>
      <c r="G1805" s="64">
        <f t="shared" si="105"/>
        <v>17.66</v>
      </c>
      <c r="H1805" s="64"/>
      <c r="I1805" s="78"/>
    </row>
    <row r="1806" spans="1:9" ht="15">
      <c r="A1806" s="74"/>
      <c r="B1806" s="80" t="s">
        <v>1291</v>
      </c>
      <c r="C1806" s="81" t="s">
        <v>1292</v>
      </c>
      <c r="D1806" s="74" t="s">
        <v>7</v>
      </c>
      <c r="E1806" s="78">
        <v>2</v>
      </c>
      <c r="F1806" s="64">
        <v>3.9</v>
      </c>
      <c r="G1806" s="64">
        <f t="shared" si="105"/>
        <v>7.8</v>
      </c>
      <c r="H1806" s="64"/>
      <c r="I1806" s="78"/>
    </row>
    <row r="1807" spans="1:9" ht="15">
      <c r="A1807" s="74"/>
      <c r="B1807" s="80" t="s">
        <v>146</v>
      </c>
      <c r="C1807" s="81" t="s">
        <v>147</v>
      </c>
      <c r="D1807" s="74" t="s">
        <v>51</v>
      </c>
      <c r="E1807" s="78">
        <v>0.33</v>
      </c>
      <c r="F1807" s="64">
        <f>TRUNC(29.09,2)</f>
        <v>29.09</v>
      </c>
      <c r="G1807" s="64">
        <f t="shared" si="105"/>
        <v>9.59</v>
      </c>
      <c r="H1807" s="64"/>
      <c r="I1807" s="78"/>
    </row>
    <row r="1808" spans="1:9" ht="30">
      <c r="A1808" s="74"/>
      <c r="B1808" s="80" t="s">
        <v>1105</v>
      </c>
      <c r="C1808" s="81" t="s">
        <v>1106</v>
      </c>
      <c r="D1808" s="74" t="s">
        <v>51</v>
      </c>
      <c r="E1808" s="78">
        <v>0.33</v>
      </c>
      <c r="F1808" s="64">
        <f>TRUNC(23.85,2)</f>
        <v>23.85</v>
      </c>
      <c r="G1808" s="64">
        <f t="shared" si="105"/>
        <v>7.87</v>
      </c>
      <c r="H1808" s="64"/>
      <c r="I1808" s="78"/>
    </row>
    <row r="1809" spans="1:9" ht="15">
      <c r="A1809" s="74"/>
      <c r="B1809" s="80"/>
      <c r="C1809" s="81"/>
      <c r="D1809" s="74"/>
      <c r="E1809" s="78" t="s">
        <v>33</v>
      </c>
      <c r="F1809" s="64"/>
      <c r="G1809" s="64">
        <f>TRUNC(SUM(G1804:G1808),2)</f>
        <v>45.81</v>
      </c>
      <c r="H1809" s="64"/>
      <c r="I1809" s="78"/>
    </row>
    <row r="1810" spans="1:9" ht="45">
      <c r="A1810" s="68" t="s">
        <v>1343</v>
      </c>
      <c r="B1810" s="98" t="s">
        <v>1326</v>
      </c>
      <c r="C1810" s="23" t="s">
        <v>1327</v>
      </c>
      <c r="D1810" s="68" t="s">
        <v>7</v>
      </c>
      <c r="E1810" s="24">
        <v>2</v>
      </c>
      <c r="F1810" s="24">
        <f>TRUNC(F1811,2)</f>
        <v>37.25</v>
      </c>
      <c r="G1810" s="24">
        <f>TRUNC(F1810*1.2882,2)</f>
        <v>47.98</v>
      </c>
      <c r="H1810" s="24">
        <f>TRUNC(F1810*E1810,2)</f>
        <v>74.5</v>
      </c>
      <c r="I1810" s="24">
        <f>TRUNC(E1810*G1810,2)</f>
        <v>95.96</v>
      </c>
    </row>
    <row r="1811" spans="1:9" ht="45">
      <c r="A1811" s="74"/>
      <c r="B1811" s="80" t="s">
        <v>1326</v>
      </c>
      <c r="C1811" s="81" t="s">
        <v>1327</v>
      </c>
      <c r="D1811" s="74" t="s">
        <v>7</v>
      </c>
      <c r="E1811" s="78">
        <v>1</v>
      </c>
      <c r="F1811" s="64">
        <f>G1817</f>
        <v>37.25</v>
      </c>
      <c r="G1811" s="64">
        <f t="shared" ref="G1811:G1816" si="106">TRUNC(E1811*F1811,2)</f>
        <v>37.25</v>
      </c>
      <c r="H1811" s="64"/>
      <c r="I1811" s="78"/>
    </row>
    <row r="1812" spans="1:9" ht="30">
      <c r="A1812" s="74"/>
      <c r="B1812" s="80" t="s">
        <v>1287</v>
      </c>
      <c r="C1812" s="81" t="s">
        <v>1288</v>
      </c>
      <c r="D1812" s="74" t="s">
        <v>7</v>
      </c>
      <c r="E1812" s="78">
        <v>0.06</v>
      </c>
      <c r="F1812" s="64">
        <v>31.44</v>
      </c>
      <c r="G1812" s="64">
        <f t="shared" si="106"/>
        <v>1.88</v>
      </c>
      <c r="H1812" s="64"/>
      <c r="I1812" s="78"/>
    </row>
    <row r="1813" spans="1:9" ht="15">
      <c r="A1813" s="74"/>
      <c r="B1813" s="80" t="s">
        <v>1328</v>
      </c>
      <c r="C1813" s="81" t="s">
        <v>1329</v>
      </c>
      <c r="D1813" s="74" t="s">
        <v>7</v>
      </c>
      <c r="E1813" s="78">
        <v>1</v>
      </c>
      <c r="F1813" s="64">
        <v>15.66</v>
      </c>
      <c r="G1813" s="64">
        <f t="shared" si="106"/>
        <v>15.66</v>
      </c>
      <c r="H1813" s="64"/>
      <c r="I1813" s="78"/>
    </row>
    <row r="1814" spans="1:9" ht="15">
      <c r="A1814" s="74"/>
      <c r="B1814" s="80" t="s">
        <v>1297</v>
      </c>
      <c r="C1814" s="81" t="s">
        <v>1298</v>
      </c>
      <c r="D1814" s="74" t="s">
        <v>7</v>
      </c>
      <c r="E1814" s="78">
        <v>2</v>
      </c>
      <c r="F1814" s="64">
        <v>3.24</v>
      </c>
      <c r="G1814" s="64">
        <f t="shared" si="106"/>
        <v>6.48</v>
      </c>
      <c r="H1814" s="64"/>
      <c r="I1814" s="78"/>
    </row>
    <row r="1815" spans="1:9" ht="15">
      <c r="A1815" s="74"/>
      <c r="B1815" s="80" t="s">
        <v>146</v>
      </c>
      <c r="C1815" s="81" t="s">
        <v>147</v>
      </c>
      <c r="D1815" s="74" t="s">
        <v>51</v>
      </c>
      <c r="E1815" s="78">
        <v>0.25</v>
      </c>
      <c r="F1815" s="64">
        <f>TRUNC(29.09,2)</f>
        <v>29.09</v>
      </c>
      <c r="G1815" s="64">
        <f t="shared" si="106"/>
        <v>7.27</v>
      </c>
      <c r="H1815" s="64"/>
      <c r="I1815" s="78"/>
    </row>
    <row r="1816" spans="1:9" ht="30">
      <c r="A1816" s="74"/>
      <c r="B1816" s="80" t="s">
        <v>1105</v>
      </c>
      <c r="C1816" s="81" t="s">
        <v>1106</v>
      </c>
      <c r="D1816" s="74" t="s">
        <v>51</v>
      </c>
      <c r="E1816" s="78">
        <v>0.25</v>
      </c>
      <c r="F1816" s="64">
        <f>TRUNC(23.85,2)</f>
        <v>23.85</v>
      </c>
      <c r="G1816" s="64">
        <f t="shared" si="106"/>
        <v>5.96</v>
      </c>
      <c r="H1816" s="64"/>
      <c r="I1816" s="78"/>
    </row>
    <row r="1817" spans="1:9" ht="15">
      <c r="A1817" s="74"/>
      <c r="B1817" s="80"/>
      <c r="C1817" s="81"/>
      <c r="D1817" s="74"/>
      <c r="E1817" s="78" t="s">
        <v>33</v>
      </c>
      <c r="F1817" s="64"/>
      <c r="G1817" s="64">
        <f>TRUNC(SUM(G1812:G1816),2)</f>
        <v>37.25</v>
      </c>
      <c r="H1817" s="64"/>
      <c r="I1817" s="78"/>
    </row>
    <row r="1818" spans="1:9" ht="45">
      <c r="A1818" s="68" t="s">
        <v>1344</v>
      </c>
      <c r="B1818" s="98" t="s">
        <v>1330</v>
      </c>
      <c r="C1818" s="23" t="s">
        <v>1331</v>
      </c>
      <c r="D1818" s="68" t="s">
        <v>7</v>
      </c>
      <c r="E1818" s="24">
        <v>2</v>
      </c>
      <c r="F1818" s="24">
        <f>TRUNC(F1819,2)</f>
        <v>22.48</v>
      </c>
      <c r="G1818" s="24">
        <f>TRUNC(F1818*1.2882,2)</f>
        <v>28.95</v>
      </c>
      <c r="H1818" s="24">
        <f>TRUNC(F1818*E1818,2)</f>
        <v>44.96</v>
      </c>
      <c r="I1818" s="24">
        <f>TRUNC(E1818*G1818,2)</f>
        <v>57.9</v>
      </c>
    </row>
    <row r="1819" spans="1:9" ht="45">
      <c r="A1819" s="74"/>
      <c r="B1819" s="80" t="s">
        <v>1330</v>
      </c>
      <c r="C1819" s="81" t="s">
        <v>1331</v>
      </c>
      <c r="D1819" s="74" t="s">
        <v>7</v>
      </c>
      <c r="E1819" s="78">
        <v>1</v>
      </c>
      <c r="F1819" s="64">
        <f>G1825</f>
        <v>22.48</v>
      </c>
      <c r="G1819" s="64">
        <f t="shared" ref="G1819:G1824" si="107">TRUNC(E1819*F1819,2)</f>
        <v>22.48</v>
      </c>
      <c r="H1819" s="64"/>
      <c r="I1819" s="78"/>
    </row>
    <row r="1820" spans="1:9" ht="30">
      <c r="A1820" s="74"/>
      <c r="B1820" s="80" t="s">
        <v>1287</v>
      </c>
      <c r="C1820" s="81" t="s">
        <v>1288</v>
      </c>
      <c r="D1820" s="74" t="s">
        <v>7</v>
      </c>
      <c r="E1820" s="78">
        <v>0.04</v>
      </c>
      <c r="F1820" s="64">
        <v>31.44</v>
      </c>
      <c r="G1820" s="64">
        <f t="shared" si="107"/>
        <v>1.25</v>
      </c>
      <c r="H1820" s="64"/>
      <c r="I1820" s="78"/>
    </row>
    <row r="1821" spans="1:9" ht="15">
      <c r="A1821" s="74"/>
      <c r="B1821" s="80" t="s">
        <v>1332</v>
      </c>
      <c r="C1821" s="81" t="s">
        <v>1333</v>
      </c>
      <c r="D1821" s="74" t="s">
        <v>7</v>
      </c>
      <c r="E1821" s="78">
        <v>1</v>
      </c>
      <c r="F1821" s="64">
        <v>7.84</v>
      </c>
      <c r="G1821" s="64">
        <f t="shared" si="107"/>
        <v>7.84</v>
      </c>
      <c r="H1821" s="64"/>
      <c r="I1821" s="78"/>
    </row>
    <row r="1822" spans="1:9" ht="15">
      <c r="A1822" s="74"/>
      <c r="B1822" s="80" t="s">
        <v>1334</v>
      </c>
      <c r="C1822" s="81" t="s">
        <v>1335</v>
      </c>
      <c r="D1822" s="74" t="s">
        <v>7</v>
      </c>
      <c r="E1822" s="78">
        <v>2</v>
      </c>
      <c r="F1822" s="64">
        <v>2.2000000000000002</v>
      </c>
      <c r="G1822" s="64">
        <f t="shared" si="107"/>
        <v>4.4000000000000004</v>
      </c>
      <c r="H1822" s="64"/>
      <c r="I1822" s="78"/>
    </row>
    <row r="1823" spans="1:9" ht="15">
      <c r="A1823" s="74"/>
      <c r="B1823" s="80" t="s">
        <v>146</v>
      </c>
      <c r="C1823" s="81" t="s">
        <v>147</v>
      </c>
      <c r="D1823" s="74" t="s">
        <v>51</v>
      </c>
      <c r="E1823" s="78">
        <v>0.17</v>
      </c>
      <c r="F1823" s="64">
        <f>TRUNC(29.09,2)</f>
        <v>29.09</v>
      </c>
      <c r="G1823" s="64">
        <f t="shared" si="107"/>
        <v>4.9400000000000004</v>
      </c>
      <c r="H1823" s="64"/>
      <c r="I1823" s="78"/>
    </row>
    <row r="1824" spans="1:9" ht="30">
      <c r="A1824" s="74"/>
      <c r="B1824" s="80" t="s">
        <v>1105</v>
      </c>
      <c r="C1824" s="81" t="s">
        <v>1106</v>
      </c>
      <c r="D1824" s="74" t="s">
        <v>51</v>
      </c>
      <c r="E1824" s="78">
        <v>0.17</v>
      </c>
      <c r="F1824" s="64">
        <f>TRUNC(23.85,2)</f>
        <v>23.85</v>
      </c>
      <c r="G1824" s="64">
        <f t="shared" si="107"/>
        <v>4.05</v>
      </c>
      <c r="H1824" s="64"/>
      <c r="I1824" s="78"/>
    </row>
    <row r="1825" spans="1:9" ht="15">
      <c r="A1825" s="74"/>
      <c r="B1825" s="80"/>
      <c r="C1825" s="81"/>
      <c r="D1825" s="74"/>
      <c r="E1825" s="78" t="s">
        <v>33</v>
      </c>
      <c r="F1825" s="64"/>
      <c r="G1825" s="64">
        <f>TRUNC(SUM(G1820:G1824),2)</f>
        <v>22.48</v>
      </c>
      <c r="H1825" s="64"/>
      <c r="I1825" s="78"/>
    </row>
    <row r="1826" spans="1:9" ht="45">
      <c r="A1826" s="68" t="s">
        <v>1345</v>
      </c>
      <c r="B1826" s="98" t="s">
        <v>1338</v>
      </c>
      <c r="C1826" s="23" t="s">
        <v>1339</v>
      </c>
      <c r="D1826" s="68" t="s">
        <v>7</v>
      </c>
      <c r="E1826" s="24">
        <v>5</v>
      </c>
      <c r="F1826" s="24">
        <f>TRUNC(F1827,2)</f>
        <v>50.7</v>
      </c>
      <c r="G1826" s="24">
        <f>TRUNC(F1826*1.2882,2)</f>
        <v>65.31</v>
      </c>
      <c r="H1826" s="24">
        <f>TRUNC(F1826*E1826,2)</f>
        <v>253.5</v>
      </c>
      <c r="I1826" s="24">
        <f>TRUNC(E1826*G1826,2)</f>
        <v>326.55</v>
      </c>
    </row>
    <row r="1827" spans="1:9" ht="45">
      <c r="A1827" s="74"/>
      <c r="B1827" s="80" t="s">
        <v>1338</v>
      </c>
      <c r="C1827" s="81" t="s">
        <v>1339</v>
      </c>
      <c r="D1827" s="74" t="s">
        <v>7</v>
      </c>
      <c r="E1827" s="78">
        <v>1</v>
      </c>
      <c r="F1827" s="64">
        <f>TRUNC(50.70498,2)</f>
        <v>50.7</v>
      </c>
      <c r="G1827" s="64">
        <f t="shared" ref="G1827:G1832" si="108">TRUNC(E1827*F1827,2)</f>
        <v>50.7</v>
      </c>
      <c r="H1827" s="64"/>
      <c r="I1827" s="78"/>
    </row>
    <row r="1828" spans="1:9" ht="30">
      <c r="A1828" s="74"/>
      <c r="B1828" s="80" t="s">
        <v>1287</v>
      </c>
      <c r="C1828" s="81" t="s">
        <v>1288</v>
      </c>
      <c r="D1828" s="74" t="s">
        <v>7</v>
      </c>
      <c r="E1828" s="78">
        <v>9.1999999999999998E-2</v>
      </c>
      <c r="F1828" s="64">
        <f>TRUNC(31.44,2)</f>
        <v>31.44</v>
      </c>
      <c r="G1828" s="64">
        <f t="shared" si="108"/>
        <v>2.89</v>
      </c>
      <c r="H1828" s="64"/>
      <c r="I1828" s="78"/>
    </row>
    <row r="1829" spans="1:9" ht="30">
      <c r="A1829" s="74"/>
      <c r="B1829" s="80" t="s">
        <v>1340</v>
      </c>
      <c r="C1829" s="81" t="s">
        <v>1341</v>
      </c>
      <c r="D1829" s="74" t="s">
        <v>7</v>
      </c>
      <c r="E1829" s="78">
        <v>1</v>
      </c>
      <c r="F1829" s="64">
        <v>23.92</v>
      </c>
      <c r="G1829" s="64">
        <f t="shared" si="108"/>
        <v>23.92</v>
      </c>
      <c r="H1829" s="64"/>
      <c r="I1829" s="78"/>
    </row>
    <row r="1830" spans="1:9" ht="15">
      <c r="A1830" s="74"/>
      <c r="B1830" s="80" t="s">
        <v>1291</v>
      </c>
      <c r="C1830" s="81" t="s">
        <v>1292</v>
      </c>
      <c r="D1830" s="74" t="s">
        <v>7</v>
      </c>
      <c r="E1830" s="78">
        <v>2</v>
      </c>
      <c r="F1830" s="64">
        <f>TRUNC(3.9,2)</f>
        <v>3.9</v>
      </c>
      <c r="G1830" s="64">
        <f t="shared" si="108"/>
        <v>7.8</v>
      </c>
      <c r="H1830" s="64"/>
      <c r="I1830" s="78"/>
    </row>
    <row r="1831" spans="1:9" ht="15">
      <c r="A1831" s="74"/>
      <c r="B1831" s="80" t="s">
        <v>146</v>
      </c>
      <c r="C1831" s="81" t="s">
        <v>147</v>
      </c>
      <c r="D1831" s="74" t="s">
        <v>51</v>
      </c>
      <c r="E1831" s="78">
        <v>0.33</v>
      </c>
      <c r="F1831" s="64">
        <f>TRUNC(29.09,2)</f>
        <v>29.09</v>
      </c>
      <c r="G1831" s="64">
        <f t="shared" si="108"/>
        <v>9.59</v>
      </c>
      <c r="H1831" s="64"/>
      <c r="I1831" s="78"/>
    </row>
    <row r="1832" spans="1:9" ht="30">
      <c r="A1832" s="74"/>
      <c r="B1832" s="80" t="s">
        <v>1105</v>
      </c>
      <c r="C1832" s="81" t="s">
        <v>1106</v>
      </c>
      <c r="D1832" s="74" t="s">
        <v>51</v>
      </c>
      <c r="E1832" s="78">
        <v>0.33</v>
      </c>
      <c r="F1832" s="64">
        <f>TRUNC(23.85,2)</f>
        <v>23.85</v>
      </c>
      <c r="G1832" s="64">
        <f t="shared" si="108"/>
        <v>7.87</v>
      </c>
      <c r="H1832" s="64"/>
      <c r="I1832" s="78"/>
    </row>
    <row r="1833" spans="1:9" ht="15">
      <c r="A1833" s="74"/>
      <c r="B1833" s="80"/>
      <c r="C1833" s="81"/>
      <c r="D1833" s="74"/>
      <c r="E1833" s="78" t="s">
        <v>33</v>
      </c>
      <c r="F1833" s="64"/>
      <c r="G1833" s="64">
        <f>TRUNC(SUM(G1828:G1832),2)</f>
        <v>52.07</v>
      </c>
      <c r="H1833" s="64"/>
      <c r="I1833" s="78"/>
    </row>
    <row r="1834" spans="1:9" ht="45">
      <c r="A1834" s="68" t="s">
        <v>1362</v>
      </c>
      <c r="B1834" s="98" t="s">
        <v>1347</v>
      </c>
      <c r="C1834" s="23" t="s">
        <v>1346</v>
      </c>
      <c r="D1834" s="68" t="s">
        <v>7</v>
      </c>
      <c r="E1834" s="24">
        <v>6</v>
      </c>
      <c r="F1834" s="24">
        <f>TRUNC(F1835,2)</f>
        <v>51.58</v>
      </c>
      <c r="G1834" s="24">
        <f>TRUNC(F1834*1.2882,2)</f>
        <v>66.44</v>
      </c>
      <c r="H1834" s="24">
        <f>TRUNC(F1834*E1834,2)</f>
        <v>309.48</v>
      </c>
      <c r="I1834" s="24">
        <f>TRUNC(E1834*G1834,2)</f>
        <v>398.64</v>
      </c>
    </row>
    <row r="1835" spans="1:9" ht="45">
      <c r="A1835" s="74"/>
      <c r="B1835" s="80" t="s">
        <v>1338</v>
      </c>
      <c r="C1835" s="81" t="s">
        <v>1339</v>
      </c>
      <c r="D1835" s="74" t="s">
        <v>7</v>
      </c>
      <c r="E1835" s="78">
        <v>1</v>
      </c>
      <c r="F1835" s="64">
        <f>G1841</f>
        <v>51.58</v>
      </c>
      <c r="G1835" s="64">
        <f t="shared" ref="G1835:G1840" si="109">TRUNC(E1835*F1835,2)</f>
        <v>51.58</v>
      </c>
      <c r="H1835" s="64"/>
      <c r="I1835" s="78"/>
    </row>
    <row r="1836" spans="1:9" ht="30">
      <c r="A1836" s="74"/>
      <c r="B1836" s="80" t="s">
        <v>1287</v>
      </c>
      <c r="C1836" s="81" t="s">
        <v>1288</v>
      </c>
      <c r="D1836" s="74" t="s">
        <v>7</v>
      </c>
      <c r="E1836" s="78">
        <v>9.1999999999999998E-2</v>
      </c>
      <c r="F1836" s="64">
        <v>31.44</v>
      </c>
      <c r="G1836" s="64">
        <f t="shared" si="109"/>
        <v>2.89</v>
      </c>
      <c r="H1836" s="64"/>
      <c r="I1836" s="78"/>
    </row>
    <row r="1837" spans="1:9" s="169" customFormat="1" ht="31.5">
      <c r="A1837" s="256"/>
      <c r="B1837" s="257"/>
      <c r="C1837" s="258" t="s">
        <v>1348</v>
      </c>
      <c r="D1837" s="256" t="s">
        <v>7</v>
      </c>
      <c r="E1837" s="259">
        <v>1</v>
      </c>
      <c r="F1837" s="260">
        <f>TRUNC(23.43,2)</f>
        <v>23.43</v>
      </c>
      <c r="G1837" s="260">
        <f t="shared" si="109"/>
        <v>23.43</v>
      </c>
      <c r="H1837" s="260"/>
      <c r="I1837" s="259"/>
    </row>
    <row r="1838" spans="1:9" ht="15">
      <c r="A1838" s="74"/>
      <c r="B1838" s="80" t="s">
        <v>1291</v>
      </c>
      <c r="C1838" s="81" t="s">
        <v>1292</v>
      </c>
      <c r="D1838" s="74" t="s">
        <v>7</v>
      </c>
      <c r="E1838" s="78">
        <v>2</v>
      </c>
      <c r="F1838" s="64">
        <f>TRUNC(3.9,2)</f>
        <v>3.9</v>
      </c>
      <c r="G1838" s="64">
        <f t="shared" si="109"/>
        <v>7.8</v>
      </c>
      <c r="H1838" s="64"/>
      <c r="I1838" s="78"/>
    </row>
    <row r="1839" spans="1:9" ht="15">
      <c r="A1839" s="74"/>
      <c r="B1839" s="80" t="s">
        <v>146</v>
      </c>
      <c r="C1839" s="81" t="s">
        <v>147</v>
      </c>
      <c r="D1839" s="74" t="s">
        <v>51</v>
      </c>
      <c r="E1839" s="78">
        <v>0.33</v>
      </c>
      <c r="F1839" s="64">
        <f>TRUNC(29.09,2)</f>
        <v>29.09</v>
      </c>
      <c r="G1839" s="64">
        <f t="shared" si="109"/>
        <v>9.59</v>
      </c>
      <c r="H1839" s="64"/>
      <c r="I1839" s="78"/>
    </row>
    <row r="1840" spans="1:9" ht="30">
      <c r="A1840" s="74"/>
      <c r="B1840" s="80" t="s">
        <v>1105</v>
      </c>
      <c r="C1840" s="81" t="s">
        <v>1106</v>
      </c>
      <c r="D1840" s="74" t="s">
        <v>51</v>
      </c>
      <c r="E1840" s="78">
        <v>0.33</v>
      </c>
      <c r="F1840" s="64">
        <f>TRUNC(23.85,2)</f>
        <v>23.85</v>
      </c>
      <c r="G1840" s="64">
        <f t="shared" si="109"/>
        <v>7.87</v>
      </c>
      <c r="H1840" s="64"/>
      <c r="I1840" s="78"/>
    </row>
    <row r="1841" spans="1:9" ht="15">
      <c r="A1841" s="74"/>
      <c r="B1841" s="80"/>
      <c r="C1841" s="81"/>
      <c r="D1841" s="74"/>
      <c r="E1841" s="78" t="s">
        <v>33</v>
      </c>
      <c r="F1841" s="64"/>
      <c r="G1841" s="64">
        <f>TRUNC(SUM(G1836:G1840),2)</f>
        <v>51.58</v>
      </c>
      <c r="H1841" s="64"/>
      <c r="I1841" s="78"/>
    </row>
    <row r="1842" spans="1:9" ht="45">
      <c r="A1842" s="68" t="s">
        <v>1367</v>
      </c>
      <c r="B1842" s="98" t="s">
        <v>1351</v>
      </c>
      <c r="C1842" s="23" t="s">
        <v>1352</v>
      </c>
      <c r="D1842" s="68" t="s">
        <v>7</v>
      </c>
      <c r="E1842" s="24">
        <v>5</v>
      </c>
      <c r="F1842" s="24">
        <f>TRUNC(F1843,2)</f>
        <v>39.54</v>
      </c>
      <c r="G1842" s="24">
        <f>TRUNC(F1842*1.2882,2)</f>
        <v>50.93</v>
      </c>
      <c r="H1842" s="24">
        <f>TRUNC(F1842*E1842,2)</f>
        <v>197.7</v>
      </c>
      <c r="I1842" s="24">
        <f>TRUNC(E1842*G1842,2)</f>
        <v>254.65</v>
      </c>
    </row>
    <row r="1843" spans="1:9" ht="45">
      <c r="A1843" s="74"/>
      <c r="B1843" s="80" t="s">
        <v>1349</v>
      </c>
      <c r="C1843" s="81" t="s">
        <v>1350</v>
      </c>
      <c r="D1843" s="74" t="s">
        <v>7</v>
      </c>
      <c r="E1843" s="78">
        <v>1</v>
      </c>
      <c r="F1843" s="64">
        <f>G1849</f>
        <v>39.54</v>
      </c>
      <c r="G1843" s="64">
        <f t="shared" ref="G1843:G1848" si="110">TRUNC(E1843*F1843,2)</f>
        <v>39.54</v>
      </c>
      <c r="H1843" s="64"/>
      <c r="I1843" s="78"/>
    </row>
    <row r="1844" spans="1:9" ht="30">
      <c r="A1844" s="74"/>
      <c r="B1844" s="80" t="s">
        <v>1287</v>
      </c>
      <c r="C1844" s="81" t="s">
        <v>1288</v>
      </c>
      <c r="D1844" s="74" t="s">
        <v>7</v>
      </c>
      <c r="E1844" s="78">
        <v>0.06</v>
      </c>
      <c r="F1844" s="64">
        <f>TRUNC(31.44,2)</f>
        <v>31.44</v>
      </c>
      <c r="G1844" s="64">
        <f t="shared" si="110"/>
        <v>1.88</v>
      </c>
      <c r="H1844" s="64"/>
      <c r="I1844" s="78"/>
    </row>
    <row r="1845" spans="1:9" s="169" customFormat="1" ht="15.75">
      <c r="A1845" s="256"/>
      <c r="B1845" s="257"/>
      <c r="C1845" s="258" t="s">
        <v>1353</v>
      </c>
      <c r="D1845" s="256" t="s">
        <v>7</v>
      </c>
      <c r="E1845" s="259">
        <v>1</v>
      </c>
      <c r="F1845" s="260">
        <f>TRUNC(17.95,2)</f>
        <v>17.95</v>
      </c>
      <c r="G1845" s="260">
        <f t="shared" si="110"/>
        <v>17.95</v>
      </c>
      <c r="H1845" s="260"/>
      <c r="I1845" s="259"/>
    </row>
    <row r="1846" spans="1:9" ht="15">
      <c r="A1846" s="74"/>
      <c r="B1846" s="80" t="s">
        <v>1297</v>
      </c>
      <c r="C1846" s="81" t="s">
        <v>1298</v>
      </c>
      <c r="D1846" s="74" t="s">
        <v>7</v>
      </c>
      <c r="E1846" s="78">
        <v>2</v>
      </c>
      <c r="F1846" s="64">
        <f>TRUNC(3.24,2)</f>
        <v>3.24</v>
      </c>
      <c r="G1846" s="64">
        <f t="shared" si="110"/>
        <v>6.48</v>
      </c>
      <c r="H1846" s="64"/>
      <c r="I1846" s="78"/>
    </row>
    <row r="1847" spans="1:9" ht="15">
      <c r="A1847" s="74"/>
      <c r="B1847" s="80" t="s">
        <v>146</v>
      </c>
      <c r="C1847" s="81" t="s">
        <v>147</v>
      </c>
      <c r="D1847" s="74" t="s">
        <v>51</v>
      </c>
      <c r="E1847" s="78">
        <v>0.25</v>
      </c>
      <c r="F1847" s="64">
        <f>TRUNC(29.09,2)</f>
        <v>29.09</v>
      </c>
      <c r="G1847" s="64">
        <f t="shared" si="110"/>
        <v>7.27</v>
      </c>
      <c r="H1847" s="64"/>
      <c r="I1847" s="78"/>
    </row>
    <row r="1848" spans="1:9" ht="30">
      <c r="A1848" s="74"/>
      <c r="B1848" s="80" t="s">
        <v>1105</v>
      </c>
      <c r="C1848" s="81" t="s">
        <v>1106</v>
      </c>
      <c r="D1848" s="74" t="s">
        <v>51</v>
      </c>
      <c r="E1848" s="78">
        <v>0.25</v>
      </c>
      <c r="F1848" s="64">
        <f>TRUNC(23.85,2)</f>
        <v>23.85</v>
      </c>
      <c r="G1848" s="64">
        <f t="shared" si="110"/>
        <v>5.96</v>
      </c>
      <c r="H1848" s="64"/>
      <c r="I1848" s="78"/>
    </row>
    <row r="1849" spans="1:9" ht="15">
      <c r="A1849" s="74"/>
      <c r="B1849" s="80"/>
      <c r="C1849" s="81"/>
      <c r="D1849" s="74"/>
      <c r="E1849" s="78" t="s">
        <v>33</v>
      </c>
      <c r="F1849" s="64"/>
      <c r="G1849" s="64">
        <f>TRUNC(SUM(G1844:G1848),2)</f>
        <v>39.54</v>
      </c>
      <c r="H1849" s="64"/>
      <c r="I1849" s="78"/>
    </row>
    <row r="1850" spans="1:9" ht="45">
      <c r="A1850" s="68" t="s">
        <v>1382</v>
      </c>
      <c r="B1850" s="98" t="s">
        <v>1354</v>
      </c>
      <c r="C1850" s="23" t="s">
        <v>1355</v>
      </c>
      <c r="D1850" s="68" t="s">
        <v>7</v>
      </c>
      <c r="E1850" s="24">
        <v>4</v>
      </c>
      <c r="F1850" s="24">
        <f>TRUNC(F1851,2)</f>
        <v>24.23</v>
      </c>
      <c r="G1850" s="24">
        <f>TRUNC(F1850*1.2882,2)</f>
        <v>31.21</v>
      </c>
      <c r="H1850" s="24">
        <f>TRUNC(F1850*E1850,2)</f>
        <v>96.92</v>
      </c>
      <c r="I1850" s="24">
        <f>TRUNC(E1850*G1850,2)</f>
        <v>124.84</v>
      </c>
    </row>
    <row r="1851" spans="1:9" ht="45">
      <c r="A1851" s="74"/>
      <c r="B1851" s="80" t="s">
        <v>1354</v>
      </c>
      <c r="C1851" s="81" t="s">
        <v>1355</v>
      </c>
      <c r="D1851" s="74" t="s">
        <v>7</v>
      </c>
      <c r="E1851" s="78">
        <v>1</v>
      </c>
      <c r="F1851" s="64">
        <f>G1857</f>
        <v>24.23</v>
      </c>
      <c r="G1851" s="64">
        <f t="shared" ref="G1851:G1856" si="111">TRUNC(E1851*F1851,2)</f>
        <v>24.23</v>
      </c>
      <c r="H1851" s="64"/>
      <c r="I1851" s="78"/>
    </row>
    <row r="1852" spans="1:9" ht="30">
      <c r="A1852" s="74"/>
      <c r="B1852" s="80" t="s">
        <v>1287</v>
      </c>
      <c r="C1852" s="81" t="s">
        <v>1288</v>
      </c>
      <c r="D1852" s="74" t="s">
        <v>7</v>
      </c>
      <c r="E1852" s="78">
        <v>0.04</v>
      </c>
      <c r="F1852" s="64">
        <f>TRUNC(31.44,2)</f>
        <v>31.44</v>
      </c>
      <c r="G1852" s="64">
        <f t="shared" si="111"/>
        <v>1.25</v>
      </c>
      <c r="H1852" s="64"/>
      <c r="I1852" s="78"/>
    </row>
    <row r="1853" spans="1:9" ht="15">
      <c r="A1853" s="74"/>
      <c r="B1853" s="80" t="s">
        <v>1356</v>
      </c>
      <c r="C1853" s="81" t="s">
        <v>1357</v>
      </c>
      <c r="D1853" s="74" t="s">
        <v>7</v>
      </c>
      <c r="E1853" s="78">
        <v>1</v>
      </c>
      <c r="F1853" s="64">
        <f>TRUNC(9.59,2)</f>
        <v>9.59</v>
      </c>
      <c r="G1853" s="64">
        <f t="shared" si="111"/>
        <v>9.59</v>
      </c>
      <c r="H1853" s="64"/>
      <c r="I1853" s="78"/>
    </row>
    <row r="1854" spans="1:9" ht="15">
      <c r="A1854" s="74"/>
      <c r="B1854" s="80" t="s">
        <v>1334</v>
      </c>
      <c r="C1854" s="81" t="s">
        <v>1335</v>
      </c>
      <c r="D1854" s="74" t="s">
        <v>7</v>
      </c>
      <c r="E1854" s="78">
        <v>2</v>
      </c>
      <c r="F1854" s="64">
        <f>TRUNC(2.2,2)</f>
        <v>2.2000000000000002</v>
      </c>
      <c r="G1854" s="64">
        <f t="shared" si="111"/>
        <v>4.4000000000000004</v>
      </c>
      <c r="H1854" s="64"/>
      <c r="I1854" s="78"/>
    </row>
    <row r="1855" spans="1:9" ht="15">
      <c r="A1855" s="74"/>
      <c r="B1855" s="80" t="s">
        <v>146</v>
      </c>
      <c r="C1855" s="81" t="s">
        <v>147</v>
      </c>
      <c r="D1855" s="74" t="s">
        <v>51</v>
      </c>
      <c r="E1855" s="78">
        <v>0.17</v>
      </c>
      <c r="F1855" s="64">
        <f>TRUNC(29.09,2)</f>
        <v>29.09</v>
      </c>
      <c r="G1855" s="64">
        <f t="shared" si="111"/>
        <v>4.9400000000000004</v>
      </c>
      <c r="H1855" s="64"/>
      <c r="I1855" s="78"/>
    </row>
    <row r="1856" spans="1:9" ht="30">
      <c r="A1856" s="74"/>
      <c r="B1856" s="80" t="s">
        <v>1105</v>
      </c>
      <c r="C1856" s="81" t="s">
        <v>1106</v>
      </c>
      <c r="D1856" s="74" t="s">
        <v>51</v>
      </c>
      <c r="E1856" s="78">
        <v>0.17</v>
      </c>
      <c r="F1856" s="64">
        <f>TRUNC(23.85,2)</f>
        <v>23.85</v>
      </c>
      <c r="G1856" s="64">
        <f t="shared" si="111"/>
        <v>4.05</v>
      </c>
      <c r="H1856" s="64"/>
      <c r="I1856" s="78"/>
    </row>
    <row r="1857" spans="1:9" ht="15">
      <c r="A1857" s="74"/>
      <c r="B1857" s="80"/>
      <c r="C1857" s="81"/>
      <c r="D1857" s="74"/>
      <c r="E1857" s="78" t="s">
        <v>33</v>
      </c>
      <c r="F1857" s="64"/>
      <c r="G1857" s="64">
        <f>TRUNC(SUM(G1852:G1856),2)</f>
        <v>24.23</v>
      </c>
      <c r="H1857" s="64"/>
      <c r="I1857" s="78"/>
    </row>
    <row r="1858" spans="1:9" ht="45">
      <c r="A1858" s="68" t="s">
        <v>1382</v>
      </c>
      <c r="B1858" s="98" t="s">
        <v>1358</v>
      </c>
      <c r="C1858" s="23" t="s">
        <v>1359</v>
      </c>
      <c r="D1858" s="68" t="s">
        <v>7</v>
      </c>
      <c r="E1858" s="24">
        <v>1</v>
      </c>
      <c r="F1858" s="24">
        <f>TRUNC(F1859,2)</f>
        <v>13.88</v>
      </c>
      <c r="G1858" s="24">
        <f>TRUNC(F1858*1.2882,2)</f>
        <v>17.88</v>
      </c>
      <c r="H1858" s="24">
        <f>TRUNC(F1858*E1858,2)</f>
        <v>13.88</v>
      </c>
      <c r="I1858" s="24">
        <f>TRUNC(E1858*G1858,2)</f>
        <v>17.88</v>
      </c>
    </row>
    <row r="1859" spans="1:9" ht="45">
      <c r="A1859" s="74"/>
      <c r="B1859" s="80" t="s">
        <v>1358</v>
      </c>
      <c r="C1859" s="81" t="s">
        <v>1359</v>
      </c>
      <c r="D1859" s="74" t="s">
        <v>7</v>
      </c>
      <c r="E1859" s="78">
        <v>1</v>
      </c>
      <c r="F1859" s="64">
        <f>G1866</f>
        <v>13.88</v>
      </c>
      <c r="G1859" s="64">
        <f t="shared" ref="G1859:G1865" si="112">TRUNC(E1859*F1859,2)</f>
        <v>13.88</v>
      </c>
      <c r="H1859" s="64"/>
      <c r="I1859" s="78"/>
    </row>
    <row r="1860" spans="1:9" ht="15">
      <c r="A1860" s="74"/>
      <c r="B1860" s="80" t="s">
        <v>1097</v>
      </c>
      <c r="C1860" s="81" t="s">
        <v>1098</v>
      </c>
      <c r="D1860" s="74" t="s">
        <v>7</v>
      </c>
      <c r="E1860" s="78">
        <v>5.0999999999999997E-2</v>
      </c>
      <c r="F1860" s="64">
        <f>TRUNC(2.13,2)</f>
        <v>2.13</v>
      </c>
      <c r="G1860" s="64">
        <f t="shared" si="112"/>
        <v>0.1</v>
      </c>
      <c r="H1860" s="64"/>
      <c r="I1860" s="78"/>
    </row>
    <row r="1861" spans="1:9" ht="15">
      <c r="A1861" s="74"/>
      <c r="B1861" s="80" t="s">
        <v>1099</v>
      </c>
      <c r="C1861" s="81" t="s">
        <v>1100</v>
      </c>
      <c r="D1861" s="74" t="s">
        <v>7</v>
      </c>
      <c r="E1861" s="78">
        <v>1.4999999999999999E-2</v>
      </c>
      <c r="F1861" s="64">
        <f>TRUNC(86.3,2)</f>
        <v>86.3</v>
      </c>
      <c r="G1861" s="64">
        <f t="shared" si="112"/>
        <v>1.29</v>
      </c>
      <c r="H1861" s="64"/>
      <c r="I1861" s="78"/>
    </row>
    <row r="1862" spans="1:9" ht="30">
      <c r="A1862" s="74"/>
      <c r="B1862" s="80" t="s">
        <v>1360</v>
      </c>
      <c r="C1862" s="81" t="s">
        <v>1361</v>
      </c>
      <c r="D1862" s="74" t="s">
        <v>7</v>
      </c>
      <c r="E1862" s="78">
        <v>1</v>
      </c>
      <c r="F1862" s="64">
        <f>TRUNC(3.97,2)</f>
        <v>3.97</v>
      </c>
      <c r="G1862" s="64">
        <f t="shared" si="112"/>
        <v>3.97</v>
      </c>
      <c r="H1862" s="64"/>
      <c r="I1862" s="78"/>
    </row>
    <row r="1863" spans="1:9" ht="15">
      <c r="A1863" s="74"/>
      <c r="B1863" s="80" t="s">
        <v>1103</v>
      </c>
      <c r="C1863" s="81" t="s">
        <v>1104</v>
      </c>
      <c r="D1863" s="74" t="s">
        <v>7</v>
      </c>
      <c r="E1863" s="78">
        <v>1.4800000000000001E-2</v>
      </c>
      <c r="F1863" s="64">
        <f>TRUNC(76.17,2)</f>
        <v>76.17</v>
      </c>
      <c r="G1863" s="64">
        <f t="shared" si="112"/>
        <v>1.1200000000000001</v>
      </c>
      <c r="H1863" s="64"/>
      <c r="I1863" s="78"/>
    </row>
    <row r="1864" spans="1:9" ht="15">
      <c r="A1864" s="74"/>
      <c r="B1864" s="80" t="s">
        <v>146</v>
      </c>
      <c r="C1864" s="81" t="s">
        <v>147</v>
      </c>
      <c r="D1864" s="74" t="s">
        <v>51</v>
      </c>
      <c r="E1864" s="78">
        <v>0.14000000000000001</v>
      </c>
      <c r="F1864" s="64">
        <f>TRUNC(29.09,2)</f>
        <v>29.09</v>
      </c>
      <c r="G1864" s="64">
        <f t="shared" si="112"/>
        <v>4.07</v>
      </c>
      <c r="H1864" s="64"/>
      <c r="I1864" s="78"/>
    </row>
    <row r="1865" spans="1:9" ht="30">
      <c r="A1865" s="74"/>
      <c r="B1865" s="80" t="s">
        <v>1105</v>
      </c>
      <c r="C1865" s="81" t="s">
        <v>1106</v>
      </c>
      <c r="D1865" s="74" t="s">
        <v>51</v>
      </c>
      <c r="E1865" s="78">
        <v>0.14000000000000001</v>
      </c>
      <c r="F1865" s="64">
        <f>TRUNC(23.85,2)</f>
        <v>23.85</v>
      </c>
      <c r="G1865" s="64">
        <f t="shared" si="112"/>
        <v>3.33</v>
      </c>
      <c r="H1865" s="64"/>
      <c r="I1865" s="78"/>
    </row>
    <row r="1866" spans="1:9" ht="15">
      <c r="A1866" s="74"/>
      <c r="B1866" s="80"/>
      <c r="C1866" s="81"/>
      <c r="D1866" s="74"/>
      <c r="E1866" s="78" t="s">
        <v>33</v>
      </c>
      <c r="F1866" s="64"/>
      <c r="G1866" s="64">
        <f>TRUNC(SUM(G1860:G1865),2)</f>
        <v>13.88</v>
      </c>
      <c r="H1866" s="64"/>
      <c r="I1866" s="78"/>
    </row>
    <row r="1867" spans="1:9" ht="45">
      <c r="A1867" s="68" t="s">
        <v>1387</v>
      </c>
      <c r="B1867" s="98" t="s">
        <v>1363</v>
      </c>
      <c r="C1867" s="23" t="s">
        <v>1364</v>
      </c>
      <c r="D1867" s="68" t="s">
        <v>7</v>
      </c>
      <c r="E1867" s="24">
        <v>20</v>
      </c>
      <c r="F1867" s="24">
        <f>TRUNC(F1868,2)</f>
        <v>11.32</v>
      </c>
      <c r="G1867" s="24">
        <f>TRUNC(F1867*1.2882,2)</f>
        <v>14.58</v>
      </c>
      <c r="H1867" s="24">
        <f>TRUNC(F1867*E1867,2)</f>
        <v>226.4</v>
      </c>
      <c r="I1867" s="24">
        <f>TRUNC(E1867*G1867,2)</f>
        <v>291.60000000000002</v>
      </c>
    </row>
    <row r="1868" spans="1:9" ht="45">
      <c r="A1868" s="74"/>
      <c r="B1868" s="80" t="s">
        <v>1363</v>
      </c>
      <c r="C1868" s="81" t="s">
        <v>1364</v>
      </c>
      <c r="D1868" s="74" t="s">
        <v>7</v>
      </c>
      <c r="E1868" s="78">
        <v>1</v>
      </c>
      <c r="F1868" s="64">
        <f>G1875</f>
        <v>11.32</v>
      </c>
      <c r="G1868" s="64">
        <f t="shared" ref="G1868:G1874" si="113">TRUNC(E1868*F1868,2)</f>
        <v>11.32</v>
      </c>
      <c r="H1868" s="64"/>
      <c r="I1868" s="78"/>
    </row>
    <row r="1869" spans="1:9" ht="15">
      <c r="A1869" s="74"/>
      <c r="B1869" s="80" t="s">
        <v>1097</v>
      </c>
      <c r="C1869" s="81" t="s">
        <v>1098</v>
      </c>
      <c r="D1869" s="74" t="s">
        <v>7</v>
      </c>
      <c r="E1869" s="78">
        <v>2.1000000000000001E-2</v>
      </c>
      <c r="F1869" s="64">
        <f>TRUNC(2.13,2)</f>
        <v>2.13</v>
      </c>
      <c r="G1869" s="64">
        <f t="shared" si="113"/>
        <v>0.04</v>
      </c>
      <c r="H1869" s="64"/>
      <c r="I1869" s="78"/>
    </row>
    <row r="1870" spans="1:9" ht="15">
      <c r="A1870" s="74"/>
      <c r="B1870" s="80" t="s">
        <v>1099</v>
      </c>
      <c r="C1870" s="81" t="s">
        <v>1100</v>
      </c>
      <c r="D1870" s="74" t="s">
        <v>7</v>
      </c>
      <c r="E1870" s="78">
        <v>1.4999999999999999E-2</v>
      </c>
      <c r="F1870" s="64">
        <f>TRUNC(86.3,2)</f>
        <v>86.3</v>
      </c>
      <c r="G1870" s="64">
        <f t="shared" si="113"/>
        <v>1.29</v>
      </c>
      <c r="H1870" s="64"/>
      <c r="I1870" s="78"/>
    </row>
    <row r="1871" spans="1:9" ht="15">
      <c r="A1871" s="74"/>
      <c r="B1871" s="80" t="s">
        <v>1365</v>
      </c>
      <c r="C1871" s="81" t="s">
        <v>1366</v>
      </c>
      <c r="D1871" s="74" t="s">
        <v>7</v>
      </c>
      <c r="E1871" s="78">
        <v>1</v>
      </c>
      <c r="F1871" s="64">
        <f>TRUNC(3.96,2)</f>
        <v>3.96</v>
      </c>
      <c r="G1871" s="64">
        <f t="shared" si="113"/>
        <v>3.96</v>
      </c>
      <c r="H1871" s="64"/>
      <c r="I1871" s="78"/>
    </row>
    <row r="1872" spans="1:9" ht="15">
      <c r="A1872" s="74"/>
      <c r="B1872" s="80" t="s">
        <v>1103</v>
      </c>
      <c r="C1872" s="81" t="s">
        <v>1104</v>
      </c>
      <c r="D1872" s="74" t="s">
        <v>7</v>
      </c>
      <c r="E1872" s="78">
        <v>9.9000000000000008E-3</v>
      </c>
      <c r="F1872" s="64">
        <f>TRUNC(76.17,2)</f>
        <v>76.17</v>
      </c>
      <c r="G1872" s="64">
        <f t="shared" si="113"/>
        <v>0.75</v>
      </c>
      <c r="H1872" s="64"/>
      <c r="I1872" s="78"/>
    </row>
    <row r="1873" spans="1:9" ht="15">
      <c r="A1873" s="74"/>
      <c r="B1873" s="80" t="s">
        <v>146</v>
      </c>
      <c r="C1873" s="81" t="s">
        <v>147</v>
      </c>
      <c r="D1873" s="74" t="s">
        <v>51</v>
      </c>
      <c r="E1873" s="78">
        <v>0.1</v>
      </c>
      <c r="F1873" s="64">
        <f>TRUNC(29.09,2)</f>
        <v>29.09</v>
      </c>
      <c r="G1873" s="64">
        <f t="shared" si="113"/>
        <v>2.9</v>
      </c>
      <c r="H1873" s="64"/>
      <c r="I1873" s="78"/>
    </row>
    <row r="1874" spans="1:9" ht="30">
      <c r="A1874" s="74"/>
      <c r="B1874" s="80" t="s">
        <v>1105</v>
      </c>
      <c r="C1874" s="81" t="s">
        <v>1106</v>
      </c>
      <c r="D1874" s="74" t="s">
        <v>51</v>
      </c>
      <c r="E1874" s="78">
        <v>0.1</v>
      </c>
      <c r="F1874" s="64">
        <f>TRUNC(23.85,2)</f>
        <v>23.85</v>
      </c>
      <c r="G1874" s="64">
        <f t="shared" si="113"/>
        <v>2.38</v>
      </c>
      <c r="H1874" s="64"/>
      <c r="I1874" s="78"/>
    </row>
    <row r="1875" spans="1:9" ht="15">
      <c r="A1875" s="74"/>
      <c r="B1875" s="80"/>
      <c r="C1875" s="81"/>
      <c r="D1875" s="74"/>
      <c r="E1875" s="78" t="s">
        <v>33</v>
      </c>
      <c r="F1875" s="64"/>
      <c r="G1875" s="64">
        <f>TRUNC(SUM(G1869:G1874),2)</f>
        <v>11.32</v>
      </c>
      <c r="H1875" s="64"/>
      <c r="I1875" s="78"/>
    </row>
    <row r="1876" spans="1:9" ht="45">
      <c r="A1876" s="68" t="s">
        <v>1388</v>
      </c>
      <c r="B1876" s="98" t="s">
        <v>1368</v>
      </c>
      <c r="C1876" s="23" t="s">
        <v>1369</v>
      </c>
      <c r="D1876" s="68" t="s">
        <v>7</v>
      </c>
      <c r="E1876" s="24">
        <v>2</v>
      </c>
      <c r="F1876" s="24">
        <f>TRUNC(F1877,2)</f>
        <v>38.81</v>
      </c>
      <c r="G1876" s="24">
        <f>TRUNC(F1876*1.2882,2)</f>
        <v>49.99</v>
      </c>
      <c r="H1876" s="24">
        <f>TRUNC(F1876*E1876,2)</f>
        <v>77.62</v>
      </c>
      <c r="I1876" s="24">
        <f>TRUNC(E1876*G1876,2)</f>
        <v>99.98</v>
      </c>
    </row>
    <row r="1877" spans="1:9" ht="45">
      <c r="A1877" s="74"/>
      <c r="B1877" s="80" t="s">
        <v>1368</v>
      </c>
      <c r="C1877" s="81" t="s">
        <v>1369</v>
      </c>
      <c r="D1877" s="74" t="s">
        <v>7</v>
      </c>
      <c r="E1877" s="78">
        <v>1</v>
      </c>
      <c r="F1877" s="64">
        <f>G1885</f>
        <v>38.81</v>
      </c>
      <c r="G1877" s="64">
        <f t="shared" ref="G1877:G1884" si="114">TRUNC(E1877*F1877,2)</f>
        <v>38.81</v>
      </c>
      <c r="H1877" s="64"/>
      <c r="I1877" s="78"/>
    </row>
    <row r="1878" spans="1:9" ht="30">
      <c r="A1878" s="74"/>
      <c r="B1878" s="80" t="s">
        <v>1287</v>
      </c>
      <c r="C1878" s="81" t="s">
        <v>1288</v>
      </c>
      <c r="D1878" s="74" t="s">
        <v>7</v>
      </c>
      <c r="E1878" s="78">
        <v>9.5000000000000001E-2</v>
      </c>
      <c r="F1878" s="64">
        <f>TRUNC(31.44,2)</f>
        <v>31.44</v>
      </c>
      <c r="G1878" s="64">
        <f t="shared" si="114"/>
        <v>2.98</v>
      </c>
      <c r="H1878" s="64"/>
      <c r="I1878" s="78"/>
    </row>
    <row r="1879" spans="1:9" ht="30">
      <c r="A1879" s="74"/>
      <c r="B1879" s="80" t="s">
        <v>1370</v>
      </c>
      <c r="C1879" s="81" t="s">
        <v>1371</v>
      </c>
      <c r="D1879" s="74" t="s">
        <v>7</v>
      </c>
      <c r="E1879" s="78">
        <v>1</v>
      </c>
      <c r="F1879" s="64">
        <f>TRUNC(19.91,2)</f>
        <v>19.91</v>
      </c>
      <c r="G1879" s="64">
        <f t="shared" si="114"/>
        <v>19.91</v>
      </c>
      <c r="H1879" s="64"/>
      <c r="I1879" s="78"/>
    </row>
    <row r="1880" spans="1:9" ht="15">
      <c r="A1880" s="74"/>
      <c r="B1880" s="80" t="s">
        <v>1291</v>
      </c>
      <c r="C1880" s="81" t="s">
        <v>1292</v>
      </c>
      <c r="D1880" s="74" t="s">
        <v>7</v>
      </c>
      <c r="E1880" s="78">
        <v>1</v>
      </c>
      <c r="F1880" s="64">
        <f>TRUNC(3.9,2)</f>
        <v>3.9</v>
      </c>
      <c r="G1880" s="64">
        <f t="shared" si="114"/>
        <v>3.9</v>
      </c>
      <c r="H1880" s="64"/>
      <c r="I1880" s="78"/>
    </row>
    <row r="1881" spans="1:9" ht="15">
      <c r="A1881" s="74"/>
      <c r="B1881" s="80" t="s">
        <v>1372</v>
      </c>
      <c r="C1881" s="81" t="s">
        <v>1373</v>
      </c>
      <c r="D1881" s="74" t="s">
        <v>7</v>
      </c>
      <c r="E1881" s="78">
        <v>1</v>
      </c>
      <c r="F1881" s="64">
        <f>TRUNC(4.57,2)</f>
        <v>4.57</v>
      </c>
      <c r="G1881" s="64">
        <f t="shared" si="114"/>
        <v>4.57</v>
      </c>
      <c r="H1881" s="64"/>
      <c r="I1881" s="78"/>
    </row>
    <row r="1882" spans="1:9" ht="15">
      <c r="A1882" s="74"/>
      <c r="B1882" s="80" t="s">
        <v>1374</v>
      </c>
      <c r="C1882" s="81" t="s">
        <v>1375</v>
      </c>
      <c r="D1882" s="74" t="s">
        <v>7</v>
      </c>
      <c r="E1882" s="78">
        <v>1</v>
      </c>
      <c r="F1882" s="64">
        <f>TRUNC(3.52,2)</f>
        <v>3.52</v>
      </c>
      <c r="G1882" s="64">
        <f t="shared" si="114"/>
        <v>3.52</v>
      </c>
      <c r="H1882" s="64"/>
      <c r="I1882" s="78"/>
    </row>
    <row r="1883" spans="1:9" ht="15">
      <c r="A1883" s="74"/>
      <c r="B1883" s="80" t="s">
        <v>146</v>
      </c>
      <c r="C1883" s="81" t="s">
        <v>147</v>
      </c>
      <c r="D1883" s="74" t="s">
        <v>51</v>
      </c>
      <c r="E1883" s="78">
        <v>7.4300000000000005E-2</v>
      </c>
      <c r="F1883" s="64">
        <f>TRUNC(29.09,2)</f>
        <v>29.09</v>
      </c>
      <c r="G1883" s="64">
        <f t="shared" si="114"/>
        <v>2.16</v>
      </c>
      <c r="H1883" s="64"/>
      <c r="I1883" s="78"/>
    </row>
    <row r="1884" spans="1:9" ht="30">
      <c r="A1884" s="74"/>
      <c r="B1884" s="80" t="s">
        <v>1105</v>
      </c>
      <c r="C1884" s="81" t="s">
        <v>1106</v>
      </c>
      <c r="D1884" s="74" t="s">
        <v>51</v>
      </c>
      <c r="E1884" s="78">
        <v>7.4300000000000005E-2</v>
      </c>
      <c r="F1884" s="64">
        <f>TRUNC(23.85,2)</f>
        <v>23.85</v>
      </c>
      <c r="G1884" s="64">
        <f t="shared" si="114"/>
        <v>1.77</v>
      </c>
      <c r="H1884" s="64"/>
      <c r="I1884" s="78"/>
    </row>
    <row r="1885" spans="1:9" ht="15">
      <c r="A1885" s="74"/>
      <c r="B1885" s="80"/>
      <c r="C1885" s="81"/>
      <c r="D1885" s="74"/>
      <c r="E1885" s="78" t="s">
        <v>33</v>
      </c>
      <c r="F1885" s="64"/>
      <c r="G1885" s="64">
        <f>TRUNC(SUM(G1878:G1884),2)</f>
        <v>38.81</v>
      </c>
      <c r="H1885" s="64"/>
      <c r="I1885" s="78"/>
    </row>
    <row r="1886" spans="1:9" ht="45">
      <c r="A1886" s="68" t="s">
        <v>1397</v>
      </c>
      <c r="B1886" s="98" t="s">
        <v>1376</v>
      </c>
      <c r="C1886" s="23" t="s">
        <v>1377</v>
      </c>
      <c r="D1886" s="68" t="s">
        <v>7</v>
      </c>
      <c r="E1886" s="24">
        <v>2</v>
      </c>
      <c r="F1886" s="24">
        <f>TRUNC(F1887,2)</f>
        <v>19.46</v>
      </c>
      <c r="G1886" s="24">
        <f>TRUNC(F1886*1.2882,2)</f>
        <v>25.06</v>
      </c>
      <c r="H1886" s="24">
        <f>TRUNC(F1886*E1886,2)</f>
        <v>38.92</v>
      </c>
      <c r="I1886" s="24">
        <f>TRUNC(E1886*G1886,2)</f>
        <v>50.12</v>
      </c>
    </row>
    <row r="1887" spans="1:9" ht="45">
      <c r="A1887" s="74"/>
      <c r="B1887" s="80" t="s">
        <v>1376</v>
      </c>
      <c r="C1887" s="81" t="s">
        <v>1377</v>
      </c>
      <c r="D1887" s="74" t="s">
        <v>7</v>
      </c>
      <c r="E1887" s="78">
        <v>1</v>
      </c>
      <c r="F1887" s="64">
        <f>G1894</f>
        <v>19.46</v>
      </c>
      <c r="G1887" s="64">
        <f t="shared" ref="G1887:G1893" si="115">TRUNC(E1887*F1887,2)</f>
        <v>19.46</v>
      </c>
      <c r="H1887" s="64"/>
      <c r="I1887" s="78"/>
    </row>
    <row r="1888" spans="1:9" ht="15">
      <c r="A1888" s="74"/>
      <c r="B1888" s="80" t="s">
        <v>1378</v>
      </c>
      <c r="C1888" s="81" t="s">
        <v>1379</v>
      </c>
      <c r="D1888" s="74" t="s">
        <v>7</v>
      </c>
      <c r="E1888" s="78">
        <v>1</v>
      </c>
      <c r="F1888" s="64">
        <f>TRUNC(2.89,2)</f>
        <v>2.89</v>
      </c>
      <c r="G1888" s="64">
        <f t="shared" si="115"/>
        <v>2.89</v>
      </c>
      <c r="H1888" s="64"/>
      <c r="I1888" s="78"/>
    </row>
    <row r="1889" spans="1:9" ht="30">
      <c r="A1889" s="74"/>
      <c r="B1889" s="80" t="s">
        <v>1287</v>
      </c>
      <c r="C1889" s="81" t="s">
        <v>1288</v>
      </c>
      <c r="D1889" s="74" t="s">
        <v>7</v>
      </c>
      <c r="E1889" s="78">
        <v>6.25E-2</v>
      </c>
      <c r="F1889" s="64">
        <f>TRUNC(31.44,2)</f>
        <v>31.44</v>
      </c>
      <c r="G1889" s="64">
        <f t="shared" si="115"/>
        <v>1.96</v>
      </c>
      <c r="H1889" s="64"/>
      <c r="I1889" s="78"/>
    </row>
    <row r="1890" spans="1:9" ht="30">
      <c r="A1890" s="74"/>
      <c r="B1890" s="80" t="s">
        <v>1380</v>
      </c>
      <c r="C1890" s="81" t="s">
        <v>1381</v>
      </c>
      <c r="D1890" s="74" t="s">
        <v>7</v>
      </c>
      <c r="E1890" s="78">
        <v>1</v>
      </c>
      <c r="F1890" s="64">
        <f>TRUNC(8.36,2)</f>
        <v>8.36</v>
      </c>
      <c r="G1890" s="64">
        <f t="shared" si="115"/>
        <v>8.36</v>
      </c>
      <c r="H1890" s="64"/>
      <c r="I1890" s="78"/>
    </row>
    <row r="1891" spans="1:9" ht="15">
      <c r="A1891" s="74"/>
      <c r="B1891" s="80" t="s">
        <v>1374</v>
      </c>
      <c r="C1891" s="81" t="s">
        <v>1375</v>
      </c>
      <c r="D1891" s="74" t="s">
        <v>7</v>
      </c>
      <c r="E1891" s="78">
        <v>1</v>
      </c>
      <c r="F1891" s="64">
        <f>TRUNC(3.52,2)</f>
        <v>3.52</v>
      </c>
      <c r="G1891" s="64">
        <f t="shared" si="115"/>
        <v>3.52</v>
      </c>
      <c r="H1891" s="64"/>
      <c r="I1891" s="78"/>
    </row>
    <row r="1892" spans="1:9" ht="15">
      <c r="A1892" s="74"/>
      <c r="B1892" s="80" t="s">
        <v>146</v>
      </c>
      <c r="C1892" s="81" t="s">
        <v>147</v>
      </c>
      <c r="D1892" s="74" t="s">
        <v>51</v>
      </c>
      <c r="E1892" s="78">
        <v>5.16E-2</v>
      </c>
      <c r="F1892" s="64">
        <f>TRUNC(29.09,2)</f>
        <v>29.09</v>
      </c>
      <c r="G1892" s="64">
        <f t="shared" si="115"/>
        <v>1.5</v>
      </c>
      <c r="H1892" s="64"/>
      <c r="I1892" s="78"/>
    </row>
    <row r="1893" spans="1:9" ht="30">
      <c r="A1893" s="74"/>
      <c r="B1893" s="80" t="s">
        <v>1105</v>
      </c>
      <c r="C1893" s="81" t="s">
        <v>1106</v>
      </c>
      <c r="D1893" s="74" t="s">
        <v>51</v>
      </c>
      <c r="E1893" s="78">
        <v>5.16E-2</v>
      </c>
      <c r="F1893" s="64">
        <f>TRUNC(23.85,2)</f>
        <v>23.85</v>
      </c>
      <c r="G1893" s="64">
        <f t="shared" si="115"/>
        <v>1.23</v>
      </c>
      <c r="H1893" s="64"/>
      <c r="I1893" s="78"/>
    </row>
    <row r="1894" spans="1:9" ht="15">
      <c r="A1894" s="74"/>
      <c r="B1894" s="80"/>
      <c r="C1894" s="81"/>
      <c r="D1894" s="74"/>
      <c r="E1894" s="78" t="s">
        <v>33</v>
      </c>
      <c r="F1894" s="64"/>
      <c r="G1894" s="64">
        <f>TRUNC(SUM(G1888:G1893),2)</f>
        <v>19.46</v>
      </c>
      <c r="H1894" s="64"/>
      <c r="I1894" s="78"/>
    </row>
    <row r="1895" spans="1:9" ht="45">
      <c r="A1895" s="68" t="s">
        <v>1401</v>
      </c>
      <c r="B1895" s="98" t="s">
        <v>1383</v>
      </c>
      <c r="C1895" s="23" t="s">
        <v>1384</v>
      </c>
      <c r="D1895" s="68" t="s">
        <v>7</v>
      </c>
      <c r="E1895" s="24">
        <v>4</v>
      </c>
      <c r="F1895" s="24">
        <f>TRUNC(F1896,2)</f>
        <v>14.03</v>
      </c>
      <c r="G1895" s="24">
        <f>TRUNC(F1895*1.2882,2)</f>
        <v>18.07</v>
      </c>
      <c r="H1895" s="24">
        <f>TRUNC(F1895*E1895,2)</f>
        <v>56.12</v>
      </c>
      <c r="I1895" s="24">
        <f>TRUNC(E1895*G1895,2)</f>
        <v>72.28</v>
      </c>
    </row>
    <row r="1896" spans="1:9" ht="45">
      <c r="A1896" s="74"/>
      <c r="B1896" s="80" t="s">
        <v>1383</v>
      </c>
      <c r="C1896" s="81" t="s">
        <v>1384</v>
      </c>
      <c r="D1896" s="74" t="s">
        <v>7</v>
      </c>
      <c r="E1896" s="78">
        <v>1</v>
      </c>
      <c r="F1896" s="64">
        <f>G1905</f>
        <v>14.03</v>
      </c>
      <c r="G1896" s="64">
        <f t="shared" ref="G1896:G1904" si="116">TRUNC(E1896*F1896,2)</f>
        <v>14.03</v>
      </c>
      <c r="H1896" s="64"/>
      <c r="I1896" s="78"/>
    </row>
    <row r="1897" spans="1:9" ht="30">
      <c r="A1897" s="74"/>
      <c r="B1897" s="80" t="s">
        <v>1385</v>
      </c>
      <c r="C1897" s="81" t="s">
        <v>1386</v>
      </c>
      <c r="D1897" s="74" t="s">
        <v>7</v>
      </c>
      <c r="E1897" s="78">
        <v>1</v>
      </c>
      <c r="F1897" s="64">
        <v>7.42</v>
      </c>
      <c r="G1897" s="64">
        <f t="shared" si="116"/>
        <v>7.42</v>
      </c>
      <c r="H1897" s="64"/>
      <c r="I1897" s="78"/>
    </row>
    <row r="1898" spans="1:9" ht="15">
      <c r="A1898" s="74"/>
      <c r="B1898" s="80" t="s">
        <v>1097</v>
      </c>
      <c r="C1898" s="81" t="s">
        <v>1098</v>
      </c>
      <c r="D1898" s="74" t="s">
        <v>7</v>
      </c>
      <c r="E1898" s="78">
        <v>1.2999999999999999E-2</v>
      </c>
      <c r="F1898" s="64">
        <v>2.13</v>
      </c>
      <c r="G1898" s="64">
        <f t="shared" si="116"/>
        <v>0.02</v>
      </c>
      <c r="H1898" s="64"/>
      <c r="I1898" s="78"/>
    </row>
    <row r="1899" spans="1:9" ht="15">
      <c r="A1899" s="74"/>
      <c r="B1899" s="80" t="s">
        <v>1378</v>
      </c>
      <c r="C1899" s="81" t="s">
        <v>1379</v>
      </c>
      <c r="D1899" s="74" t="s">
        <v>7</v>
      </c>
      <c r="E1899" s="78">
        <v>1</v>
      </c>
      <c r="F1899" s="64">
        <v>2.89</v>
      </c>
      <c r="G1899" s="64">
        <f t="shared" si="116"/>
        <v>2.89</v>
      </c>
      <c r="H1899" s="64"/>
      <c r="I1899" s="78"/>
    </row>
    <row r="1900" spans="1:9" ht="15">
      <c r="A1900" s="74"/>
      <c r="B1900" s="80" t="s">
        <v>1099</v>
      </c>
      <c r="C1900" s="81" t="s">
        <v>1100</v>
      </c>
      <c r="D1900" s="74" t="s">
        <v>7</v>
      </c>
      <c r="E1900" s="78">
        <v>7.4999999999999997E-3</v>
      </c>
      <c r="F1900" s="64">
        <v>86.3</v>
      </c>
      <c r="G1900" s="64">
        <f t="shared" si="116"/>
        <v>0.64</v>
      </c>
      <c r="H1900" s="64"/>
      <c r="I1900" s="78"/>
    </row>
    <row r="1901" spans="1:9" ht="30">
      <c r="A1901" s="74"/>
      <c r="B1901" s="80" t="s">
        <v>1287</v>
      </c>
      <c r="C1901" s="81" t="s">
        <v>1288</v>
      </c>
      <c r="D1901" s="74" t="s">
        <v>7</v>
      </c>
      <c r="E1901" s="78">
        <v>2.5000000000000001E-2</v>
      </c>
      <c r="F1901" s="64">
        <v>31.44</v>
      </c>
      <c r="G1901" s="64">
        <f t="shared" si="116"/>
        <v>0.78</v>
      </c>
      <c r="H1901" s="64"/>
      <c r="I1901" s="78"/>
    </row>
    <row r="1902" spans="1:9" ht="15">
      <c r="A1902" s="74"/>
      <c r="B1902" s="80" t="s">
        <v>1103</v>
      </c>
      <c r="C1902" s="81" t="s">
        <v>1104</v>
      </c>
      <c r="D1902" s="74" t="s">
        <v>7</v>
      </c>
      <c r="E1902" s="78">
        <v>4.8999999999999998E-3</v>
      </c>
      <c r="F1902" s="64">
        <v>76.17</v>
      </c>
      <c r="G1902" s="64">
        <f t="shared" si="116"/>
        <v>0.37</v>
      </c>
      <c r="H1902" s="64"/>
      <c r="I1902" s="78"/>
    </row>
    <row r="1903" spans="1:9" ht="15">
      <c r="A1903" s="74"/>
      <c r="B1903" s="80" t="s">
        <v>146</v>
      </c>
      <c r="C1903" s="81" t="s">
        <v>147</v>
      </c>
      <c r="D1903" s="74" t="s">
        <v>51</v>
      </c>
      <c r="E1903" s="78">
        <v>3.61E-2</v>
      </c>
      <c r="F1903" s="64">
        <f>TRUNC(29.09,2)</f>
        <v>29.09</v>
      </c>
      <c r="G1903" s="64">
        <f t="shared" si="116"/>
        <v>1.05</v>
      </c>
      <c r="H1903" s="64"/>
      <c r="I1903" s="78"/>
    </row>
    <row r="1904" spans="1:9" ht="30">
      <c r="A1904" s="74"/>
      <c r="B1904" s="80" t="s">
        <v>1105</v>
      </c>
      <c r="C1904" s="81" t="s">
        <v>1106</v>
      </c>
      <c r="D1904" s="74" t="s">
        <v>51</v>
      </c>
      <c r="E1904" s="78">
        <v>3.61E-2</v>
      </c>
      <c r="F1904" s="64">
        <f>TRUNC(23.85,2)</f>
        <v>23.85</v>
      </c>
      <c r="G1904" s="64">
        <f t="shared" si="116"/>
        <v>0.86</v>
      </c>
      <c r="H1904" s="64"/>
      <c r="I1904" s="78"/>
    </row>
    <row r="1905" spans="1:9" ht="15">
      <c r="A1905" s="74"/>
      <c r="B1905" s="80"/>
      <c r="C1905" s="81"/>
      <c r="D1905" s="74"/>
      <c r="E1905" s="78" t="s">
        <v>33</v>
      </c>
      <c r="F1905" s="64"/>
      <c r="G1905" s="64">
        <f>TRUNC(SUM(G1897:G1904),2)</f>
        <v>14.03</v>
      </c>
      <c r="H1905" s="64"/>
      <c r="I1905" s="78"/>
    </row>
    <row r="1906" spans="1:9" ht="45">
      <c r="A1906" s="68" t="s">
        <v>1402</v>
      </c>
      <c r="B1906" s="98" t="s">
        <v>1945</v>
      </c>
      <c r="C1906" s="23" t="s">
        <v>1944</v>
      </c>
      <c r="D1906" s="68" t="s">
        <v>7</v>
      </c>
      <c r="E1906" s="24">
        <v>11</v>
      </c>
      <c r="F1906" s="24">
        <f>TRUNC(F1907,2)</f>
        <v>139.91999999999999</v>
      </c>
      <c r="G1906" s="24">
        <f>TRUNC(F1906*1.2882,2)</f>
        <v>180.24</v>
      </c>
      <c r="H1906" s="24">
        <f>TRUNC(F1906*E1906,2)</f>
        <v>1539.12</v>
      </c>
      <c r="I1906" s="24">
        <f>TRUNC(E1906*G1906,2)</f>
        <v>1982.64</v>
      </c>
    </row>
    <row r="1907" spans="1:9" ht="45">
      <c r="A1907" s="74"/>
      <c r="B1907" s="80" t="s">
        <v>1389</v>
      </c>
      <c r="C1907" s="81" t="s">
        <v>1390</v>
      </c>
      <c r="D1907" s="74" t="s">
        <v>7</v>
      </c>
      <c r="E1907" s="78">
        <v>1</v>
      </c>
      <c r="F1907" s="64">
        <f>G1917</f>
        <v>139.91999999999999</v>
      </c>
      <c r="G1907" s="64">
        <f t="shared" ref="G1907:G1916" si="117">TRUNC(E1907*F1907,2)</f>
        <v>139.91999999999999</v>
      </c>
      <c r="H1907" s="64"/>
      <c r="I1907" s="78"/>
    </row>
    <row r="1908" spans="1:9" ht="15">
      <c r="A1908" s="74"/>
      <c r="B1908" s="80" t="s">
        <v>1097</v>
      </c>
      <c r="C1908" s="81" t="s">
        <v>1098</v>
      </c>
      <c r="D1908" s="74" t="s">
        <v>7</v>
      </c>
      <c r="E1908" s="78">
        <v>5.7000000000000002E-2</v>
      </c>
      <c r="F1908" s="64">
        <v>2.13</v>
      </c>
      <c r="G1908" s="64">
        <f t="shared" si="117"/>
        <v>0.12</v>
      </c>
      <c r="H1908" s="64"/>
      <c r="I1908" s="78"/>
    </row>
    <row r="1909" spans="1:9" ht="15">
      <c r="A1909" s="74"/>
      <c r="B1909" s="80" t="s">
        <v>1099</v>
      </c>
      <c r="C1909" s="81" t="s">
        <v>1100</v>
      </c>
      <c r="D1909" s="74" t="s">
        <v>7</v>
      </c>
      <c r="E1909" s="78">
        <v>2.2499999999999999E-2</v>
      </c>
      <c r="F1909" s="64">
        <v>86.3</v>
      </c>
      <c r="G1909" s="64">
        <f t="shared" si="117"/>
        <v>1.94</v>
      </c>
      <c r="H1909" s="64"/>
      <c r="I1909" s="78"/>
    </row>
    <row r="1910" spans="1:9" ht="30">
      <c r="A1910" s="74"/>
      <c r="B1910" s="80" t="s">
        <v>1287</v>
      </c>
      <c r="C1910" s="81" t="s">
        <v>1288</v>
      </c>
      <c r="D1910" s="74" t="s">
        <v>7</v>
      </c>
      <c r="E1910" s="78">
        <v>0.03</v>
      </c>
      <c r="F1910" s="64">
        <v>31.44</v>
      </c>
      <c r="G1910" s="64">
        <f t="shared" si="117"/>
        <v>0.94</v>
      </c>
      <c r="H1910" s="64"/>
      <c r="I1910" s="78"/>
    </row>
    <row r="1911" spans="1:9" ht="15">
      <c r="A1911" s="74"/>
      <c r="B1911" s="80" t="s">
        <v>1391</v>
      </c>
      <c r="C1911" s="81" t="s">
        <v>1392</v>
      </c>
      <c r="D1911" s="74" t="s">
        <v>7</v>
      </c>
      <c r="E1911" s="78">
        <v>1</v>
      </c>
      <c r="F1911" s="64">
        <v>85.76</v>
      </c>
      <c r="G1911" s="64">
        <f t="shared" si="117"/>
        <v>85.76</v>
      </c>
      <c r="H1911" s="64"/>
      <c r="I1911" s="78"/>
    </row>
    <row r="1912" spans="1:9" ht="15">
      <c r="A1912" s="74"/>
      <c r="B1912" s="80" t="s">
        <v>1297</v>
      </c>
      <c r="C1912" s="81" t="s">
        <v>1298</v>
      </c>
      <c r="D1912" s="74" t="s">
        <v>7</v>
      </c>
      <c r="E1912" s="78">
        <v>1</v>
      </c>
      <c r="F1912" s="64">
        <v>3.24</v>
      </c>
      <c r="G1912" s="64">
        <f t="shared" si="117"/>
        <v>3.24</v>
      </c>
      <c r="H1912" s="64"/>
      <c r="I1912" s="78"/>
    </row>
    <row r="1913" spans="1:9" ht="15">
      <c r="A1913" s="74"/>
      <c r="B1913" s="80" t="s">
        <v>1103</v>
      </c>
      <c r="C1913" s="81" t="s">
        <v>1104</v>
      </c>
      <c r="D1913" s="74" t="s">
        <v>7</v>
      </c>
      <c r="E1913" s="78">
        <v>1.4800000000000001E-2</v>
      </c>
      <c r="F1913" s="64">
        <f>TRUNC(76.17,2)</f>
        <v>76.17</v>
      </c>
      <c r="G1913" s="64">
        <f t="shared" si="117"/>
        <v>1.1200000000000001</v>
      </c>
      <c r="H1913" s="64"/>
      <c r="I1913" s="78"/>
    </row>
    <row r="1914" spans="1:9" s="169" customFormat="1" ht="15.75">
      <c r="A1914" s="256"/>
      <c r="B1914" s="257" t="s">
        <v>1942</v>
      </c>
      <c r="C1914" s="258" t="s">
        <v>1943</v>
      </c>
      <c r="D1914" s="256" t="s">
        <v>7</v>
      </c>
      <c r="E1914" s="259">
        <v>1</v>
      </c>
      <c r="F1914" s="260">
        <v>26.69</v>
      </c>
      <c r="G1914" s="260">
        <f t="shared" si="117"/>
        <v>26.69</v>
      </c>
      <c r="H1914" s="260"/>
      <c r="I1914" s="259"/>
    </row>
    <row r="1915" spans="1:9" ht="15">
      <c r="A1915" s="74"/>
      <c r="B1915" s="80" t="s">
        <v>146</v>
      </c>
      <c r="C1915" s="81" t="s">
        <v>147</v>
      </c>
      <c r="D1915" s="74" t="s">
        <v>51</v>
      </c>
      <c r="E1915" s="78">
        <v>0.38</v>
      </c>
      <c r="F1915" s="64">
        <f>TRUNC(29.09,2)</f>
        <v>29.09</v>
      </c>
      <c r="G1915" s="64">
        <f t="shared" si="117"/>
        <v>11.05</v>
      </c>
      <c r="H1915" s="64"/>
      <c r="I1915" s="78"/>
    </row>
    <row r="1916" spans="1:9" ht="30">
      <c r="A1916" s="74"/>
      <c r="B1916" s="80" t="s">
        <v>1105</v>
      </c>
      <c r="C1916" s="81" t="s">
        <v>1106</v>
      </c>
      <c r="D1916" s="74" t="s">
        <v>51</v>
      </c>
      <c r="E1916" s="78">
        <v>0.38</v>
      </c>
      <c r="F1916" s="64">
        <f>TRUNC(23.85,2)</f>
        <v>23.85</v>
      </c>
      <c r="G1916" s="64">
        <f t="shared" si="117"/>
        <v>9.06</v>
      </c>
      <c r="H1916" s="64"/>
      <c r="I1916" s="78"/>
    </row>
    <row r="1917" spans="1:9" ht="15">
      <c r="A1917" s="74"/>
      <c r="B1917" s="80"/>
      <c r="C1917" s="81"/>
      <c r="D1917" s="74"/>
      <c r="E1917" s="78" t="s">
        <v>33</v>
      </c>
      <c r="F1917" s="64"/>
      <c r="G1917" s="64">
        <f>TRUNC(SUM(G1908:G1916),2)</f>
        <v>139.91999999999999</v>
      </c>
      <c r="H1917" s="64"/>
      <c r="I1917" s="78"/>
    </row>
    <row r="1918" spans="1:9" ht="30">
      <c r="A1918" s="68" t="s">
        <v>1406</v>
      </c>
      <c r="B1918" s="98" t="s">
        <v>1393</v>
      </c>
      <c r="C1918" s="23" t="s">
        <v>1394</v>
      </c>
      <c r="D1918" s="68" t="s">
        <v>7</v>
      </c>
      <c r="E1918" s="24">
        <v>3</v>
      </c>
      <c r="F1918" s="24">
        <f>TRUNC(F1919,2)</f>
        <v>60.88</v>
      </c>
      <c r="G1918" s="24">
        <f>TRUNC(F1918*1.2882,2)</f>
        <v>78.42</v>
      </c>
      <c r="H1918" s="24">
        <f>TRUNC(F1918*E1918,2)</f>
        <v>182.64</v>
      </c>
      <c r="I1918" s="24">
        <f>TRUNC(E1918*G1918,2)</f>
        <v>235.26</v>
      </c>
    </row>
    <row r="1919" spans="1:9" ht="30">
      <c r="A1919" s="74"/>
      <c r="B1919" s="80" t="s">
        <v>1393</v>
      </c>
      <c r="C1919" s="81" t="s">
        <v>1394</v>
      </c>
      <c r="D1919" s="74" t="s">
        <v>7</v>
      </c>
      <c r="E1919" s="78">
        <v>1</v>
      </c>
      <c r="F1919" s="64">
        <f>G1924</f>
        <v>60.88</v>
      </c>
      <c r="G1919" s="64">
        <f>TRUNC(E1919*F1919,2)</f>
        <v>60.88</v>
      </c>
      <c r="H1919" s="64"/>
      <c r="I1919" s="78"/>
    </row>
    <row r="1920" spans="1:9" ht="15">
      <c r="A1920" s="74"/>
      <c r="B1920" s="80" t="s">
        <v>1395</v>
      </c>
      <c r="C1920" s="81" t="s">
        <v>1396</v>
      </c>
      <c r="D1920" s="74" t="s">
        <v>7</v>
      </c>
      <c r="E1920" s="78">
        <v>1</v>
      </c>
      <c r="F1920" s="64">
        <v>54.43</v>
      </c>
      <c r="G1920" s="64">
        <f>TRUNC(E1920*F1920,2)</f>
        <v>54.43</v>
      </c>
      <c r="H1920" s="64"/>
      <c r="I1920" s="78"/>
    </row>
    <row r="1921" spans="1:9" ht="15">
      <c r="A1921" s="74"/>
      <c r="B1921" s="80" t="s">
        <v>667</v>
      </c>
      <c r="C1921" s="81" t="s">
        <v>660</v>
      </c>
      <c r="D1921" s="74" t="s">
        <v>7</v>
      </c>
      <c r="E1921" s="78">
        <v>4.8000000000000001E-2</v>
      </c>
      <c r="F1921" s="64">
        <v>3.17</v>
      </c>
      <c r="G1921" s="64">
        <f>TRUNC(E1921*F1921,2)</f>
        <v>0.15</v>
      </c>
      <c r="H1921" s="64"/>
      <c r="I1921" s="78"/>
    </row>
    <row r="1922" spans="1:9" ht="15">
      <c r="A1922" s="74"/>
      <c r="B1922" s="80" t="s">
        <v>56</v>
      </c>
      <c r="C1922" s="81" t="s">
        <v>57</v>
      </c>
      <c r="D1922" s="74" t="s">
        <v>51</v>
      </c>
      <c r="E1922" s="78">
        <v>5.4800000000000001E-2</v>
      </c>
      <c r="F1922" s="64">
        <f>TRUNC(22.72,2)</f>
        <v>22.72</v>
      </c>
      <c r="G1922" s="64">
        <f>TRUNC(E1922*F1922,2)</f>
        <v>1.24</v>
      </c>
      <c r="H1922" s="64"/>
      <c r="I1922" s="78"/>
    </row>
    <row r="1923" spans="1:9" ht="15">
      <c r="A1923" s="74"/>
      <c r="B1923" s="80" t="s">
        <v>146</v>
      </c>
      <c r="C1923" s="81" t="s">
        <v>147</v>
      </c>
      <c r="D1923" s="74" t="s">
        <v>51</v>
      </c>
      <c r="E1923" s="78">
        <v>0.17399999999999999</v>
      </c>
      <c r="F1923" s="64">
        <f>TRUNC(29.09,2)</f>
        <v>29.09</v>
      </c>
      <c r="G1923" s="64">
        <f>TRUNC(E1923*F1923,2)</f>
        <v>5.0599999999999996</v>
      </c>
      <c r="H1923" s="64"/>
      <c r="I1923" s="78"/>
    </row>
    <row r="1924" spans="1:9" ht="15">
      <c r="A1924" s="74"/>
      <c r="B1924" s="80"/>
      <c r="C1924" s="81"/>
      <c r="D1924" s="74"/>
      <c r="E1924" s="78" t="s">
        <v>33</v>
      </c>
      <c r="F1924" s="64"/>
      <c r="G1924" s="64">
        <f>TRUNC(SUM(G1920:G1923),2)</f>
        <v>60.88</v>
      </c>
      <c r="H1924" s="64"/>
      <c r="I1924" s="78"/>
    </row>
    <row r="1925" spans="1:9" ht="30">
      <c r="A1925" s="68" t="s">
        <v>1407</v>
      </c>
      <c r="B1925" s="98" t="s">
        <v>572</v>
      </c>
      <c r="C1925" s="23" t="s">
        <v>1398</v>
      </c>
      <c r="D1925" s="68" t="s">
        <v>7</v>
      </c>
      <c r="E1925" s="24">
        <v>16</v>
      </c>
      <c r="F1925" s="24">
        <f>TRUNC(F1926,2)</f>
        <v>56.59</v>
      </c>
      <c r="G1925" s="24">
        <f>TRUNC(F1925*1.2882,2)</f>
        <v>72.89</v>
      </c>
      <c r="H1925" s="24">
        <f>TRUNC(F1925*E1925,2)</f>
        <v>905.44</v>
      </c>
      <c r="I1925" s="24">
        <f>TRUNC(E1925*G1925,2)</f>
        <v>1166.24</v>
      </c>
    </row>
    <row r="1926" spans="1:9" ht="30">
      <c r="A1926" s="74"/>
      <c r="B1926" s="80" t="s">
        <v>572</v>
      </c>
      <c r="C1926" s="81" t="s">
        <v>1398</v>
      </c>
      <c r="D1926" s="74" t="s">
        <v>7</v>
      </c>
      <c r="E1926" s="78">
        <v>1</v>
      </c>
      <c r="F1926" s="64">
        <f>G1931</f>
        <v>56.59</v>
      </c>
      <c r="G1926" s="64">
        <f>TRUNC(E1926*F1926,2)</f>
        <v>56.59</v>
      </c>
      <c r="H1926" s="64"/>
      <c r="I1926" s="78"/>
    </row>
    <row r="1927" spans="1:9" ht="30">
      <c r="A1927" s="74"/>
      <c r="B1927" s="80" t="s">
        <v>1399</v>
      </c>
      <c r="C1927" s="81" t="s">
        <v>1400</v>
      </c>
      <c r="D1927" s="74" t="s">
        <v>7</v>
      </c>
      <c r="E1927" s="78">
        <v>1</v>
      </c>
      <c r="F1927" s="64">
        <v>50.14</v>
      </c>
      <c r="G1927" s="64">
        <f>TRUNC(E1927*F1927,2)</f>
        <v>50.14</v>
      </c>
      <c r="H1927" s="64"/>
      <c r="I1927" s="78"/>
    </row>
    <row r="1928" spans="1:9" ht="15">
      <c r="A1928" s="74"/>
      <c r="B1928" s="80" t="s">
        <v>667</v>
      </c>
      <c r="C1928" s="81" t="s">
        <v>660</v>
      </c>
      <c r="D1928" s="74" t="s">
        <v>7</v>
      </c>
      <c r="E1928" s="78">
        <v>4.8000000000000001E-2</v>
      </c>
      <c r="F1928" s="64">
        <v>3.17</v>
      </c>
      <c r="G1928" s="64">
        <f>TRUNC(E1928*F1928,2)</f>
        <v>0.15</v>
      </c>
      <c r="H1928" s="64"/>
      <c r="I1928" s="78"/>
    </row>
    <row r="1929" spans="1:9" ht="15">
      <c r="A1929" s="74"/>
      <c r="B1929" s="80" t="s">
        <v>56</v>
      </c>
      <c r="C1929" s="81" t="s">
        <v>57</v>
      </c>
      <c r="D1929" s="74" t="s">
        <v>51</v>
      </c>
      <c r="E1929" s="78">
        <v>5.4800000000000001E-2</v>
      </c>
      <c r="F1929" s="64">
        <f>TRUNC(22.72,2)</f>
        <v>22.72</v>
      </c>
      <c r="G1929" s="64">
        <f>TRUNC(E1929*F1929,2)</f>
        <v>1.24</v>
      </c>
      <c r="H1929" s="64"/>
      <c r="I1929" s="78"/>
    </row>
    <row r="1930" spans="1:9" ht="15">
      <c r="A1930" s="74"/>
      <c r="B1930" s="80" t="s">
        <v>146</v>
      </c>
      <c r="C1930" s="81" t="s">
        <v>147</v>
      </c>
      <c r="D1930" s="74" t="s">
        <v>51</v>
      </c>
      <c r="E1930" s="78">
        <v>0.17399999999999999</v>
      </c>
      <c r="F1930" s="64">
        <f>TRUNC(29.09,2)</f>
        <v>29.09</v>
      </c>
      <c r="G1930" s="64">
        <f>TRUNC(E1930*F1930,2)</f>
        <v>5.0599999999999996</v>
      </c>
      <c r="H1930" s="64"/>
      <c r="I1930" s="78"/>
    </row>
    <row r="1931" spans="1:9" ht="15">
      <c r="A1931" s="74"/>
      <c r="B1931" s="80"/>
      <c r="C1931" s="81"/>
      <c r="D1931" s="74"/>
      <c r="E1931" s="78" t="s">
        <v>33</v>
      </c>
      <c r="F1931" s="64"/>
      <c r="G1931" s="64">
        <f>TRUNC(SUM(G1927:G1930),2)</f>
        <v>56.59</v>
      </c>
      <c r="H1931" s="64"/>
      <c r="I1931" s="78"/>
    </row>
    <row r="1932" spans="1:9" ht="30">
      <c r="A1932" s="68" t="s">
        <v>1408</v>
      </c>
      <c r="B1932" s="98" t="s">
        <v>568</v>
      </c>
      <c r="C1932" s="23" t="s">
        <v>1403</v>
      </c>
      <c r="D1932" s="68" t="s">
        <v>7</v>
      </c>
      <c r="E1932" s="24">
        <v>16</v>
      </c>
      <c r="F1932" s="24">
        <f>TRUNC(F1933,2)</f>
        <v>183.47</v>
      </c>
      <c r="G1932" s="24">
        <f>TRUNC(F1932*1.2882,2)</f>
        <v>236.34</v>
      </c>
      <c r="H1932" s="24">
        <f>TRUNC(F1932*E1932,2)</f>
        <v>2935.52</v>
      </c>
      <c r="I1932" s="24">
        <f>TRUNC(E1932*G1932,2)</f>
        <v>3781.44</v>
      </c>
    </row>
    <row r="1933" spans="1:9" ht="30">
      <c r="A1933" s="74"/>
      <c r="B1933" s="80" t="s">
        <v>568</v>
      </c>
      <c r="C1933" s="81" t="s">
        <v>1403</v>
      </c>
      <c r="D1933" s="74" t="s">
        <v>7</v>
      </c>
      <c r="E1933" s="78">
        <v>1</v>
      </c>
      <c r="F1933" s="64">
        <f>TRUNC(183.4729,2)</f>
        <v>183.47</v>
      </c>
      <c r="G1933" s="64">
        <f>TRUNC(E1933*F1933,2)</f>
        <v>183.47</v>
      </c>
      <c r="H1933" s="64"/>
      <c r="I1933" s="78"/>
    </row>
    <row r="1934" spans="1:9" ht="15">
      <c r="A1934" s="74"/>
      <c r="B1934" s="80" t="s">
        <v>1404</v>
      </c>
      <c r="C1934" s="81" t="s">
        <v>1405</v>
      </c>
      <c r="D1934" s="74" t="s">
        <v>7</v>
      </c>
      <c r="E1934" s="78">
        <v>1</v>
      </c>
      <c r="F1934" s="64">
        <v>159.4</v>
      </c>
      <c r="G1934" s="64">
        <f>TRUNC(E1934*F1934,2)</f>
        <v>159.4</v>
      </c>
      <c r="H1934" s="64"/>
      <c r="I1934" s="78"/>
    </row>
    <row r="1935" spans="1:9" ht="15">
      <c r="A1935" s="74"/>
      <c r="B1935" s="80" t="s">
        <v>667</v>
      </c>
      <c r="C1935" s="81" t="s">
        <v>660</v>
      </c>
      <c r="D1935" s="74" t="s">
        <v>7</v>
      </c>
      <c r="E1935" s="78">
        <v>3.32E-2</v>
      </c>
      <c r="F1935" s="64">
        <f>TRUNC(3.17,2)</f>
        <v>3.17</v>
      </c>
      <c r="G1935" s="64">
        <f>TRUNC(E1935*F1935,2)</f>
        <v>0.1</v>
      </c>
      <c r="H1935" s="64"/>
      <c r="I1935" s="78"/>
    </row>
    <row r="1936" spans="1:9" ht="15">
      <c r="A1936" s="74"/>
      <c r="B1936" s="80" t="s">
        <v>56</v>
      </c>
      <c r="C1936" s="81" t="s">
        <v>57</v>
      </c>
      <c r="D1936" s="74" t="s">
        <v>51</v>
      </c>
      <c r="E1936" s="78">
        <v>8.6199999999999999E-2</v>
      </c>
      <c r="F1936" s="64">
        <f>TRUNC(22.72,2)</f>
        <v>22.72</v>
      </c>
      <c r="G1936" s="64">
        <f>TRUNC(E1936*F1936,2)</f>
        <v>1.95</v>
      </c>
      <c r="H1936" s="64"/>
      <c r="I1936" s="78"/>
    </row>
    <row r="1937" spans="1:9" ht="15">
      <c r="A1937" s="74"/>
      <c r="B1937" s="80" t="s">
        <v>146</v>
      </c>
      <c r="C1937" s="81" t="s">
        <v>147</v>
      </c>
      <c r="D1937" s="74" t="s">
        <v>51</v>
      </c>
      <c r="E1937" s="78">
        <v>0.27339999999999998</v>
      </c>
      <c r="F1937" s="64">
        <f>TRUNC(29.09,2)</f>
        <v>29.09</v>
      </c>
      <c r="G1937" s="64">
        <f>TRUNC(E1937*F1937,2)</f>
        <v>7.95</v>
      </c>
      <c r="H1937" s="64"/>
      <c r="I1937" s="78"/>
    </row>
    <row r="1938" spans="1:9" ht="15">
      <c r="A1938" s="74"/>
      <c r="B1938" s="80"/>
      <c r="C1938" s="81"/>
      <c r="D1938" s="74"/>
      <c r="E1938" s="78" t="s">
        <v>33</v>
      </c>
      <c r="F1938" s="64"/>
      <c r="G1938" s="64">
        <f>TRUNC(SUM(G1934:G1937),2)</f>
        <v>169.4</v>
      </c>
      <c r="H1938" s="64"/>
      <c r="I1938" s="78"/>
    </row>
    <row r="1939" spans="1:9" ht="30">
      <c r="A1939" s="68" t="s">
        <v>1409</v>
      </c>
      <c r="B1939" s="98" t="s">
        <v>572</v>
      </c>
      <c r="C1939" s="23" t="s">
        <v>1398</v>
      </c>
      <c r="D1939" s="68" t="s">
        <v>7</v>
      </c>
      <c r="E1939" s="24">
        <v>2</v>
      </c>
      <c r="F1939" s="24">
        <f>TRUNC(F1940,2)</f>
        <v>60.87</v>
      </c>
      <c r="G1939" s="24">
        <f>TRUNC(F1939*1.2882,2)</f>
        <v>78.41</v>
      </c>
      <c r="H1939" s="24">
        <f>TRUNC(F1939*E1939,2)</f>
        <v>121.74</v>
      </c>
      <c r="I1939" s="24">
        <f>TRUNC(E1939*G1939,2)</f>
        <v>156.82</v>
      </c>
    </row>
    <row r="1940" spans="1:9" ht="30">
      <c r="A1940" s="74"/>
      <c r="B1940" s="80" t="s">
        <v>572</v>
      </c>
      <c r="C1940" s="81" t="s">
        <v>1398</v>
      </c>
      <c r="D1940" s="74" t="s">
        <v>7</v>
      </c>
      <c r="E1940" s="78">
        <v>1</v>
      </c>
      <c r="F1940" s="64">
        <f>TRUNC(60.876312,2)</f>
        <v>60.87</v>
      </c>
      <c r="G1940" s="64">
        <f>TRUNC(E1940*F1940,2)</f>
        <v>60.87</v>
      </c>
      <c r="H1940" s="64"/>
      <c r="I1940" s="78"/>
    </row>
    <row r="1941" spans="1:9" ht="30">
      <c r="A1941" s="74"/>
      <c r="B1941" s="80" t="s">
        <v>1399</v>
      </c>
      <c r="C1941" s="81" t="s">
        <v>1400</v>
      </c>
      <c r="D1941" s="74" t="s">
        <v>7</v>
      </c>
      <c r="E1941" s="78">
        <v>1</v>
      </c>
      <c r="F1941" s="64">
        <v>50.14</v>
      </c>
      <c r="G1941" s="64">
        <f>TRUNC(E1941*F1941,2)</f>
        <v>50.14</v>
      </c>
      <c r="H1941" s="64"/>
      <c r="I1941" s="78"/>
    </row>
    <row r="1942" spans="1:9" ht="15">
      <c r="A1942" s="74"/>
      <c r="B1942" s="80" t="s">
        <v>667</v>
      </c>
      <c r="C1942" s="81" t="s">
        <v>660</v>
      </c>
      <c r="D1942" s="74" t="s">
        <v>7</v>
      </c>
      <c r="E1942" s="78">
        <v>4.8000000000000001E-2</v>
      </c>
      <c r="F1942" s="64">
        <f>TRUNC(3.17,2)</f>
        <v>3.17</v>
      </c>
      <c r="G1942" s="64">
        <f>TRUNC(E1942*F1942,2)</f>
        <v>0.15</v>
      </c>
      <c r="H1942" s="64"/>
      <c r="I1942" s="78"/>
    </row>
    <row r="1943" spans="1:9" ht="15">
      <c r="A1943" s="74"/>
      <c r="B1943" s="80" t="s">
        <v>56</v>
      </c>
      <c r="C1943" s="81" t="s">
        <v>57</v>
      </c>
      <c r="D1943" s="74" t="s">
        <v>51</v>
      </c>
      <c r="E1943" s="78">
        <v>5.4800000000000001E-2</v>
      </c>
      <c r="F1943" s="64">
        <f>TRUNC(22.72,2)</f>
        <v>22.72</v>
      </c>
      <c r="G1943" s="64">
        <f>TRUNC(E1943*F1943,2)</f>
        <v>1.24</v>
      </c>
      <c r="H1943" s="64"/>
      <c r="I1943" s="78"/>
    </row>
    <row r="1944" spans="1:9" ht="15">
      <c r="A1944" s="74"/>
      <c r="B1944" s="80" t="s">
        <v>146</v>
      </c>
      <c r="C1944" s="81" t="s">
        <v>147</v>
      </c>
      <c r="D1944" s="74" t="s">
        <v>51</v>
      </c>
      <c r="E1944" s="78">
        <v>0.17399999999999999</v>
      </c>
      <c r="F1944" s="64">
        <f>TRUNC(29.09,2)</f>
        <v>29.09</v>
      </c>
      <c r="G1944" s="64">
        <f>TRUNC(E1944*F1944,2)</f>
        <v>5.0599999999999996</v>
      </c>
      <c r="H1944" s="64"/>
      <c r="I1944" s="78"/>
    </row>
    <row r="1945" spans="1:9" ht="15">
      <c r="A1945" s="74"/>
      <c r="B1945" s="80"/>
      <c r="C1945" s="81"/>
      <c r="D1945" s="74"/>
      <c r="E1945" s="78" t="s">
        <v>33</v>
      </c>
      <c r="F1945" s="64"/>
      <c r="G1945" s="64">
        <f>TRUNC(SUM(G1941:G1944),2)</f>
        <v>56.59</v>
      </c>
      <c r="H1945" s="64"/>
      <c r="I1945" s="78"/>
    </row>
    <row r="1946" spans="1:9" ht="45">
      <c r="A1946" s="68" t="s">
        <v>1410</v>
      </c>
      <c r="B1946" s="98" t="s">
        <v>1411</v>
      </c>
      <c r="C1946" s="23" t="s">
        <v>1412</v>
      </c>
      <c r="D1946" s="68" t="s">
        <v>7</v>
      </c>
      <c r="E1946" s="24">
        <v>1</v>
      </c>
      <c r="F1946" s="24">
        <f>TRUNC(F1947,2)</f>
        <v>475.05</v>
      </c>
      <c r="G1946" s="24">
        <f>TRUNC(F1946*1.2882,2)</f>
        <v>611.95000000000005</v>
      </c>
      <c r="H1946" s="24">
        <f>TRUNC(F1946*E1946,2)</f>
        <v>475.05</v>
      </c>
      <c r="I1946" s="24">
        <f>TRUNC(E1946*G1946,2)</f>
        <v>611.95000000000005</v>
      </c>
    </row>
    <row r="1947" spans="1:9" ht="45">
      <c r="A1947" s="74"/>
      <c r="B1947" s="80" t="s">
        <v>1411</v>
      </c>
      <c r="C1947" s="81" t="s">
        <v>1412</v>
      </c>
      <c r="D1947" s="74" t="s">
        <v>7</v>
      </c>
      <c r="E1947" s="78">
        <v>1</v>
      </c>
      <c r="F1947" s="64">
        <f>G1962</f>
        <v>475.05</v>
      </c>
      <c r="G1947" s="64">
        <f t="shared" ref="G1947:G1961" si="118">TRUNC(E1947*F1947,2)</f>
        <v>475.05</v>
      </c>
      <c r="H1947" s="64"/>
      <c r="I1947" s="78"/>
    </row>
    <row r="1948" spans="1:9" ht="30">
      <c r="A1948" s="74"/>
      <c r="B1948" s="80" t="s">
        <v>1413</v>
      </c>
      <c r="C1948" s="81" t="s">
        <v>1414</v>
      </c>
      <c r="D1948" s="74" t="s">
        <v>23</v>
      </c>
      <c r="E1948" s="78">
        <v>0.33119999999999999</v>
      </c>
      <c r="F1948" s="64">
        <f>TRUNC(25.43,2)</f>
        <v>25.43</v>
      </c>
      <c r="G1948" s="64">
        <f t="shared" si="118"/>
        <v>8.42</v>
      </c>
      <c r="H1948" s="64"/>
      <c r="I1948" s="78"/>
    </row>
    <row r="1949" spans="1:9" ht="15">
      <c r="A1949" s="74"/>
      <c r="B1949" s="80" t="s">
        <v>1415</v>
      </c>
      <c r="C1949" s="81" t="s">
        <v>1416</v>
      </c>
      <c r="D1949" s="74" t="s">
        <v>46</v>
      </c>
      <c r="E1949" s="78">
        <v>9.4000000000000004E-3</v>
      </c>
      <c r="F1949" s="64">
        <f>TRUNC(27.17,2)</f>
        <v>27.17</v>
      </c>
      <c r="G1949" s="64">
        <f t="shared" si="118"/>
        <v>0.25</v>
      </c>
      <c r="H1949" s="64"/>
      <c r="I1949" s="78"/>
    </row>
    <row r="1950" spans="1:9" ht="15">
      <c r="A1950" s="74"/>
      <c r="B1950" s="80" t="s">
        <v>234</v>
      </c>
      <c r="C1950" s="81" t="s">
        <v>235</v>
      </c>
      <c r="D1950" s="74" t="s">
        <v>23</v>
      </c>
      <c r="E1950" s="78">
        <v>0.1056</v>
      </c>
      <c r="F1950" s="64">
        <f>TRUNC(3.02,2)</f>
        <v>3.02</v>
      </c>
      <c r="G1950" s="64">
        <f t="shared" si="118"/>
        <v>0.31</v>
      </c>
      <c r="H1950" s="64"/>
      <c r="I1950" s="78"/>
    </row>
    <row r="1951" spans="1:9" ht="15">
      <c r="A1951" s="74"/>
      <c r="B1951" s="80" t="s">
        <v>1417</v>
      </c>
      <c r="C1951" s="81" t="s">
        <v>1418</v>
      </c>
      <c r="D1951" s="74" t="s">
        <v>23</v>
      </c>
      <c r="E1951" s="78">
        <v>8.8800000000000004E-2</v>
      </c>
      <c r="F1951" s="64">
        <f>TRUNC(8.64,2)</f>
        <v>8.64</v>
      </c>
      <c r="G1951" s="64">
        <f t="shared" si="118"/>
        <v>0.76</v>
      </c>
      <c r="H1951" s="64"/>
      <c r="I1951" s="78"/>
    </row>
    <row r="1952" spans="1:9" ht="30">
      <c r="A1952" s="74"/>
      <c r="B1952" s="80" t="s">
        <v>1419</v>
      </c>
      <c r="C1952" s="81" t="s">
        <v>1420</v>
      </c>
      <c r="D1952" s="74" t="s">
        <v>816</v>
      </c>
      <c r="E1952" s="78">
        <v>4.1000000000000003E-3</v>
      </c>
      <c r="F1952" s="64">
        <f>TRUNC(6.13,2)</f>
        <v>6.13</v>
      </c>
      <c r="G1952" s="64">
        <f t="shared" si="118"/>
        <v>0.02</v>
      </c>
      <c r="H1952" s="64"/>
      <c r="I1952" s="78"/>
    </row>
    <row r="1953" spans="1:9" ht="15">
      <c r="A1953" s="74"/>
      <c r="B1953" s="80" t="s">
        <v>1421</v>
      </c>
      <c r="C1953" s="81" t="s">
        <v>1422</v>
      </c>
      <c r="D1953" s="74" t="s">
        <v>7</v>
      </c>
      <c r="E1953" s="78">
        <v>26.043800000000001</v>
      </c>
      <c r="F1953" s="64">
        <f>TRUNC(2.52,2)</f>
        <v>2.52</v>
      </c>
      <c r="G1953" s="64">
        <f t="shared" si="118"/>
        <v>65.63</v>
      </c>
      <c r="H1953" s="64"/>
      <c r="I1953" s="78"/>
    </row>
    <row r="1954" spans="1:9" ht="15">
      <c r="A1954" s="74"/>
      <c r="B1954" s="80" t="s">
        <v>56</v>
      </c>
      <c r="C1954" s="81" t="s">
        <v>57</v>
      </c>
      <c r="D1954" s="74" t="s">
        <v>51</v>
      </c>
      <c r="E1954" s="78">
        <v>3.6423000000000001</v>
      </c>
      <c r="F1954" s="64">
        <f>TRUNC(22.72,2)</f>
        <v>22.72</v>
      </c>
      <c r="G1954" s="64">
        <f t="shared" si="118"/>
        <v>82.75</v>
      </c>
      <c r="H1954" s="64"/>
      <c r="I1954" s="78"/>
    </row>
    <row r="1955" spans="1:9" ht="15">
      <c r="A1955" s="74"/>
      <c r="B1955" s="80" t="s">
        <v>58</v>
      </c>
      <c r="C1955" s="81" t="s">
        <v>59</v>
      </c>
      <c r="D1955" s="74" t="s">
        <v>51</v>
      </c>
      <c r="E1955" s="78">
        <v>4.6356000000000002</v>
      </c>
      <c r="F1955" s="64">
        <f>TRUNC(29.57,2)</f>
        <v>29.57</v>
      </c>
      <c r="G1955" s="64">
        <f t="shared" si="118"/>
        <v>137.07</v>
      </c>
      <c r="H1955" s="64"/>
      <c r="I1955" s="78"/>
    </row>
    <row r="1956" spans="1:9" ht="30">
      <c r="A1956" s="74"/>
      <c r="B1956" s="80" t="s">
        <v>1423</v>
      </c>
      <c r="C1956" s="81" t="s">
        <v>1424</v>
      </c>
      <c r="D1956" s="74" t="s">
        <v>17</v>
      </c>
      <c r="E1956" s="78">
        <v>0.7</v>
      </c>
      <c r="F1956" s="64">
        <f>TRUNC(6.74,2)</f>
        <v>6.74</v>
      </c>
      <c r="G1956" s="64">
        <f t="shared" si="118"/>
        <v>4.71</v>
      </c>
      <c r="H1956" s="64"/>
      <c r="I1956" s="78"/>
    </row>
    <row r="1957" spans="1:9" ht="45">
      <c r="A1957" s="74"/>
      <c r="B1957" s="80" t="s">
        <v>1425</v>
      </c>
      <c r="C1957" s="81" t="s">
        <v>1426</v>
      </c>
      <c r="D1957" s="74" t="s">
        <v>55</v>
      </c>
      <c r="E1957" s="78">
        <v>9.2799999999999994E-2</v>
      </c>
      <c r="F1957" s="64">
        <f>TRUNC(609.72,2)</f>
        <v>609.72</v>
      </c>
      <c r="G1957" s="64">
        <f t="shared" si="118"/>
        <v>56.58</v>
      </c>
      <c r="H1957" s="64"/>
      <c r="I1957" s="78"/>
    </row>
    <row r="1958" spans="1:9" ht="30">
      <c r="A1958" s="74"/>
      <c r="B1958" s="80" t="s">
        <v>1427</v>
      </c>
      <c r="C1958" s="81" t="s">
        <v>1428</v>
      </c>
      <c r="D1958" s="74" t="s">
        <v>55</v>
      </c>
      <c r="E1958" s="78">
        <v>1.6799999999999999E-2</v>
      </c>
      <c r="F1958" s="64">
        <f>TRUNC(3049.29,2)</f>
        <v>3049.29</v>
      </c>
      <c r="G1958" s="64">
        <f t="shared" si="118"/>
        <v>51.22</v>
      </c>
      <c r="H1958" s="64"/>
      <c r="I1958" s="78"/>
    </row>
    <row r="1959" spans="1:9" ht="30">
      <c r="A1959" s="74"/>
      <c r="B1959" s="80" t="s">
        <v>1429</v>
      </c>
      <c r="C1959" s="81" t="s">
        <v>1430</v>
      </c>
      <c r="D1959" s="74" t="s">
        <v>55</v>
      </c>
      <c r="E1959" s="78">
        <v>1.12E-2</v>
      </c>
      <c r="F1959" s="64">
        <f>TRUNC(3523.13,2)</f>
        <v>3523.13</v>
      </c>
      <c r="G1959" s="64">
        <f t="shared" si="118"/>
        <v>39.450000000000003</v>
      </c>
      <c r="H1959" s="64"/>
      <c r="I1959" s="78"/>
    </row>
    <row r="1960" spans="1:9" ht="45">
      <c r="A1960" s="74"/>
      <c r="B1960" s="80" t="s">
        <v>1431</v>
      </c>
      <c r="C1960" s="81" t="s">
        <v>1432</v>
      </c>
      <c r="D1960" s="74" t="s">
        <v>55</v>
      </c>
      <c r="E1960" s="78">
        <v>5.0200000000000002E-2</v>
      </c>
      <c r="F1960" s="64">
        <f>TRUNC(392.66,2)</f>
        <v>392.66</v>
      </c>
      <c r="G1960" s="64">
        <f t="shared" si="118"/>
        <v>19.71</v>
      </c>
      <c r="H1960" s="64"/>
      <c r="I1960" s="78"/>
    </row>
    <row r="1961" spans="1:9" ht="45">
      <c r="A1961" s="74"/>
      <c r="B1961" s="80" t="s">
        <v>1433</v>
      </c>
      <c r="C1961" s="81" t="s">
        <v>1434</v>
      </c>
      <c r="D1961" s="74" t="s">
        <v>55</v>
      </c>
      <c r="E1961" s="78">
        <v>1.95E-2</v>
      </c>
      <c r="F1961" s="64">
        <f>TRUNC(419.3,2)</f>
        <v>419.3</v>
      </c>
      <c r="G1961" s="64">
        <f t="shared" si="118"/>
        <v>8.17</v>
      </c>
      <c r="H1961" s="64"/>
      <c r="I1961" s="78"/>
    </row>
    <row r="1962" spans="1:9" ht="15">
      <c r="A1962" s="74"/>
      <c r="B1962" s="80"/>
      <c r="C1962" s="81"/>
      <c r="D1962" s="74"/>
      <c r="E1962" s="78" t="s">
        <v>33</v>
      </c>
      <c r="F1962" s="64"/>
      <c r="G1962" s="64">
        <f>TRUNC(SUM(G1948:G1961),2)</f>
        <v>475.05</v>
      </c>
      <c r="H1962" s="64"/>
      <c r="I1962" s="78"/>
    </row>
    <row r="1963" spans="1:9" ht="45">
      <c r="A1963" s="68" t="s">
        <v>1467</v>
      </c>
      <c r="B1963" s="98" t="s">
        <v>1953</v>
      </c>
      <c r="C1963" s="23" t="s">
        <v>1955</v>
      </c>
      <c r="D1963" s="68" t="s">
        <v>7</v>
      </c>
      <c r="E1963" s="24">
        <v>5</v>
      </c>
      <c r="F1963" s="24">
        <f>TRUNC(F1964,2)</f>
        <v>617.16999999999996</v>
      </c>
      <c r="G1963" s="24">
        <f>TRUNC(F1963*1.2882,2)</f>
        <v>795.03</v>
      </c>
      <c r="H1963" s="24">
        <f>TRUNC(F1963*E1963,2)</f>
        <v>3085.85</v>
      </c>
      <c r="I1963" s="24">
        <f>TRUNC(E1963*G1963,2)</f>
        <v>3975.15</v>
      </c>
    </row>
    <row r="1964" spans="1:9" ht="45">
      <c r="A1964" s="74"/>
      <c r="B1964" s="80" t="s">
        <v>1953</v>
      </c>
      <c r="C1964" s="81" t="s">
        <v>1954</v>
      </c>
      <c r="D1964" s="74" t="s">
        <v>7</v>
      </c>
      <c r="E1964" s="78">
        <v>1</v>
      </c>
      <c r="F1964" s="64">
        <f>G1980</f>
        <v>617.16999999999996</v>
      </c>
      <c r="G1964" s="64">
        <f t="shared" ref="G1964:G1979" si="119">TRUNC(E1964*F1964,2)</f>
        <v>617.16999999999996</v>
      </c>
      <c r="H1964" s="64"/>
      <c r="I1964" s="78"/>
    </row>
    <row r="1965" spans="1:9" ht="30">
      <c r="A1965" s="74"/>
      <c r="B1965" s="80" t="s">
        <v>1413</v>
      </c>
      <c r="C1965" s="81" t="s">
        <v>1414</v>
      </c>
      <c r="D1965" s="74" t="s">
        <v>23</v>
      </c>
      <c r="E1965" s="78">
        <v>0.55200000000000005</v>
      </c>
      <c r="F1965" s="64">
        <f>TRUNC(25.43,2)</f>
        <v>25.43</v>
      </c>
      <c r="G1965" s="64">
        <f t="shared" si="119"/>
        <v>14.03</v>
      </c>
      <c r="H1965" s="64"/>
      <c r="I1965" s="78"/>
    </row>
    <row r="1966" spans="1:9" ht="15">
      <c r="A1966" s="74"/>
      <c r="B1966" s="80" t="s">
        <v>1415</v>
      </c>
      <c r="C1966" s="81" t="s">
        <v>1416</v>
      </c>
      <c r="D1966" s="74" t="s">
        <v>46</v>
      </c>
      <c r="E1966" s="78">
        <v>1.5599999999999999E-2</v>
      </c>
      <c r="F1966" s="64">
        <f>TRUNC(27.17,2)</f>
        <v>27.17</v>
      </c>
      <c r="G1966" s="64">
        <f t="shared" si="119"/>
        <v>0.42</v>
      </c>
      <c r="H1966" s="64"/>
      <c r="I1966" s="78"/>
    </row>
    <row r="1967" spans="1:9" ht="15">
      <c r="A1967" s="74"/>
      <c r="B1967" s="80" t="s">
        <v>234</v>
      </c>
      <c r="C1967" s="81" t="s">
        <v>235</v>
      </c>
      <c r="D1967" s="74" t="s">
        <v>23</v>
      </c>
      <c r="E1967" s="78">
        <v>0.17599999999999999</v>
      </c>
      <c r="F1967" s="64">
        <f>TRUNC(3.02,2)</f>
        <v>3.02</v>
      </c>
      <c r="G1967" s="64">
        <f t="shared" si="119"/>
        <v>0.53</v>
      </c>
      <c r="H1967" s="64"/>
      <c r="I1967" s="78"/>
    </row>
    <row r="1968" spans="1:9" ht="15">
      <c r="A1968" s="74"/>
      <c r="B1968" s="80" t="s">
        <v>1417</v>
      </c>
      <c r="C1968" s="81" t="s">
        <v>1418</v>
      </c>
      <c r="D1968" s="74" t="s">
        <v>23</v>
      </c>
      <c r="E1968" s="78">
        <v>0.14799999999999999</v>
      </c>
      <c r="F1968" s="64">
        <f>TRUNC(8.64,2)</f>
        <v>8.64</v>
      </c>
      <c r="G1968" s="64">
        <f t="shared" si="119"/>
        <v>1.27</v>
      </c>
      <c r="H1968" s="64"/>
      <c r="I1968" s="78"/>
    </row>
    <row r="1969" spans="1:9" ht="30">
      <c r="A1969" s="74"/>
      <c r="B1969" s="80" t="s">
        <v>1419</v>
      </c>
      <c r="C1969" s="81" t="s">
        <v>1420</v>
      </c>
      <c r="D1969" s="74" t="s">
        <v>816</v>
      </c>
      <c r="E1969" s="78">
        <v>6.7999999999999996E-3</v>
      </c>
      <c r="F1969" s="64">
        <f>TRUNC(6.13,2)</f>
        <v>6.13</v>
      </c>
      <c r="G1969" s="64">
        <f t="shared" si="119"/>
        <v>0.04</v>
      </c>
      <c r="H1969" s="64"/>
      <c r="I1969" s="78"/>
    </row>
    <row r="1970" spans="1:9" ht="15">
      <c r="A1970" s="74"/>
      <c r="B1970" s="80" t="s">
        <v>1421</v>
      </c>
      <c r="C1970" s="81" t="s">
        <v>1422</v>
      </c>
      <c r="D1970" s="74" t="s">
        <v>7</v>
      </c>
      <c r="E1970" s="78">
        <v>26.494499999999999</v>
      </c>
      <c r="F1970" s="64">
        <f>TRUNC(2.52,2)</f>
        <v>2.52</v>
      </c>
      <c r="G1970" s="64">
        <f t="shared" si="119"/>
        <v>66.760000000000005</v>
      </c>
      <c r="H1970" s="64"/>
      <c r="I1970" s="78"/>
    </row>
    <row r="1971" spans="1:9" ht="15">
      <c r="A1971" s="74"/>
      <c r="B1971" s="80" t="s">
        <v>56</v>
      </c>
      <c r="C1971" s="81" t="s">
        <v>57</v>
      </c>
      <c r="D1971" s="74" t="s">
        <v>51</v>
      </c>
      <c r="E1971" s="78">
        <v>3.8237000000000001</v>
      </c>
      <c r="F1971" s="64">
        <f>TRUNC(22.72,2)</f>
        <v>22.72</v>
      </c>
      <c r="G1971" s="64">
        <f t="shared" si="119"/>
        <v>86.87</v>
      </c>
      <c r="H1971" s="64"/>
      <c r="I1971" s="78"/>
    </row>
    <row r="1972" spans="1:9" ht="15">
      <c r="A1972" s="74"/>
      <c r="B1972" s="80" t="s">
        <v>58</v>
      </c>
      <c r="C1972" s="81" t="s">
        <v>59</v>
      </c>
      <c r="D1972" s="74" t="s">
        <v>51</v>
      </c>
      <c r="E1972" s="78">
        <v>4.8665000000000003</v>
      </c>
      <c r="F1972" s="64">
        <f>TRUNC(29.57,2)</f>
        <v>29.57</v>
      </c>
      <c r="G1972" s="64">
        <f t="shared" si="119"/>
        <v>143.9</v>
      </c>
      <c r="H1972" s="64"/>
      <c r="I1972" s="78"/>
    </row>
    <row r="1973" spans="1:9" ht="30">
      <c r="A1973" s="74"/>
      <c r="B1973" s="80" t="s">
        <v>1423</v>
      </c>
      <c r="C1973" s="81" t="s">
        <v>1424</v>
      </c>
      <c r="D1973" s="74" t="s">
        <v>17</v>
      </c>
      <c r="E1973" s="78">
        <v>1.21</v>
      </c>
      <c r="F1973" s="64">
        <f>TRUNC(6.74,2)</f>
        <v>6.74</v>
      </c>
      <c r="G1973" s="64">
        <f t="shared" si="119"/>
        <v>8.15</v>
      </c>
      <c r="H1973" s="64"/>
      <c r="I1973" s="78"/>
    </row>
    <row r="1974" spans="1:9" ht="45">
      <c r="A1974" s="74"/>
      <c r="B1974" s="80" t="s">
        <v>1425</v>
      </c>
      <c r="C1974" s="81" t="s">
        <v>1426</v>
      </c>
      <c r="D1974" s="74" t="s">
        <v>55</v>
      </c>
      <c r="E1974" s="78">
        <v>0.10390000000000001</v>
      </c>
      <c r="F1974" s="64">
        <f>TRUNC(609.72,2)</f>
        <v>609.72</v>
      </c>
      <c r="G1974" s="64">
        <f t="shared" si="119"/>
        <v>63.34</v>
      </c>
      <c r="H1974" s="64"/>
      <c r="I1974" s="78"/>
    </row>
    <row r="1975" spans="1:9" ht="30">
      <c r="A1975" s="74"/>
      <c r="B1975" s="80" t="s">
        <v>1437</v>
      </c>
      <c r="C1975" s="81" t="s">
        <v>1438</v>
      </c>
      <c r="D1975" s="74" t="s">
        <v>55</v>
      </c>
      <c r="E1975" s="78">
        <v>7.0000000000000007E-2</v>
      </c>
      <c r="F1975" s="64">
        <f>TRUNC(2489.03,2)</f>
        <v>2489.0300000000002</v>
      </c>
      <c r="G1975" s="64">
        <f t="shared" si="119"/>
        <v>174.23</v>
      </c>
      <c r="H1975" s="64"/>
      <c r="I1975" s="78"/>
    </row>
    <row r="1976" spans="1:9" ht="45">
      <c r="A1976" s="74"/>
      <c r="B1976" s="80" t="s">
        <v>1431</v>
      </c>
      <c r="C1976" s="81" t="s">
        <v>1432</v>
      </c>
      <c r="D1976" s="74" t="s">
        <v>55</v>
      </c>
      <c r="E1976" s="78">
        <v>0.1163</v>
      </c>
      <c r="F1976" s="64">
        <f>TRUNC(392.66,2)</f>
        <v>392.66</v>
      </c>
      <c r="G1976" s="64">
        <f t="shared" si="119"/>
        <v>45.66</v>
      </c>
      <c r="H1976" s="64"/>
      <c r="I1976" s="78"/>
    </row>
    <row r="1977" spans="1:9" ht="45">
      <c r="A1977" s="74"/>
      <c r="B1977" s="80" t="s">
        <v>1433</v>
      </c>
      <c r="C1977" s="81" t="s">
        <v>1434</v>
      </c>
      <c r="D1977" s="74" t="s">
        <v>55</v>
      </c>
      <c r="E1977" s="78">
        <v>1.9599999999999999E-2</v>
      </c>
      <c r="F1977" s="64">
        <f>TRUNC(419.3,2)</f>
        <v>419.3</v>
      </c>
      <c r="G1977" s="64">
        <f t="shared" si="119"/>
        <v>8.2100000000000009</v>
      </c>
      <c r="H1977" s="64"/>
      <c r="I1977" s="78"/>
    </row>
    <row r="1978" spans="1:9" ht="60">
      <c r="A1978" s="74"/>
      <c r="B1978" s="80" t="s">
        <v>1441</v>
      </c>
      <c r="C1978" s="81" t="s">
        <v>1442</v>
      </c>
      <c r="D1978" s="74" t="s">
        <v>94</v>
      </c>
      <c r="E1978" s="78">
        <v>2.76E-2</v>
      </c>
      <c r="F1978" s="64">
        <f>TRUNC(60.54,2)</f>
        <v>60.54</v>
      </c>
      <c r="G1978" s="64">
        <f t="shared" si="119"/>
        <v>1.67</v>
      </c>
      <c r="H1978" s="64"/>
      <c r="I1978" s="78"/>
    </row>
    <row r="1979" spans="1:9" ht="60">
      <c r="A1979" s="74"/>
      <c r="B1979" s="80" t="s">
        <v>1443</v>
      </c>
      <c r="C1979" s="81" t="s">
        <v>1444</v>
      </c>
      <c r="D1979" s="74" t="s">
        <v>97</v>
      </c>
      <c r="E1979" s="78">
        <v>1.3599999999999999E-2</v>
      </c>
      <c r="F1979" s="64">
        <f>TRUNC(154.12,2)</f>
        <v>154.12</v>
      </c>
      <c r="G1979" s="64">
        <f t="shared" si="119"/>
        <v>2.09</v>
      </c>
      <c r="H1979" s="64"/>
      <c r="I1979" s="78"/>
    </row>
    <row r="1980" spans="1:9" ht="15">
      <c r="A1980" s="74"/>
      <c r="B1980" s="80"/>
      <c r="C1980" s="81"/>
      <c r="D1980" s="74"/>
      <c r="E1980" s="78" t="s">
        <v>33</v>
      </c>
      <c r="F1980" s="64"/>
      <c r="G1980" s="64">
        <f>TRUNC(SUM(G1965:G1979),2)</f>
        <v>617.16999999999996</v>
      </c>
      <c r="H1980" s="64"/>
      <c r="I1980" s="78"/>
    </row>
    <row r="1981" spans="1:9" ht="45">
      <c r="A1981" s="68" t="s">
        <v>1807</v>
      </c>
      <c r="B1981" s="98" t="s">
        <v>1435</v>
      </c>
      <c r="C1981" s="23" t="s">
        <v>1436</v>
      </c>
      <c r="D1981" s="68" t="s">
        <v>7</v>
      </c>
      <c r="E1981" s="24">
        <v>2</v>
      </c>
      <c r="F1981" s="24">
        <f>TRUNC(F1982,2)</f>
        <v>423.87</v>
      </c>
      <c r="G1981" s="24">
        <f>TRUNC(F1981*1.2882,2)</f>
        <v>546.02</v>
      </c>
      <c r="H1981" s="24">
        <f>TRUNC(F1981*E1981,2)</f>
        <v>847.74</v>
      </c>
      <c r="I1981" s="24">
        <f>TRUNC(E1981*G1981,2)</f>
        <v>1092.04</v>
      </c>
    </row>
    <row r="1982" spans="1:9" ht="45">
      <c r="A1982" s="74"/>
      <c r="B1982" s="80" t="s">
        <v>1435</v>
      </c>
      <c r="C1982" s="81" t="s">
        <v>1436</v>
      </c>
      <c r="D1982" s="74" t="s">
        <v>7</v>
      </c>
      <c r="E1982" s="78">
        <v>1</v>
      </c>
      <c r="F1982" s="64">
        <f>G1998</f>
        <v>423.87</v>
      </c>
      <c r="G1982" s="64">
        <f t="shared" ref="G1982:G1997" si="120">TRUNC(E1982*F1982,2)</f>
        <v>423.87</v>
      </c>
      <c r="H1982" s="64"/>
      <c r="I1982" s="78"/>
    </row>
    <row r="1983" spans="1:9" ht="30">
      <c r="A1983" s="74"/>
      <c r="B1983" s="80" t="s">
        <v>1413</v>
      </c>
      <c r="C1983" s="81" t="s">
        <v>1414</v>
      </c>
      <c r="D1983" s="74" t="s">
        <v>23</v>
      </c>
      <c r="E1983" s="78">
        <v>0.44159999999999999</v>
      </c>
      <c r="F1983" s="64">
        <f>TRUNC(25.43,2)</f>
        <v>25.43</v>
      </c>
      <c r="G1983" s="64">
        <f t="shared" si="120"/>
        <v>11.22</v>
      </c>
      <c r="H1983" s="64"/>
      <c r="I1983" s="78"/>
    </row>
    <row r="1984" spans="1:9" ht="15">
      <c r="A1984" s="74"/>
      <c r="B1984" s="80" t="s">
        <v>1415</v>
      </c>
      <c r="C1984" s="81" t="s">
        <v>1416</v>
      </c>
      <c r="D1984" s="74" t="s">
        <v>46</v>
      </c>
      <c r="E1984" s="78">
        <v>1.2500000000000001E-2</v>
      </c>
      <c r="F1984" s="64">
        <f>TRUNC(27.17,2)</f>
        <v>27.17</v>
      </c>
      <c r="G1984" s="64">
        <f t="shared" si="120"/>
        <v>0.33</v>
      </c>
      <c r="H1984" s="64"/>
      <c r="I1984" s="78"/>
    </row>
    <row r="1985" spans="1:9" ht="15">
      <c r="A1985" s="74"/>
      <c r="B1985" s="80" t="s">
        <v>234</v>
      </c>
      <c r="C1985" s="81" t="s">
        <v>235</v>
      </c>
      <c r="D1985" s="74" t="s">
        <v>23</v>
      </c>
      <c r="E1985" s="78">
        <v>0.14080000000000001</v>
      </c>
      <c r="F1985" s="64">
        <f>TRUNC(3.02,2)</f>
        <v>3.02</v>
      </c>
      <c r="G1985" s="64">
        <f t="shared" si="120"/>
        <v>0.42</v>
      </c>
      <c r="H1985" s="64"/>
      <c r="I1985" s="78"/>
    </row>
    <row r="1986" spans="1:9" ht="15">
      <c r="A1986" s="74"/>
      <c r="B1986" s="80" t="s">
        <v>1417</v>
      </c>
      <c r="C1986" s="81" t="s">
        <v>1418</v>
      </c>
      <c r="D1986" s="74" t="s">
        <v>23</v>
      </c>
      <c r="E1986" s="78">
        <v>0.11840000000000001</v>
      </c>
      <c r="F1986" s="64">
        <f>TRUNC(8.64,2)</f>
        <v>8.64</v>
      </c>
      <c r="G1986" s="64">
        <f t="shared" si="120"/>
        <v>1.02</v>
      </c>
      <c r="H1986" s="64"/>
      <c r="I1986" s="78"/>
    </row>
    <row r="1987" spans="1:9" ht="30">
      <c r="A1987" s="74"/>
      <c r="B1987" s="80" t="s">
        <v>1419</v>
      </c>
      <c r="C1987" s="81" t="s">
        <v>1420</v>
      </c>
      <c r="D1987" s="74" t="s">
        <v>816</v>
      </c>
      <c r="E1987" s="78">
        <v>5.4000000000000003E-3</v>
      </c>
      <c r="F1987" s="64">
        <f>TRUNC(6.13,2)</f>
        <v>6.13</v>
      </c>
      <c r="G1987" s="64">
        <f t="shared" si="120"/>
        <v>0.03</v>
      </c>
      <c r="H1987" s="64"/>
      <c r="I1987" s="78"/>
    </row>
    <row r="1988" spans="1:9" ht="15">
      <c r="A1988" s="74"/>
      <c r="B1988" s="80" t="s">
        <v>1421</v>
      </c>
      <c r="C1988" s="81" t="s">
        <v>1422</v>
      </c>
      <c r="D1988" s="74" t="s">
        <v>7</v>
      </c>
      <c r="E1988" s="78">
        <v>20.761500000000002</v>
      </c>
      <c r="F1988" s="64">
        <f>TRUNC(2.52,2)</f>
        <v>2.52</v>
      </c>
      <c r="G1988" s="64">
        <f t="shared" si="120"/>
        <v>52.31</v>
      </c>
      <c r="H1988" s="64"/>
      <c r="I1988" s="78"/>
    </row>
    <row r="1989" spans="1:9" ht="15">
      <c r="A1989" s="74"/>
      <c r="B1989" s="80" t="s">
        <v>56</v>
      </c>
      <c r="C1989" s="81" t="s">
        <v>57</v>
      </c>
      <c r="D1989" s="74" t="s">
        <v>51</v>
      </c>
      <c r="E1989" s="78">
        <v>2.8037999999999998</v>
      </c>
      <c r="F1989" s="64">
        <f>TRUNC(22.72,2)</f>
        <v>22.72</v>
      </c>
      <c r="G1989" s="64">
        <f t="shared" si="120"/>
        <v>63.7</v>
      </c>
      <c r="H1989" s="64"/>
      <c r="I1989" s="78"/>
    </row>
    <row r="1990" spans="1:9" ht="15">
      <c r="A1990" s="74"/>
      <c r="B1990" s="80" t="s">
        <v>58</v>
      </c>
      <c r="C1990" s="81" t="s">
        <v>59</v>
      </c>
      <c r="D1990" s="74" t="s">
        <v>51</v>
      </c>
      <c r="E1990" s="78">
        <v>3.5684</v>
      </c>
      <c r="F1990" s="64">
        <f>TRUNC(29.57,2)</f>
        <v>29.57</v>
      </c>
      <c r="G1990" s="64">
        <f t="shared" si="120"/>
        <v>105.51</v>
      </c>
      <c r="H1990" s="64"/>
      <c r="I1990" s="78"/>
    </row>
    <row r="1991" spans="1:9" ht="30">
      <c r="A1991" s="74"/>
      <c r="B1991" s="80" t="s">
        <v>1423</v>
      </c>
      <c r="C1991" s="81" t="s">
        <v>1424</v>
      </c>
      <c r="D1991" s="74" t="s">
        <v>17</v>
      </c>
      <c r="E1991" s="78">
        <v>0.81</v>
      </c>
      <c r="F1991" s="64">
        <f>TRUNC(6.74,2)</f>
        <v>6.74</v>
      </c>
      <c r="G1991" s="64">
        <f t="shared" si="120"/>
        <v>5.45</v>
      </c>
      <c r="H1991" s="64"/>
      <c r="I1991" s="78"/>
    </row>
    <row r="1992" spans="1:9" ht="30">
      <c r="A1992" s="74"/>
      <c r="B1992" s="80" t="s">
        <v>1437</v>
      </c>
      <c r="C1992" s="81" t="s">
        <v>1438</v>
      </c>
      <c r="D1992" s="74" t="s">
        <v>55</v>
      </c>
      <c r="E1992" s="78">
        <v>4.48E-2</v>
      </c>
      <c r="F1992" s="64">
        <f>TRUNC(2489.03,2)</f>
        <v>2489.0300000000002</v>
      </c>
      <c r="G1992" s="64">
        <f t="shared" si="120"/>
        <v>111.5</v>
      </c>
      <c r="H1992" s="64"/>
      <c r="I1992" s="78"/>
    </row>
    <row r="1993" spans="1:9" ht="45">
      <c r="A1993" s="74"/>
      <c r="B1993" s="80" t="s">
        <v>1431</v>
      </c>
      <c r="C1993" s="81" t="s">
        <v>1432</v>
      </c>
      <c r="D1993" s="74" t="s">
        <v>55</v>
      </c>
      <c r="E1993" s="78">
        <v>7.4399999999999994E-2</v>
      </c>
      <c r="F1993" s="64">
        <f>TRUNC(392.66,2)</f>
        <v>392.66</v>
      </c>
      <c r="G1993" s="64">
        <f t="shared" si="120"/>
        <v>29.21</v>
      </c>
      <c r="H1993" s="64"/>
      <c r="I1993" s="78"/>
    </row>
    <row r="1994" spans="1:9" ht="30">
      <c r="A1994" s="74"/>
      <c r="B1994" s="80" t="s">
        <v>1439</v>
      </c>
      <c r="C1994" s="81" t="s">
        <v>1440</v>
      </c>
      <c r="D1994" s="74" t="s">
        <v>55</v>
      </c>
      <c r="E1994" s="78">
        <v>7.2800000000000004E-2</v>
      </c>
      <c r="F1994" s="64">
        <f>TRUNC(474.81,2)</f>
        <v>474.81</v>
      </c>
      <c r="G1994" s="64">
        <f t="shared" si="120"/>
        <v>34.56</v>
      </c>
      <c r="H1994" s="64"/>
      <c r="I1994" s="78"/>
    </row>
    <row r="1995" spans="1:9" ht="45">
      <c r="A1995" s="74"/>
      <c r="B1995" s="80" t="s">
        <v>1433</v>
      </c>
      <c r="C1995" s="81" t="s">
        <v>1434</v>
      </c>
      <c r="D1995" s="74" t="s">
        <v>55</v>
      </c>
      <c r="E1995" s="78">
        <v>1.4800000000000001E-2</v>
      </c>
      <c r="F1995" s="64">
        <f>TRUNC(419.3,2)</f>
        <v>419.3</v>
      </c>
      <c r="G1995" s="64">
        <f t="shared" si="120"/>
        <v>6.2</v>
      </c>
      <c r="H1995" s="64"/>
      <c r="I1995" s="78"/>
    </row>
    <row r="1996" spans="1:9" ht="60">
      <c r="A1996" s="74"/>
      <c r="B1996" s="80" t="s">
        <v>1441</v>
      </c>
      <c r="C1996" s="81" t="s">
        <v>1442</v>
      </c>
      <c r="D1996" s="74" t="s">
        <v>94</v>
      </c>
      <c r="E1996" s="78">
        <v>1.78E-2</v>
      </c>
      <c r="F1996" s="64">
        <f>TRUNC(60.54,2)</f>
        <v>60.54</v>
      </c>
      <c r="G1996" s="64">
        <f t="shared" si="120"/>
        <v>1.07</v>
      </c>
      <c r="H1996" s="64"/>
      <c r="I1996" s="78"/>
    </row>
    <row r="1997" spans="1:9" ht="60">
      <c r="A1997" s="74"/>
      <c r="B1997" s="80" t="s">
        <v>1443</v>
      </c>
      <c r="C1997" s="81" t="s">
        <v>1444</v>
      </c>
      <c r="D1997" s="74" t="s">
        <v>97</v>
      </c>
      <c r="E1997" s="78">
        <v>8.6999999999999994E-3</v>
      </c>
      <c r="F1997" s="64">
        <f>TRUNC(154.12,2)</f>
        <v>154.12</v>
      </c>
      <c r="G1997" s="64">
        <f t="shared" si="120"/>
        <v>1.34</v>
      </c>
      <c r="H1997" s="64"/>
      <c r="I1997" s="78"/>
    </row>
    <row r="1998" spans="1:9" ht="15">
      <c r="A1998" s="74"/>
      <c r="B1998" s="80"/>
      <c r="C1998" s="81"/>
      <c r="D1998" s="74"/>
      <c r="E1998" s="78" t="s">
        <v>33</v>
      </c>
      <c r="F1998" s="64"/>
      <c r="G1998" s="64">
        <f>TRUNC(SUM(G1983:G1997),2)</f>
        <v>423.87</v>
      </c>
      <c r="H1998" s="64"/>
      <c r="I1998" s="78"/>
    </row>
    <row r="1999" spans="1:9" ht="45">
      <c r="A1999" s="68" t="s">
        <v>1992</v>
      </c>
      <c r="B1999" s="98" t="s">
        <v>1445</v>
      </c>
      <c r="C1999" s="23" t="s">
        <v>1446</v>
      </c>
      <c r="D1999" s="68" t="s">
        <v>7</v>
      </c>
      <c r="E1999" s="24">
        <v>1</v>
      </c>
      <c r="F1999" s="24">
        <f>TRUNC(F2000,2)</f>
        <v>10001.629999999999</v>
      </c>
      <c r="G1999" s="24">
        <f>TRUNC(F1999*1.2882,2)</f>
        <v>12884.09</v>
      </c>
      <c r="H1999" s="24">
        <f>TRUNC(F1999*E1999,2)</f>
        <v>10001.629999999999</v>
      </c>
      <c r="I1999" s="24">
        <f>TRUNC(E1999*G1999,2)</f>
        <v>12884.09</v>
      </c>
    </row>
    <row r="2000" spans="1:9" ht="45">
      <c r="A2000" s="74"/>
      <c r="B2000" s="80" t="s">
        <v>1445</v>
      </c>
      <c r="C2000" s="81" t="s">
        <v>1641</v>
      </c>
      <c r="D2000" s="74" t="s">
        <v>7</v>
      </c>
      <c r="E2000" s="78">
        <v>1</v>
      </c>
      <c r="F2000" s="64">
        <f>G2022</f>
        <v>10001.629999999999</v>
      </c>
      <c r="G2000" s="64">
        <f t="shared" ref="G2000:G2021" si="121">TRUNC(E2000*F2000,2)</f>
        <v>10001.629999999999</v>
      </c>
      <c r="H2000" s="64"/>
      <c r="I2000" s="78"/>
    </row>
    <row r="2001" spans="1:9" ht="30">
      <c r="A2001" s="74"/>
      <c r="B2001" s="80" t="s">
        <v>1419</v>
      </c>
      <c r="C2001" s="81" t="s">
        <v>1420</v>
      </c>
      <c r="D2001" s="74" t="s">
        <v>816</v>
      </c>
      <c r="E2001" s="78">
        <v>3.6700000000000003E-2</v>
      </c>
      <c r="F2001" s="64">
        <f>TRUNC(6.13,2)</f>
        <v>6.13</v>
      </c>
      <c r="G2001" s="64">
        <f t="shared" si="121"/>
        <v>0.22</v>
      </c>
      <c r="H2001" s="64"/>
      <c r="I2001" s="78"/>
    </row>
    <row r="2002" spans="1:9" ht="15">
      <c r="A2002" s="74"/>
      <c r="B2002" s="80" t="s">
        <v>1417</v>
      </c>
      <c r="C2002" s="81" t="s">
        <v>1418</v>
      </c>
      <c r="D2002" s="74" t="s">
        <v>23</v>
      </c>
      <c r="E2002" s="78">
        <v>0.79920000000000002</v>
      </c>
      <c r="F2002" s="64">
        <f>TRUNC(8.64,2)</f>
        <v>8.64</v>
      </c>
      <c r="G2002" s="64">
        <f t="shared" si="121"/>
        <v>6.9</v>
      </c>
      <c r="H2002" s="64"/>
      <c r="I2002" s="78"/>
    </row>
    <row r="2003" spans="1:9" ht="15">
      <c r="A2003" s="74"/>
      <c r="B2003" s="80" t="s">
        <v>234</v>
      </c>
      <c r="C2003" s="81" t="s">
        <v>235</v>
      </c>
      <c r="D2003" s="74" t="s">
        <v>23</v>
      </c>
      <c r="E2003" s="78">
        <v>0.95040000000000002</v>
      </c>
      <c r="F2003" s="64">
        <f>TRUNC(3.02,2)</f>
        <v>3.02</v>
      </c>
      <c r="G2003" s="64">
        <f t="shared" si="121"/>
        <v>2.87</v>
      </c>
      <c r="H2003" s="64"/>
      <c r="I2003" s="78"/>
    </row>
    <row r="2004" spans="1:9" ht="15">
      <c r="A2004" s="74"/>
      <c r="B2004" s="80" t="s">
        <v>1415</v>
      </c>
      <c r="C2004" s="81" t="s">
        <v>1416</v>
      </c>
      <c r="D2004" s="74" t="s">
        <v>46</v>
      </c>
      <c r="E2004" s="78">
        <v>8.4199999999999997E-2</v>
      </c>
      <c r="F2004" s="64">
        <f>TRUNC(27.17,2)</f>
        <v>27.17</v>
      </c>
      <c r="G2004" s="64">
        <f t="shared" si="121"/>
        <v>2.2799999999999998</v>
      </c>
      <c r="H2004" s="64"/>
      <c r="I2004" s="78"/>
    </row>
    <row r="2005" spans="1:9" ht="30">
      <c r="A2005" s="74"/>
      <c r="B2005" s="80" t="s">
        <v>1413</v>
      </c>
      <c r="C2005" s="81" t="s">
        <v>1414</v>
      </c>
      <c r="D2005" s="74" t="s">
        <v>23</v>
      </c>
      <c r="E2005" s="78">
        <v>2.9807999999999999</v>
      </c>
      <c r="F2005" s="64">
        <f>TRUNC(25.43,2)</f>
        <v>25.43</v>
      </c>
      <c r="G2005" s="64">
        <f t="shared" si="121"/>
        <v>75.8</v>
      </c>
      <c r="H2005" s="64"/>
      <c r="I2005" s="78"/>
    </row>
    <row r="2006" spans="1:9" ht="15">
      <c r="A2006" s="74"/>
      <c r="B2006" s="80" t="s">
        <v>1447</v>
      </c>
      <c r="C2006" s="81" t="s">
        <v>1448</v>
      </c>
      <c r="D2006" s="74" t="s">
        <v>7</v>
      </c>
      <c r="E2006" s="78">
        <v>321.09379999999999</v>
      </c>
      <c r="F2006" s="64">
        <f>TRUNC(4.5,2)</f>
        <v>4.5</v>
      </c>
      <c r="G2006" s="64">
        <f t="shared" si="121"/>
        <v>1444.92</v>
      </c>
      <c r="H2006" s="64"/>
      <c r="I2006" s="78"/>
    </row>
    <row r="2007" spans="1:9" ht="15">
      <c r="A2007" s="74"/>
      <c r="B2007" s="80" t="s">
        <v>1449</v>
      </c>
      <c r="C2007" s="81" t="s">
        <v>1450</v>
      </c>
      <c r="D2007" s="74" t="s">
        <v>7</v>
      </c>
      <c r="E2007" s="78">
        <v>71.400000000000006</v>
      </c>
      <c r="F2007" s="64">
        <f>TRUNC(2.79,2)</f>
        <v>2.79</v>
      </c>
      <c r="G2007" s="64">
        <f t="shared" si="121"/>
        <v>199.2</v>
      </c>
      <c r="H2007" s="64"/>
      <c r="I2007" s="78"/>
    </row>
    <row r="2008" spans="1:9" ht="15">
      <c r="A2008" s="74"/>
      <c r="B2008" s="80" t="s">
        <v>56</v>
      </c>
      <c r="C2008" s="81" t="s">
        <v>57</v>
      </c>
      <c r="D2008" s="74" t="s">
        <v>51</v>
      </c>
      <c r="E2008" s="78">
        <v>51.563400000000001</v>
      </c>
      <c r="F2008" s="64">
        <f>TRUNC(22.72,2)</f>
        <v>22.72</v>
      </c>
      <c r="G2008" s="64">
        <f t="shared" si="121"/>
        <v>1171.52</v>
      </c>
      <c r="H2008" s="64"/>
      <c r="I2008" s="78"/>
    </row>
    <row r="2009" spans="1:9" ht="15">
      <c r="A2009" s="74"/>
      <c r="B2009" s="80" t="s">
        <v>58</v>
      </c>
      <c r="C2009" s="81" t="s">
        <v>59</v>
      </c>
      <c r="D2009" s="74" t="s">
        <v>51</v>
      </c>
      <c r="E2009" s="78">
        <v>65.626099999999994</v>
      </c>
      <c r="F2009" s="64">
        <f>TRUNC(29.57,2)</f>
        <v>29.57</v>
      </c>
      <c r="G2009" s="64">
        <f t="shared" si="121"/>
        <v>1940.56</v>
      </c>
      <c r="H2009" s="64"/>
      <c r="I2009" s="78"/>
    </row>
    <row r="2010" spans="1:9" ht="45">
      <c r="A2010" s="74"/>
      <c r="B2010" s="80" t="s">
        <v>1451</v>
      </c>
      <c r="C2010" s="81" t="s">
        <v>1452</v>
      </c>
      <c r="D2010" s="74" t="s">
        <v>55</v>
      </c>
      <c r="E2010" s="78">
        <v>0.96899999999999997</v>
      </c>
      <c r="F2010" s="64">
        <f>TRUNC(176.05,2)</f>
        <v>176.05</v>
      </c>
      <c r="G2010" s="64">
        <f t="shared" si="121"/>
        <v>170.59</v>
      </c>
      <c r="H2010" s="64"/>
      <c r="I2010" s="78"/>
    </row>
    <row r="2011" spans="1:9" ht="30">
      <c r="A2011" s="74"/>
      <c r="B2011" s="80" t="s">
        <v>1439</v>
      </c>
      <c r="C2011" s="81" t="s">
        <v>1440</v>
      </c>
      <c r="D2011" s="74" t="s">
        <v>55</v>
      </c>
      <c r="E2011" s="78">
        <v>1.4568000000000001</v>
      </c>
      <c r="F2011" s="64">
        <f>TRUNC(474.81,2)</f>
        <v>474.81</v>
      </c>
      <c r="G2011" s="64">
        <f t="shared" si="121"/>
        <v>691.7</v>
      </c>
      <c r="H2011" s="64"/>
      <c r="I2011" s="78"/>
    </row>
    <row r="2012" spans="1:9" ht="30">
      <c r="A2012" s="74"/>
      <c r="B2012" s="80" t="s">
        <v>1453</v>
      </c>
      <c r="C2012" s="81" t="s">
        <v>1454</v>
      </c>
      <c r="D2012" s="74" t="s">
        <v>55</v>
      </c>
      <c r="E2012" s="78">
        <v>0.14949999999999999</v>
      </c>
      <c r="F2012" s="64">
        <f>TRUNC(949.25,2)</f>
        <v>949.25</v>
      </c>
      <c r="G2012" s="64">
        <f t="shared" si="121"/>
        <v>141.91</v>
      </c>
      <c r="H2012" s="64"/>
      <c r="I2012" s="78"/>
    </row>
    <row r="2013" spans="1:9" ht="60">
      <c r="A2013" s="74"/>
      <c r="B2013" s="80" t="s">
        <v>1441</v>
      </c>
      <c r="C2013" s="81" t="s">
        <v>1442</v>
      </c>
      <c r="D2013" s="74" t="s">
        <v>94</v>
      </c>
      <c r="E2013" s="78">
        <v>0.41639999999999999</v>
      </c>
      <c r="F2013" s="64">
        <f>TRUNC(60.54,2)</f>
        <v>60.54</v>
      </c>
      <c r="G2013" s="64">
        <f t="shared" si="121"/>
        <v>25.2</v>
      </c>
      <c r="H2013" s="64"/>
      <c r="I2013" s="78"/>
    </row>
    <row r="2014" spans="1:9" ht="60">
      <c r="A2014" s="74"/>
      <c r="B2014" s="80" t="s">
        <v>1443</v>
      </c>
      <c r="C2014" s="81" t="s">
        <v>1444</v>
      </c>
      <c r="D2014" s="74" t="s">
        <v>97</v>
      </c>
      <c r="E2014" s="78">
        <v>0.20430000000000001</v>
      </c>
      <c r="F2014" s="64">
        <f>TRUNC(154.12,2)</f>
        <v>154.12</v>
      </c>
      <c r="G2014" s="64">
        <f t="shared" si="121"/>
        <v>31.48</v>
      </c>
      <c r="H2014" s="64"/>
      <c r="I2014" s="78"/>
    </row>
    <row r="2015" spans="1:9" ht="30">
      <c r="A2015" s="74"/>
      <c r="B2015" s="80" t="s">
        <v>1455</v>
      </c>
      <c r="C2015" s="81" t="s">
        <v>1456</v>
      </c>
      <c r="D2015" s="74" t="s">
        <v>55</v>
      </c>
      <c r="E2015" s="78">
        <v>0.2092</v>
      </c>
      <c r="F2015" s="64">
        <f>TRUNC(909.78,2)</f>
        <v>909.78</v>
      </c>
      <c r="G2015" s="64">
        <f t="shared" si="121"/>
        <v>190.32</v>
      </c>
      <c r="H2015" s="64"/>
      <c r="I2015" s="78"/>
    </row>
    <row r="2016" spans="1:9" ht="30">
      <c r="A2016" s="74"/>
      <c r="B2016" s="80" t="s">
        <v>1457</v>
      </c>
      <c r="C2016" s="81" t="s">
        <v>1458</v>
      </c>
      <c r="D2016" s="74" t="s">
        <v>46</v>
      </c>
      <c r="E2016" s="78">
        <v>4.9359999999999999</v>
      </c>
      <c r="F2016" s="64">
        <f>TRUNC(13,2)</f>
        <v>13</v>
      </c>
      <c r="G2016" s="64">
        <f t="shared" si="121"/>
        <v>64.16</v>
      </c>
      <c r="H2016" s="64"/>
      <c r="I2016" s="78"/>
    </row>
    <row r="2017" spans="1:9" ht="30">
      <c r="A2017" s="74"/>
      <c r="B2017" s="80" t="s">
        <v>1459</v>
      </c>
      <c r="C2017" s="81" t="s">
        <v>1460</v>
      </c>
      <c r="D2017" s="74" t="s">
        <v>46</v>
      </c>
      <c r="E2017" s="78">
        <v>8.3911999999999995</v>
      </c>
      <c r="F2017" s="64">
        <f>TRUNC(12.44,2)</f>
        <v>12.44</v>
      </c>
      <c r="G2017" s="64">
        <f t="shared" si="121"/>
        <v>104.38</v>
      </c>
      <c r="H2017" s="64"/>
      <c r="I2017" s="78"/>
    </row>
    <row r="2018" spans="1:9" ht="30">
      <c r="A2018" s="74"/>
      <c r="B2018" s="80" t="s">
        <v>1461</v>
      </c>
      <c r="C2018" s="81" t="s">
        <v>1462</v>
      </c>
      <c r="D2018" s="74" t="s">
        <v>46</v>
      </c>
      <c r="E2018" s="78">
        <v>55.154000000000003</v>
      </c>
      <c r="F2018" s="64">
        <f>TRUNC(18.14,2)</f>
        <v>18.14</v>
      </c>
      <c r="G2018" s="64">
        <f t="shared" si="121"/>
        <v>1000.49</v>
      </c>
      <c r="H2018" s="64"/>
      <c r="I2018" s="78"/>
    </row>
    <row r="2019" spans="1:9" ht="45">
      <c r="A2019" s="74"/>
      <c r="B2019" s="80" t="s">
        <v>1431</v>
      </c>
      <c r="C2019" s="81" t="s">
        <v>1432</v>
      </c>
      <c r="D2019" s="74" t="s">
        <v>55</v>
      </c>
      <c r="E2019" s="78">
        <v>2.0777999999999999</v>
      </c>
      <c r="F2019" s="64">
        <f>TRUNC(392.66,2)</f>
        <v>392.66</v>
      </c>
      <c r="G2019" s="64">
        <f t="shared" si="121"/>
        <v>815.86</v>
      </c>
      <c r="H2019" s="64"/>
      <c r="I2019" s="78"/>
    </row>
    <row r="2020" spans="1:9" ht="30">
      <c r="A2020" s="74"/>
      <c r="B2020" s="80" t="s">
        <v>1437</v>
      </c>
      <c r="C2020" s="81" t="s">
        <v>1438</v>
      </c>
      <c r="D2020" s="74" t="s">
        <v>55</v>
      </c>
      <c r="E2020" s="78">
        <v>0.72799999999999998</v>
      </c>
      <c r="F2020" s="64">
        <f>TRUNC(2489.03,2)</f>
        <v>2489.0300000000002</v>
      </c>
      <c r="G2020" s="64">
        <f t="shared" si="121"/>
        <v>1812.01</v>
      </c>
      <c r="H2020" s="64"/>
      <c r="I2020" s="78"/>
    </row>
    <row r="2021" spans="1:9" ht="45">
      <c r="A2021" s="74"/>
      <c r="B2021" s="80" t="s">
        <v>1433</v>
      </c>
      <c r="C2021" s="81" t="s">
        <v>1434</v>
      </c>
      <c r="D2021" s="74" t="s">
        <v>55</v>
      </c>
      <c r="E2021" s="78">
        <v>0.2606</v>
      </c>
      <c r="F2021" s="64">
        <f>TRUNC(419.3,2)</f>
        <v>419.3</v>
      </c>
      <c r="G2021" s="64">
        <f t="shared" si="121"/>
        <v>109.26</v>
      </c>
      <c r="H2021" s="64"/>
      <c r="I2021" s="78"/>
    </row>
    <row r="2022" spans="1:9" ht="15">
      <c r="A2022" s="74"/>
      <c r="B2022" s="80"/>
      <c r="C2022" s="81"/>
      <c r="D2022" s="74"/>
      <c r="E2022" s="78" t="s">
        <v>33</v>
      </c>
      <c r="F2022" s="64"/>
      <c r="G2022" s="64">
        <f>TRUNC(SUM(G2001:G2021),2)</f>
        <v>10001.629999999999</v>
      </c>
      <c r="H2022" s="64"/>
      <c r="I2022" s="78"/>
    </row>
    <row r="2023" spans="1:9" ht="45">
      <c r="A2023" s="68" t="s">
        <v>2008</v>
      </c>
      <c r="B2023" s="98" t="s">
        <v>1463</v>
      </c>
      <c r="C2023" s="23" t="s">
        <v>1464</v>
      </c>
      <c r="D2023" s="68" t="s">
        <v>7</v>
      </c>
      <c r="E2023" s="24">
        <v>1</v>
      </c>
      <c r="F2023" s="24">
        <f>TRUNC(F2024,2)</f>
        <v>13681.27</v>
      </c>
      <c r="G2023" s="24">
        <f>TRUNC(F2023*1.2882,2)</f>
        <v>17624.21</v>
      </c>
      <c r="H2023" s="24">
        <f>TRUNC(F2023*E2023,2)</f>
        <v>13681.27</v>
      </c>
      <c r="I2023" s="24">
        <f>TRUNC(E2023*G2023,2)</f>
        <v>17624.21</v>
      </c>
    </row>
    <row r="2024" spans="1:9" ht="45">
      <c r="A2024" s="74"/>
      <c r="B2024" s="80" t="s">
        <v>1463</v>
      </c>
      <c r="C2024" s="81" t="s">
        <v>1642</v>
      </c>
      <c r="D2024" s="74" t="s">
        <v>7</v>
      </c>
      <c r="E2024" s="78">
        <v>1</v>
      </c>
      <c r="F2024" s="64">
        <f>G2047</f>
        <v>13681.27</v>
      </c>
      <c r="G2024" s="64">
        <f t="shared" ref="G2024:G2046" si="122">TRUNC(E2024*F2024,2)</f>
        <v>13681.27</v>
      </c>
      <c r="H2024" s="64"/>
      <c r="I2024" s="78"/>
    </row>
    <row r="2025" spans="1:9" ht="30">
      <c r="A2025" s="74"/>
      <c r="B2025" s="80" t="s">
        <v>1419</v>
      </c>
      <c r="C2025" s="81" t="s">
        <v>1420</v>
      </c>
      <c r="D2025" s="74" t="s">
        <v>816</v>
      </c>
      <c r="E2025" s="78">
        <v>4.0800000000000003E-2</v>
      </c>
      <c r="F2025" s="64">
        <f>TRUNC(6.13,2)</f>
        <v>6.13</v>
      </c>
      <c r="G2025" s="64">
        <f t="shared" si="122"/>
        <v>0.25</v>
      </c>
      <c r="H2025" s="64"/>
      <c r="I2025" s="78"/>
    </row>
    <row r="2026" spans="1:9" ht="15">
      <c r="A2026" s="74"/>
      <c r="B2026" s="80" t="s">
        <v>1417</v>
      </c>
      <c r="C2026" s="81" t="s">
        <v>1418</v>
      </c>
      <c r="D2026" s="74" t="s">
        <v>23</v>
      </c>
      <c r="E2026" s="78">
        <v>0.88800000000000001</v>
      </c>
      <c r="F2026" s="64">
        <f>TRUNC(8.64,2)</f>
        <v>8.64</v>
      </c>
      <c r="G2026" s="64">
        <f t="shared" si="122"/>
        <v>7.67</v>
      </c>
      <c r="H2026" s="64"/>
      <c r="I2026" s="78"/>
    </row>
    <row r="2027" spans="1:9" ht="15">
      <c r="A2027" s="74"/>
      <c r="B2027" s="80" t="s">
        <v>234</v>
      </c>
      <c r="C2027" s="81" t="s">
        <v>235</v>
      </c>
      <c r="D2027" s="74" t="s">
        <v>23</v>
      </c>
      <c r="E2027" s="78">
        <v>1.056</v>
      </c>
      <c r="F2027" s="64">
        <f>TRUNC(3.02,2)</f>
        <v>3.02</v>
      </c>
      <c r="G2027" s="64">
        <f t="shared" si="122"/>
        <v>3.18</v>
      </c>
      <c r="H2027" s="64"/>
      <c r="I2027" s="78"/>
    </row>
    <row r="2028" spans="1:9" ht="30">
      <c r="A2028" s="74"/>
      <c r="B2028" s="80" t="s">
        <v>1465</v>
      </c>
      <c r="C2028" s="81" t="s">
        <v>1466</v>
      </c>
      <c r="D2028" s="74" t="s">
        <v>55</v>
      </c>
      <c r="E2028" s="78">
        <v>6.681</v>
      </c>
      <c r="F2028" s="64">
        <f>TRUNC(91.87,2)</f>
        <v>91.87</v>
      </c>
      <c r="G2028" s="64">
        <f t="shared" si="122"/>
        <v>613.78</v>
      </c>
      <c r="H2028" s="64"/>
      <c r="I2028" s="78"/>
    </row>
    <row r="2029" spans="1:9" ht="15">
      <c r="A2029" s="74"/>
      <c r="B2029" s="80" t="s">
        <v>1415</v>
      </c>
      <c r="C2029" s="81" t="s">
        <v>1416</v>
      </c>
      <c r="D2029" s="74" t="s">
        <v>46</v>
      </c>
      <c r="E2029" s="78">
        <v>9.3600000000000003E-2</v>
      </c>
      <c r="F2029" s="64">
        <f>TRUNC(27.17,2)</f>
        <v>27.17</v>
      </c>
      <c r="G2029" s="64">
        <f t="shared" si="122"/>
        <v>2.54</v>
      </c>
      <c r="H2029" s="64"/>
      <c r="I2029" s="78"/>
    </row>
    <row r="2030" spans="1:9" ht="30">
      <c r="A2030" s="74"/>
      <c r="B2030" s="80" t="s">
        <v>1413</v>
      </c>
      <c r="C2030" s="81" t="s">
        <v>1414</v>
      </c>
      <c r="D2030" s="74" t="s">
        <v>23</v>
      </c>
      <c r="E2030" s="78">
        <v>3.3119999999999998</v>
      </c>
      <c r="F2030" s="64">
        <f>TRUNC(25.43,2)</f>
        <v>25.43</v>
      </c>
      <c r="G2030" s="64">
        <f t="shared" si="122"/>
        <v>84.22</v>
      </c>
      <c r="H2030" s="64"/>
      <c r="I2030" s="78"/>
    </row>
    <row r="2031" spans="1:9" ht="15">
      <c r="A2031" s="74"/>
      <c r="B2031" s="80" t="s">
        <v>1447</v>
      </c>
      <c r="C2031" s="81" t="s">
        <v>1448</v>
      </c>
      <c r="D2031" s="74" t="s">
        <v>7</v>
      </c>
      <c r="E2031" s="78">
        <v>239.19380000000001</v>
      </c>
      <c r="F2031" s="64">
        <f>TRUNC(4.5,2)</f>
        <v>4.5</v>
      </c>
      <c r="G2031" s="64">
        <f t="shared" si="122"/>
        <v>1076.3699999999999</v>
      </c>
      <c r="H2031" s="64"/>
      <c r="I2031" s="78"/>
    </row>
    <row r="2032" spans="1:9" ht="15">
      <c r="A2032" s="74"/>
      <c r="B2032" s="80" t="s">
        <v>1449</v>
      </c>
      <c r="C2032" s="81" t="s">
        <v>1450</v>
      </c>
      <c r="D2032" s="74" t="s">
        <v>7</v>
      </c>
      <c r="E2032" s="78">
        <v>159.6</v>
      </c>
      <c r="F2032" s="64">
        <f>TRUNC(2.79,2)</f>
        <v>2.79</v>
      </c>
      <c r="G2032" s="64">
        <f t="shared" si="122"/>
        <v>445.28</v>
      </c>
      <c r="H2032" s="64"/>
      <c r="I2032" s="78"/>
    </row>
    <row r="2033" spans="1:9" ht="15">
      <c r="A2033" s="74"/>
      <c r="B2033" s="80" t="s">
        <v>58</v>
      </c>
      <c r="C2033" s="81" t="s">
        <v>59</v>
      </c>
      <c r="D2033" s="74" t="s">
        <v>51</v>
      </c>
      <c r="E2033" s="78">
        <v>63.591099999999997</v>
      </c>
      <c r="F2033" s="64">
        <f>TRUNC(29.57,2)</f>
        <v>29.57</v>
      </c>
      <c r="G2033" s="64">
        <f t="shared" si="122"/>
        <v>1880.38</v>
      </c>
      <c r="H2033" s="64"/>
      <c r="I2033" s="78"/>
    </row>
    <row r="2034" spans="1:9" ht="15">
      <c r="A2034" s="74"/>
      <c r="B2034" s="80" t="s">
        <v>56</v>
      </c>
      <c r="C2034" s="81" t="s">
        <v>57</v>
      </c>
      <c r="D2034" s="74" t="s">
        <v>51</v>
      </c>
      <c r="E2034" s="78">
        <v>49.964500000000001</v>
      </c>
      <c r="F2034" s="64">
        <f>TRUNC(22.72,2)</f>
        <v>22.72</v>
      </c>
      <c r="G2034" s="64">
        <f t="shared" si="122"/>
        <v>1135.19</v>
      </c>
      <c r="H2034" s="64"/>
      <c r="I2034" s="78"/>
    </row>
    <row r="2035" spans="1:9" ht="60">
      <c r="A2035" s="74"/>
      <c r="B2035" s="80" t="s">
        <v>1443</v>
      </c>
      <c r="C2035" s="81" t="s">
        <v>1444</v>
      </c>
      <c r="D2035" s="74" t="s">
        <v>97</v>
      </c>
      <c r="E2035" s="78">
        <v>1.5409999999999999</v>
      </c>
      <c r="F2035" s="64">
        <f>TRUNC(154.12,2)</f>
        <v>154.12</v>
      </c>
      <c r="G2035" s="64">
        <f t="shared" si="122"/>
        <v>237.49</v>
      </c>
      <c r="H2035" s="64"/>
      <c r="I2035" s="78"/>
    </row>
    <row r="2036" spans="1:9" ht="45">
      <c r="A2036" s="74"/>
      <c r="B2036" s="80" t="s">
        <v>1433</v>
      </c>
      <c r="C2036" s="81" t="s">
        <v>1434</v>
      </c>
      <c r="D2036" s="74" t="s">
        <v>55</v>
      </c>
      <c r="E2036" s="78">
        <v>0.24179999999999999</v>
      </c>
      <c r="F2036" s="64">
        <f>TRUNC(419.3,2)</f>
        <v>419.3</v>
      </c>
      <c r="G2036" s="64">
        <f t="shared" si="122"/>
        <v>101.38</v>
      </c>
      <c r="H2036" s="64"/>
      <c r="I2036" s="78"/>
    </row>
    <row r="2037" spans="1:9" ht="45">
      <c r="A2037" s="74"/>
      <c r="B2037" s="80" t="s">
        <v>1451</v>
      </c>
      <c r="C2037" s="81" t="s">
        <v>1452</v>
      </c>
      <c r="D2037" s="74" t="s">
        <v>55</v>
      </c>
      <c r="E2037" s="78">
        <v>1.121</v>
      </c>
      <c r="F2037" s="64">
        <f>TRUNC(176.05,2)</f>
        <v>176.05</v>
      </c>
      <c r="G2037" s="64">
        <f t="shared" si="122"/>
        <v>197.35</v>
      </c>
      <c r="H2037" s="64"/>
      <c r="I2037" s="78"/>
    </row>
    <row r="2038" spans="1:9" ht="30">
      <c r="A2038" s="74"/>
      <c r="B2038" s="80" t="s">
        <v>1439</v>
      </c>
      <c r="C2038" s="81" t="s">
        <v>1440</v>
      </c>
      <c r="D2038" s="74" t="s">
        <v>55</v>
      </c>
      <c r="E2038" s="78">
        <v>1.4025000000000001</v>
      </c>
      <c r="F2038" s="64">
        <f>TRUNC(474.81,2)</f>
        <v>474.81</v>
      </c>
      <c r="G2038" s="64">
        <f t="shared" si="122"/>
        <v>665.92</v>
      </c>
      <c r="H2038" s="64"/>
      <c r="I2038" s="78"/>
    </row>
    <row r="2039" spans="1:9" ht="30">
      <c r="A2039" s="74"/>
      <c r="B2039" s="80" t="s">
        <v>1453</v>
      </c>
      <c r="C2039" s="81" t="s">
        <v>1454</v>
      </c>
      <c r="D2039" s="74" t="s">
        <v>55</v>
      </c>
      <c r="E2039" s="78">
        <v>0.1196</v>
      </c>
      <c r="F2039" s="64">
        <f>TRUNC(949.25,2)</f>
        <v>949.25</v>
      </c>
      <c r="G2039" s="64">
        <f t="shared" si="122"/>
        <v>113.53</v>
      </c>
      <c r="H2039" s="64"/>
      <c r="I2039" s="78"/>
    </row>
    <row r="2040" spans="1:9" ht="30">
      <c r="A2040" s="74"/>
      <c r="B2040" s="80" t="s">
        <v>1455</v>
      </c>
      <c r="C2040" s="81" t="s">
        <v>1456</v>
      </c>
      <c r="D2040" s="74" t="s">
        <v>55</v>
      </c>
      <c r="E2040" s="78">
        <v>0.46760000000000002</v>
      </c>
      <c r="F2040" s="64">
        <f>TRUNC(909.78,2)</f>
        <v>909.78</v>
      </c>
      <c r="G2040" s="64">
        <f t="shared" si="122"/>
        <v>425.41</v>
      </c>
      <c r="H2040" s="64"/>
      <c r="I2040" s="78"/>
    </row>
    <row r="2041" spans="1:9" ht="30">
      <c r="A2041" s="74"/>
      <c r="B2041" s="80" t="s">
        <v>1457</v>
      </c>
      <c r="C2041" s="81" t="s">
        <v>1458</v>
      </c>
      <c r="D2041" s="74" t="s">
        <v>46</v>
      </c>
      <c r="E2041" s="78">
        <v>3.9487999999999999</v>
      </c>
      <c r="F2041" s="64">
        <f>TRUNC(13,2)</f>
        <v>13</v>
      </c>
      <c r="G2041" s="64">
        <f t="shared" si="122"/>
        <v>51.33</v>
      </c>
      <c r="H2041" s="64"/>
      <c r="I2041" s="78"/>
    </row>
    <row r="2042" spans="1:9" ht="30">
      <c r="A2042" s="74"/>
      <c r="B2042" s="80" t="s">
        <v>1459</v>
      </c>
      <c r="C2042" s="81" t="s">
        <v>1460</v>
      </c>
      <c r="D2042" s="74" t="s">
        <v>46</v>
      </c>
      <c r="E2042" s="78">
        <v>18.756799999999998</v>
      </c>
      <c r="F2042" s="64">
        <f>TRUNC(12.44,2)</f>
        <v>12.44</v>
      </c>
      <c r="G2042" s="64">
        <f t="shared" si="122"/>
        <v>233.33</v>
      </c>
      <c r="H2042" s="64"/>
      <c r="I2042" s="78"/>
    </row>
    <row r="2043" spans="1:9" ht="30">
      <c r="A2043" s="74"/>
      <c r="B2043" s="80" t="s">
        <v>1461</v>
      </c>
      <c r="C2043" s="81" t="s">
        <v>1462</v>
      </c>
      <c r="D2043" s="74" t="s">
        <v>46</v>
      </c>
      <c r="E2043" s="78">
        <v>63.176400000000001</v>
      </c>
      <c r="F2043" s="64">
        <f>TRUNC(18.14,2)</f>
        <v>18.14</v>
      </c>
      <c r="G2043" s="64">
        <f t="shared" si="122"/>
        <v>1146.01</v>
      </c>
      <c r="H2043" s="64"/>
      <c r="I2043" s="78"/>
    </row>
    <row r="2044" spans="1:9" ht="45">
      <c r="A2044" s="74"/>
      <c r="B2044" s="80" t="s">
        <v>1431</v>
      </c>
      <c r="C2044" s="81" t="s">
        <v>1432</v>
      </c>
      <c r="D2044" s="74" t="s">
        <v>55</v>
      </c>
      <c r="E2044" s="78">
        <v>2.38</v>
      </c>
      <c r="F2044" s="64">
        <f>TRUNC(392.66,2)</f>
        <v>392.66</v>
      </c>
      <c r="G2044" s="64">
        <f t="shared" si="122"/>
        <v>934.53</v>
      </c>
      <c r="H2044" s="64"/>
      <c r="I2044" s="78"/>
    </row>
    <row r="2045" spans="1:9" ht="30">
      <c r="A2045" s="74"/>
      <c r="B2045" s="80" t="s">
        <v>1437</v>
      </c>
      <c r="C2045" s="81" t="s">
        <v>1438</v>
      </c>
      <c r="D2045" s="74" t="s">
        <v>55</v>
      </c>
      <c r="E2045" s="78">
        <v>1.6617</v>
      </c>
      <c r="F2045" s="64">
        <f>TRUNC(2489.03,2)</f>
        <v>2489.0300000000002</v>
      </c>
      <c r="G2045" s="64">
        <f t="shared" si="122"/>
        <v>4136.0200000000004</v>
      </c>
      <c r="H2045" s="64"/>
      <c r="I2045" s="78"/>
    </row>
    <row r="2046" spans="1:9" ht="60">
      <c r="A2046" s="74"/>
      <c r="B2046" s="80" t="s">
        <v>1441</v>
      </c>
      <c r="C2046" s="81" t="s">
        <v>1442</v>
      </c>
      <c r="D2046" s="74" t="s">
        <v>94</v>
      </c>
      <c r="E2046" s="78">
        <v>3.1404000000000001</v>
      </c>
      <c r="F2046" s="64">
        <f>TRUNC(60.54,2)</f>
        <v>60.54</v>
      </c>
      <c r="G2046" s="64">
        <f t="shared" si="122"/>
        <v>190.11</v>
      </c>
      <c r="H2046" s="64"/>
      <c r="I2046" s="78"/>
    </row>
    <row r="2047" spans="1:9" ht="15">
      <c r="A2047" s="74"/>
      <c r="B2047" s="80"/>
      <c r="C2047" s="81"/>
      <c r="D2047" s="74"/>
      <c r="E2047" s="78" t="s">
        <v>33</v>
      </c>
      <c r="F2047" s="64"/>
      <c r="G2047" s="64">
        <f>TRUNC(SUM(G2025:G2046),2)</f>
        <v>13681.27</v>
      </c>
      <c r="H2047" s="64"/>
      <c r="I2047" s="78"/>
    </row>
    <row r="2048" spans="1:9" ht="90">
      <c r="A2048" s="68" t="s">
        <v>2007</v>
      </c>
      <c r="B2048" s="98" t="s">
        <v>1993</v>
      </c>
      <c r="C2048" s="23" t="s">
        <v>2005</v>
      </c>
      <c r="D2048" s="68" t="s">
        <v>7</v>
      </c>
      <c r="E2048" s="24">
        <v>1</v>
      </c>
      <c r="F2048" s="24">
        <f>TRUNC(F2049,2)</f>
        <v>452.86</v>
      </c>
      <c r="G2048" s="24">
        <f>TRUNC(F2048*1.2882,2)</f>
        <v>583.37</v>
      </c>
      <c r="H2048" s="24">
        <f>TRUNC(F2048*E2048,2)</f>
        <v>452.86</v>
      </c>
      <c r="I2048" s="24">
        <f>TRUNC(E2048*G2048,2)</f>
        <v>583.37</v>
      </c>
    </row>
    <row r="2049" spans="1:9" ht="90">
      <c r="A2049" s="74"/>
      <c r="B2049" s="80" t="s">
        <v>1993</v>
      </c>
      <c r="C2049" s="81" t="s">
        <v>1994</v>
      </c>
      <c r="D2049" s="74" t="s">
        <v>7</v>
      </c>
      <c r="E2049" s="78">
        <v>1</v>
      </c>
      <c r="F2049" s="64">
        <f>G2061</f>
        <v>452.86</v>
      </c>
      <c r="G2049" s="64">
        <f t="shared" ref="G2049:G2060" si="123">TRUNC(E2049*F2049,2)</f>
        <v>452.86</v>
      </c>
      <c r="H2049" s="64"/>
      <c r="I2049" s="78"/>
    </row>
    <row r="2050" spans="1:9" ht="30">
      <c r="A2050" s="74"/>
      <c r="B2050" s="80" t="s">
        <v>1995</v>
      </c>
      <c r="C2050" s="81" t="s">
        <v>1996</v>
      </c>
      <c r="D2050" s="74" t="s">
        <v>7</v>
      </c>
      <c r="E2050" s="78">
        <v>1</v>
      </c>
      <c r="F2050" s="64">
        <f>TRUNC(22.39,2)</f>
        <v>22.39</v>
      </c>
      <c r="G2050" s="64">
        <f t="shared" si="123"/>
        <v>22.39</v>
      </c>
      <c r="H2050" s="64"/>
      <c r="I2050" s="78"/>
    </row>
    <row r="2051" spans="1:9" ht="15">
      <c r="A2051" s="74"/>
      <c r="B2051" s="80" t="s">
        <v>1471</v>
      </c>
      <c r="C2051" s="81" t="s">
        <v>1472</v>
      </c>
      <c r="D2051" s="74" t="s">
        <v>23</v>
      </c>
      <c r="E2051" s="78">
        <v>1.575</v>
      </c>
      <c r="F2051" s="64">
        <f>TRUNC(11.67,2)</f>
        <v>11.67</v>
      </c>
      <c r="G2051" s="64">
        <f t="shared" si="123"/>
        <v>18.38</v>
      </c>
      <c r="H2051" s="64"/>
      <c r="I2051" s="78"/>
    </row>
    <row r="2052" spans="1:9" ht="30">
      <c r="A2052" s="74"/>
      <c r="B2052" s="80" t="s">
        <v>396</v>
      </c>
      <c r="C2052" s="81" t="s">
        <v>397</v>
      </c>
      <c r="D2052" s="74" t="s">
        <v>46</v>
      </c>
      <c r="E2052" s="78">
        <v>1.7479999999999998</v>
      </c>
      <c r="F2052" s="64">
        <f>TRUNC(10.8,2)</f>
        <v>10.8</v>
      </c>
      <c r="G2052" s="64">
        <f t="shared" si="123"/>
        <v>18.87</v>
      </c>
      <c r="H2052" s="64"/>
      <c r="I2052" s="78"/>
    </row>
    <row r="2053" spans="1:9" ht="15">
      <c r="A2053" s="74"/>
      <c r="B2053" s="80" t="s">
        <v>1997</v>
      </c>
      <c r="C2053" s="81" t="s">
        <v>1998</v>
      </c>
      <c r="D2053" s="74" t="s">
        <v>46</v>
      </c>
      <c r="E2053" s="78">
        <v>2.5851999999999999</v>
      </c>
      <c r="F2053" s="64">
        <f>TRUNC(10.0477,2)</f>
        <v>10.039999999999999</v>
      </c>
      <c r="G2053" s="64">
        <f t="shared" si="123"/>
        <v>25.95</v>
      </c>
      <c r="H2053" s="64"/>
      <c r="I2053" s="78"/>
    </row>
    <row r="2054" spans="1:9" ht="30">
      <c r="A2054" s="74"/>
      <c r="B2054" s="80" t="s">
        <v>49</v>
      </c>
      <c r="C2054" s="81" t="s">
        <v>50</v>
      </c>
      <c r="D2054" s="74" t="s">
        <v>51</v>
      </c>
      <c r="E2054" s="78">
        <v>7.6220000000000008</v>
      </c>
      <c r="F2054" s="64">
        <f>TRUNC(15.2,2)</f>
        <v>15.2</v>
      </c>
      <c r="G2054" s="64">
        <f t="shared" si="123"/>
        <v>115.85</v>
      </c>
      <c r="H2054" s="64"/>
      <c r="I2054" s="78"/>
    </row>
    <row r="2055" spans="1:9" ht="30">
      <c r="A2055" s="74"/>
      <c r="B2055" s="80" t="s">
        <v>374</v>
      </c>
      <c r="C2055" s="81" t="s">
        <v>375</v>
      </c>
      <c r="D2055" s="74" t="s">
        <v>51</v>
      </c>
      <c r="E2055" s="78">
        <v>7.6220000000000008</v>
      </c>
      <c r="F2055" s="64">
        <f>TRUNC(22.6,2)</f>
        <v>22.6</v>
      </c>
      <c r="G2055" s="64">
        <f t="shared" si="123"/>
        <v>172.25</v>
      </c>
      <c r="H2055" s="64"/>
      <c r="I2055" s="78"/>
    </row>
    <row r="2056" spans="1:9" ht="15">
      <c r="A2056" s="74"/>
      <c r="B2056" s="80" t="s">
        <v>76</v>
      </c>
      <c r="C2056" s="81" t="s">
        <v>77</v>
      </c>
      <c r="D2056" s="74" t="s">
        <v>51</v>
      </c>
      <c r="E2056" s="78">
        <v>2.5235000000000003</v>
      </c>
      <c r="F2056" s="64">
        <f>TRUNC(21,2)</f>
        <v>21</v>
      </c>
      <c r="G2056" s="64">
        <f t="shared" si="123"/>
        <v>52.99</v>
      </c>
      <c r="H2056" s="64"/>
      <c r="I2056" s="78"/>
    </row>
    <row r="2057" spans="1:9" ht="30">
      <c r="A2057" s="74"/>
      <c r="B2057" s="80" t="s">
        <v>138</v>
      </c>
      <c r="C2057" s="81" t="s">
        <v>139</v>
      </c>
      <c r="D2057" s="74" t="s">
        <v>51</v>
      </c>
      <c r="E2057" s="78">
        <v>0.58709999999999996</v>
      </c>
      <c r="F2057" s="64">
        <f>TRUNC(21,2)</f>
        <v>21</v>
      </c>
      <c r="G2057" s="64">
        <f t="shared" si="123"/>
        <v>12.32</v>
      </c>
      <c r="H2057" s="64"/>
      <c r="I2057" s="78"/>
    </row>
    <row r="2058" spans="1:9" ht="30">
      <c r="A2058" s="74"/>
      <c r="B2058" s="80" t="s">
        <v>1999</v>
      </c>
      <c r="C2058" s="81" t="s">
        <v>2000</v>
      </c>
      <c r="D2058" s="74" t="s">
        <v>46</v>
      </c>
      <c r="E2058" s="78">
        <v>0.42</v>
      </c>
      <c r="F2058" s="64">
        <f>TRUNC(15.2391,2)</f>
        <v>15.23</v>
      </c>
      <c r="G2058" s="64">
        <f t="shared" si="123"/>
        <v>6.39</v>
      </c>
      <c r="H2058" s="64"/>
      <c r="I2058" s="78"/>
    </row>
    <row r="2059" spans="1:9" ht="15">
      <c r="A2059" s="74"/>
      <c r="B2059" s="80" t="s">
        <v>2001</v>
      </c>
      <c r="C2059" s="81" t="s">
        <v>2002</v>
      </c>
      <c r="D2059" s="74" t="s">
        <v>55</v>
      </c>
      <c r="E2059" s="78">
        <v>1.1599999999999999E-2</v>
      </c>
      <c r="F2059" s="64">
        <f>TRUNC(537.4737,2)</f>
        <v>537.47</v>
      </c>
      <c r="G2059" s="64">
        <f t="shared" si="123"/>
        <v>6.23</v>
      </c>
      <c r="H2059" s="64"/>
      <c r="I2059" s="78"/>
    </row>
    <row r="2060" spans="1:9" ht="15">
      <c r="A2060" s="74"/>
      <c r="B2060" s="80" t="s">
        <v>2003</v>
      </c>
      <c r="C2060" s="81" t="s">
        <v>2004</v>
      </c>
      <c r="D2060" s="74" t="s">
        <v>55</v>
      </c>
      <c r="E2060" s="78">
        <v>4.1000000000000003E-3</v>
      </c>
      <c r="F2060" s="64">
        <f>TRUNC(304.7421,2)</f>
        <v>304.74</v>
      </c>
      <c r="G2060" s="64">
        <f t="shared" si="123"/>
        <v>1.24</v>
      </c>
      <c r="H2060" s="64"/>
      <c r="I2060" s="78"/>
    </row>
    <row r="2061" spans="1:9" ht="15">
      <c r="A2061" s="74"/>
      <c r="B2061" s="80"/>
      <c r="C2061" s="81"/>
      <c r="D2061" s="74"/>
      <c r="E2061" s="78" t="s">
        <v>33</v>
      </c>
      <c r="F2061" s="64"/>
      <c r="G2061" s="64">
        <f>TRUNC(SUM(G2050:G2060),2)</f>
        <v>452.86</v>
      </c>
      <c r="H2061" s="64"/>
      <c r="I2061" s="78"/>
    </row>
    <row r="2062" spans="1:9" ht="30">
      <c r="A2062" s="68" t="s">
        <v>2009</v>
      </c>
      <c r="B2062" s="98" t="s">
        <v>2010</v>
      </c>
      <c r="C2062" s="23" t="s">
        <v>2020</v>
      </c>
      <c r="D2062" s="68" t="s">
        <v>23</v>
      </c>
      <c r="E2062" s="24">
        <v>12</v>
      </c>
      <c r="F2062" s="24">
        <f>TRUNC(F2063,2)</f>
        <v>15.04</v>
      </c>
      <c r="G2062" s="24">
        <f>TRUNC(F2062*1.2882,2)</f>
        <v>19.37</v>
      </c>
      <c r="H2062" s="24">
        <f>TRUNC(F2062*E2062,2)</f>
        <v>180.48</v>
      </c>
      <c r="I2062" s="24">
        <f>TRUNC(E2062*G2062,2)</f>
        <v>232.44</v>
      </c>
    </row>
    <row r="2063" spans="1:9" ht="30">
      <c r="A2063" s="74"/>
      <c r="B2063" s="80" t="s">
        <v>2010</v>
      </c>
      <c r="C2063" s="81" t="s">
        <v>2011</v>
      </c>
      <c r="D2063" s="74" t="s">
        <v>23</v>
      </c>
      <c r="E2063" s="78">
        <v>1</v>
      </c>
      <c r="F2063" s="64">
        <f>G2067</f>
        <v>15.04</v>
      </c>
      <c r="G2063" s="64">
        <f>TRUNC(E2063*F2063,2)</f>
        <v>15.04</v>
      </c>
      <c r="H2063" s="64"/>
      <c r="I2063" s="78"/>
    </row>
    <row r="2064" spans="1:9" ht="30">
      <c r="A2064" s="74"/>
      <c r="B2064" s="80" t="s">
        <v>2012</v>
      </c>
      <c r="C2064" s="81" t="s">
        <v>2013</v>
      </c>
      <c r="D2064" s="74" t="s">
        <v>23</v>
      </c>
      <c r="E2064" s="78">
        <v>1.0169999999999999</v>
      </c>
      <c r="F2064" s="64">
        <f>TRUNC(4.75,2)</f>
        <v>4.75</v>
      </c>
      <c r="G2064" s="64">
        <f>TRUNC(E2064*F2064,2)</f>
        <v>4.83</v>
      </c>
      <c r="H2064" s="64"/>
      <c r="I2064" s="78"/>
    </row>
    <row r="2065" spans="1:9" ht="15">
      <c r="A2065" s="74"/>
      <c r="B2065" s="80" t="s">
        <v>125</v>
      </c>
      <c r="C2065" s="81" t="s">
        <v>126</v>
      </c>
      <c r="D2065" s="74" t="s">
        <v>51</v>
      </c>
      <c r="E2065" s="78">
        <v>0.188</v>
      </c>
      <c r="F2065" s="64">
        <f>TRUNC(29.83,2)</f>
        <v>29.83</v>
      </c>
      <c r="G2065" s="64">
        <f>TRUNC(E2065*F2065,2)</f>
        <v>5.6</v>
      </c>
      <c r="H2065" s="64"/>
      <c r="I2065" s="78"/>
    </row>
    <row r="2066" spans="1:9" ht="15">
      <c r="A2066" s="74"/>
      <c r="B2066" s="80" t="s">
        <v>910</v>
      </c>
      <c r="C2066" s="81" t="s">
        <v>911</v>
      </c>
      <c r="D2066" s="74" t="s">
        <v>51</v>
      </c>
      <c r="E2066" s="78">
        <v>0.188</v>
      </c>
      <c r="F2066" s="64">
        <f>TRUNC(24.54,2)</f>
        <v>24.54</v>
      </c>
      <c r="G2066" s="64">
        <f>TRUNC(E2066*F2066,2)</f>
        <v>4.6100000000000003</v>
      </c>
      <c r="H2066" s="64"/>
      <c r="I2066" s="78"/>
    </row>
    <row r="2067" spans="1:9" ht="15">
      <c r="A2067" s="74"/>
      <c r="B2067" s="80"/>
      <c r="C2067" s="81"/>
      <c r="D2067" s="74"/>
      <c r="E2067" s="78" t="s">
        <v>33</v>
      </c>
      <c r="F2067" s="64"/>
      <c r="G2067" s="64">
        <f>TRUNC(SUM(G2064:G2066),2)</f>
        <v>15.04</v>
      </c>
      <c r="H2067" s="64"/>
      <c r="I2067" s="78"/>
    </row>
    <row r="2068" spans="1:9" ht="45">
      <c r="A2068" s="68" t="s">
        <v>2021</v>
      </c>
      <c r="B2068" s="98" t="s">
        <v>2014</v>
      </c>
      <c r="C2068" s="23" t="s">
        <v>2015</v>
      </c>
      <c r="D2068" s="68" t="s">
        <v>23</v>
      </c>
      <c r="E2068" s="24">
        <v>18</v>
      </c>
      <c r="F2068" s="24">
        <f>TRUNC(F2069,2)</f>
        <v>66.209999999999994</v>
      </c>
      <c r="G2068" s="24">
        <f>TRUNC(F2068*1.2882,2)</f>
        <v>85.29</v>
      </c>
      <c r="H2068" s="24">
        <f>TRUNC(F2068*E2068,2)</f>
        <v>1191.78</v>
      </c>
      <c r="I2068" s="24">
        <f>TRUNC(E2068*G2068,2)</f>
        <v>1535.22</v>
      </c>
    </row>
    <row r="2069" spans="1:9" ht="45">
      <c r="A2069" s="74"/>
      <c r="B2069" s="80" t="s">
        <v>2014</v>
      </c>
      <c r="C2069" s="81" t="s">
        <v>2015</v>
      </c>
      <c r="D2069" s="74" t="s">
        <v>23</v>
      </c>
      <c r="E2069" s="78">
        <v>1</v>
      </c>
      <c r="F2069" s="64">
        <f>G2074</f>
        <v>66.209999999999994</v>
      </c>
      <c r="G2069" s="64">
        <f>TRUNC(E2069*F2069,2)</f>
        <v>66.209999999999994</v>
      </c>
      <c r="H2069" s="64"/>
      <c r="I2069" s="78"/>
    </row>
    <row r="2070" spans="1:9" ht="45">
      <c r="A2070" s="74"/>
      <c r="B2070" s="80" t="s">
        <v>2016</v>
      </c>
      <c r="C2070" s="81" t="s">
        <v>2017</v>
      </c>
      <c r="D2070" s="74" t="s">
        <v>23</v>
      </c>
      <c r="E2070" s="78">
        <v>1.0210999999999999</v>
      </c>
      <c r="F2070" s="64">
        <f>TRUNC(18.35,2)</f>
        <v>18.350000000000001</v>
      </c>
      <c r="G2070" s="64">
        <f>TRUNC(E2070*F2070,2)</f>
        <v>18.73</v>
      </c>
      <c r="H2070" s="64"/>
      <c r="I2070" s="78"/>
    </row>
    <row r="2071" spans="1:9" ht="30">
      <c r="A2071" s="74"/>
      <c r="B2071" s="80" t="s">
        <v>2018</v>
      </c>
      <c r="C2071" s="81" t="s">
        <v>2019</v>
      </c>
      <c r="D2071" s="74" t="s">
        <v>23</v>
      </c>
      <c r="E2071" s="78">
        <v>1.0210999999999999</v>
      </c>
      <c r="F2071" s="64">
        <f>TRUNC(43.35,2)</f>
        <v>43.35</v>
      </c>
      <c r="G2071" s="64">
        <f>TRUNC(E2071*F2071,2)</f>
        <v>44.26</v>
      </c>
      <c r="H2071" s="64"/>
      <c r="I2071" s="78"/>
    </row>
    <row r="2072" spans="1:9" ht="15">
      <c r="A2072" s="74"/>
      <c r="B2072" s="80" t="s">
        <v>146</v>
      </c>
      <c r="C2072" s="81" t="s">
        <v>147</v>
      </c>
      <c r="D2072" s="74" t="s">
        <v>51</v>
      </c>
      <c r="E2072" s="78">
        <v>6.0999999999999999E-2</v>
      </c>
      <c r="F2072" s="64">
        <f>TRUNC(29.09,2)</f>
        <v>29.09</v>
      </c>
      <c r="G2072" s="64">
        <f>TRUNC(E2072*F2072,2)</f>
        <v>1.77</v>
      </c>
      <c r="H2072" s="64"/>
      <c r="I2072" s="78"/>
    </row>
    <row r="2073" spans="1:9" ht="30">
      <c r="A2073" s="74"/>
      <c r="B2073" s="80" t="s">
        <v>1105</v>
      </c>
      <c r="C2073" s="81" t="s">
        <v>1106</v>
      </c>
      <c r="D2073" s="74" t="s">
        <v>51</v>
      </c>
      <c r="E2073" s="78">
        <v>6.0999999999999999E-2</v>
      </c>
      <c r="F2073" s="64">
        <f>TRUNC(23.85,2)</f>
        <v>23.85</v>
      </c>
      <c r="G2073" s="64">
        <f>TRUNC(E2073*F2073,2)</f>
        <v>1.45</v>
      </c>
      <c r="H2073" s="64"/>
      <c r="I2073" s="78"/>
    </row>
    <row r="2074" spans="1:9" ht="15">
      <c r="A2074" s="74"/>
      <c r="B2074" s="80"/>
      <c r="C2074" s="81"/>
      <c r="D2074" s="74"/>
      <c r="E2074" s="78" t="s">
        <v>33</v>
      </c>
      <c r="F2074" s="64"/>
      <c r="G2074" s="64">
        <f>TRUNC(SUM(G2070:G2073),2)</f>
        <v>66.209999999999994</v>
      </c>
      <c r="H2074" s="64"/>
      <c r="I2074" s="78"/>
    </row>
    <row r="2075" spans="1:9" s="169" customFormat="1" ht="15.75">
      <c r="A2075" s="240" t="s">
        <v>18</v>
      </c>
      <c r="B2075" s="241"/>
      <c r="C2075" s="242"/>
      <c r="D2075" s="240"/>
      <c r="E2075" s="243"/>
      <c r="F2075" s="244"/>
      <c r="G2075" s="335" t="s">
        <v>672</v>
      </c>
      <c r="H2075" s="336"/>
      <c r="I2075" s="244">
        <f>I1208+I1216+I1224+I1232+I1242+I1252+I1259+I1268+I1277+I1286+I1295+I1303+I1309+I1321+I1327+I1333+I1339+I1348+I1357+I1367+I1379+I1388+I1403+I1407+I1411+I1418+I1425+I1432+I1439+I1446+I1453+I1460+I1469+I1478+I1487+I1496+I1505+I1514+I1523+I1532+I1541+I1550+I1559+I1568+I1577+I1586+I1595+I1604+I1613+I1620+I1627+I1634+I1641+I1645+I1651+I1660+I1669+I1678+I1687+I1696+I1705+I1714+I1721+I1728+I1735+I1742+I1749+I1756+I1763+I1770+I1778+I1786+I1790+I1794+I1798+I1802+I1810+I1818+I1826+I1834+I1842+I1850+I1858+I1867+I1876+I1886+I1895+I1906+I1918+I1925+I1932+I1939+I1946+I1963+I1981+I1999+I2023+I2048+I2062+I2068</f>
        <v>126556.59999999998</v>
      </c>
    </row>
    <row r="2076" spans="1:9" ht="14.25" customHeight="1">
      <c r="A2076" s="53" t="s">
        <v>27</v>
      </c>
      <c r="B2076" s="54"/>
      <c r="C2076" s="334" t="s">
        <v>673</v>
      </c>
      <c r="D2076" s="334"/>
      <c r="E2076" s="334"/>
      <c r="F2076" s="334"/>
      <c r="G2076" s="334"/>
      <c r="H2076" s="334"/>
      <c r="I2076" s="334"/>
    </row>
    <row r="2077" spans="1:9" ht="45">
      <c r="A2077" s="68" t="s">
        <v>671</v>
      </c>
      <c r="B2077" s="98" t="s">
        <v>1984</v>
      </c>
      <c r="C2077" s="23" t="s">
        <v>1985</v>
      </c>
      <c r="D2077" s="68" t="s">
        <v>7</v>
      </c>
      <c r="E2077" s="24">
        <v>21</v>
      </c>
      <c r="F2077" s="24">
        <f>TRUNC(F2078,2)</f>
        <v>131.69999999999999</v>
      </c>
      <c r="G2077" s="24">
        <f>TRUNC(F2077*1.2882,2)</f>
        <v>169.65</v>
      </c>
      <c r="H2077" s="24">
        <f>TRUNC(F2077*E2077,2)</f>
        <v>2765.7</v>
      </c>
      <c r="I2077" s="24">
        <f>TRUNC(E2077*G2077,2)</f>
        <v>3562.65</v>
      </c>
    </row>
    <row r="2078" spans="1:9" ht="45">
      <c r="A2078" s="74"/>
      <c r="B2078" s="80" t="s">
        <v>1984</v>
      </c>
      <c r="C2078" s="81" t="s">
        <v>1985</v>
      </c>
      <c r="D2078" s="74" t="s">
        <v>7</v>
      </c>
      <c r="E2078" s="78">
        <v>1</v>
      </c>
      <c r="F2078" s="64">
        <f>TRUNC(131.70606,2)</f>
        <v>131.69999999999999</v>
      </c>
      <c r="G2078" s="64">
        <f t="shared" ref="G2078:G2084" si="124">TRUNC(E2078*F2078,2)</f>
        <v>131.69999999999999</v>
      </c>
      <c r="H2078" s="64"/>
      <c r="I2078" s="78"/>
    </row>
    <row r="2079" spans="1:9" ht="30">
      <c r="A2079" s="74"/>
      <c r="B2079" s="80" t="s">
        <v>1986</v>
      </c>
      <c r="C2079" s="81" t="s">
        <v>1987</v>
      </c>
      <c r="D2079" s="74" t="s">
        <v>7</v>
      </c>
      <c r="E2079" s="78">
        <v>1</v>
      </c>
      <c r="F2079" s="64">
        <f>TRUNC(21.88,2)</f>
        <v>21.88</v>
      </c>
      <c r="G2079" s="64">
        <f t="shared" si="124"/>
        <v>21.88</v>
      </c>
      <c r="H2079" s="64"/>
      <c r="I2079" s="78"/>
    </row>
    <row r="2080" spans="1:9" ht="15">
      <c r="A2080" s="74"/>
      <c r="B2080" s="80" t="s">
        <v>1920</v>
      </c>
      <c r="C2080" s="81" t="s">
        <v>1921</v>
      </c>
      <c r="D2080" s="74" t="s">
        <v>7</v>
      </c>
      <c r="E2080" s="78">
        <v>2</v>
      </c>
      <c r="F2080" s="64">
        <f>TRUNC(24.8,2)</f>
        <v>24.8</v>
      </c>
      <c r="G2080" s="64">
        <f t="shared" si="124"/>
        <v>49.6</v>
      </c>
      <c r="H2080" s="64"/>
      <c r="I2080" s="78"/>
    </row>
    <row r="2081" spans="1:9" ht="15">
      <c r="A2081" s="74"/>
      <c r="B2081" s="80" t="s">
        <v>1916</v>
      </c>
      <c r="C2081" s="81" t="s">
        <v>1917</v>
      </c>
      <c r="D2081" s="74" t="s">
        <v>7</v>
      </c>
      <c r="E2081" s="78">
        <v>1</v>
      </c>
      <c r="F2081" s="64">
        <f>TRUNC(2.99,2)</f>
        <v>2.99</v>
      </c>
      <c r="G2081" s="64">
        <f t="shared" si="124"/>
        <v>2.99</v>
      </c>
      <c r="H2081" s="64"/>
      <c r="I2081" s="78"/>
    </row>
    <row r="2082" spans="1:9" ht="15">
      <c r="A2082" s="74"/>
      <c r="B2082" s="80" t="s">
        <v>1918</v>
      </c>
      <c r="C2082" s="81" t="s">
        <v>1919</v>
      </c>
      <c r="D2082" s="74" t="s">
        <v>7</v>
      </c>
      <c r="E2082" s="78">
        <v>4</v>
      </c>
      <c r="F2082" s="64">
        <f>TRUNC(3.03,2)</f>
        <v>3.03</v>
      </c>
      <c r="G2082" s="64">
        <f t="shared" si="124"/>
        <v>12.12</v>
      </c>
      <c r="H2082" s="64"/>
      <c r="I2082" s="78"/>
    </row>
    <row r="2083" spans="1:9" ht="30">
      <c r="A2083" s="74"/>
      <c r="B2083" s="80" t="s">
        <v>49</v>
      </c>
      <c r="C2083" s="81" t="s">
        <v>50</v>
      </c>
      <c r="D2083" s="74" t="s">
        <v>51</v>
      </c>
      <c r="E2083" s="78">
        <v>1.2463</v>
      </c>
      <c r="F2083" s="64">
        <f>TRUNC(15.2,2)</f>
        <v>15.2</v>
      </c>
      <c r="G2083" s="64">
        <f t="shared" si="124"/>
        <v>18.940000000000001</v>
      </c>
      <c r="H2083" s="64"/>
      <c r="I2083" s="78"/>
    </row>
    <row r="2084" spans="1:9" ht="30">
      <c r="A2084" s="74"/>
      <c r="B2084" s="80" t="s">
        <v>133</v>
      </c>
      <c r="C2084" s="81" t="s">
        <v>134</v>
      </c>
      <c r="D2084" s="74" t="s">
        <v>51</v>
      </c>
      <c r="E2084" s="78">
        <v>1.2463</v>
      </c>
      <c r="F2084" s="64">
        <f>TRUNC(21,2)</f>
        <v>21</v>
      </c>
      <c r="G2084" s="64">
        <f t="shared" si="124"/>
        <v>26.17</v>
      </c>
      <c r="H2084" s="64"/>
      <c r="I2084" s="78"/>
    </row>
    <row r="2085" spans="1:9" ht="15">
      <c r="A2085" s="74"/>
      <c r="B2085" s="80"/>
      <c r="C2085" s="81"/>
      <c r="D2085" s="74"/>
      <c r="E2085" s="78" t="s">
        <v>33</v>
      </c>
      <c r="F2085" s="64"/>
      <c r="G2085" s="64">
        <f>TRUNC(SUM(G2079:G2084),2)</f>
        <v>131.69999999999999</v>
      </c>
      <c r="H2085" s="64"/>
      <c r="I2085" s="78"/>
    </row>
    <row r="2086" spans="1:9" ht="45">
      <c r="A2086" s="68" t="s">
        <v>674</v>
      </c>
      <c r="B2086" s="98" t="s">
        <v>1988</v>
      </c>
      <c r="C2086" s="23" t="s">
        <v>1989</v>
      </c>
      <c r="D2086" s="68" t="s">
        <v>7</v>
      </c>
      <c r="E2086" s="24">
        <v>68</v>
      </c>
      <c r="F2086" s="24">
        <f>TRUNC(F2087,2)</f>
        <v>132.96</v>
      </c>
      <c r="G2086" s="24">
        <f>TRUNC(F2086*1.2882,2)</f>
        <v>171.27</v>
      </c>
      <c r="H2086" s="24">
        <f>TRUNC(F2086*E2086,2)</f>
        <v>9041.2800000000007</v>
      </c>
      <c r="I2086" s="24">
        <f>TRUNC(E2086*G2086,2)</f>
        <v>11646.36</v>
      </c>
    </row>
    <row r="2087" spans="1:9" ht="45">
      <c r="A2087" s="74"/>
      <c r="B2087" s="80" t="s">
        <v>1988</v>
      </c>
      <c r="C2087" s="81" t="s">
        <v>1989</v>
      </c>
      <c r="D2087" s="74" t="s">
        <v>7</v>
      </c>
      <c r="E2087" s="78">
        <v>1</v>
      </c>
      <c r="F2087" s="64">
        <f>G2094</f>
        <v>132.96</v>
      </c>
      <c r="G2087" s="64">
        <f t="shared" ref="G2087:G2093" si="125">TRUNC(E2087*F2087,2)</f>
        <v>132.96</v>
      </c>
      <c r="H2087" s="64"/>
      <c r="I2087" s="78"/>
    </row>
    <row r="2088" spans="1:9" ht="30">
      <c r="A2088" s="74"/>
      <c r="B2088" s="80" t="s">
        <v>1990</v>
      </c>
      <c r="C2088" s="81" t="s">
        <v>1991</v>
      </c>
      <c r="D2088" s="74" t="s">
        <v>7</v>
      </c>
      <c r="E2088" s="78">
        <v>1</v>
      </c>
      <c r="F2088" s="64">
        <f>TRUNC(32.4,2)</f>
        <v>32.4</v>
      </c>
      <c r="G2088" s="64">
        <f t="shared" si="125"/>
        <v>32.4</v>
      </c>
      <c r="H2088" s="64"/>
      <c r="I2088" s="78"/>
    </row>
    <row r="2089" spans="1:9" ht="30">
      <c r="A2089" s="74"/>
      <c r="B2089" s="80" t="s">
        <v>1914</v>
      </c>
      <c r="C2089" s="81" t="s">
        <v>1915</v>
      </c>
      <c r="D2089" s="74" t="s">
        <v>7</v>
      </c>
      <c r="E2089" s="78">
        <v>2</v>
      </c>
      <c r="F2089" s="64">
        <f>TRUNC(20.17,2)</f>
        <v>20.170000000000002</v>
      </c>
      <c r="G2089" s="64">
        <f t="shared" si="125"/>
        <v>40.340000000000003</v>
      </c>
      <c r="H2089" s="64"/>
      <c r="I2089" s="78"/>
    </row>
    <row r="2090" spans="1:9" ht="15">
      <c r="A2090" s="74"/>
      <c r="B2090" s="80" t="s">
        <v>1916</v>
      </c>
      <c r="C2090" s="81" t="s">
        <v>1917</v>
      </c>
      <c r="D2090" s="74" t="s">
        <v>7</v>
      </c>
      <c r="E2090" s="78">
        <v>1</v>
      </c>
      <c r="F2090" s="64">
        <f>TRUNC(2.99,2)</f>
        <v>2.99</v>
      </c>
      <c r="G2090" s="64">
        <f t="shared" si="125"/>
        <v>2.99</v>
      </c>
      <c r="H2090" s="64"/>
      <c r="I2090" s="78"/>
    </row>
    <row r="2091" spans="1:9" ht="15">
      <c r="A2091" s="74"/>
      <c r="B2091" s="80" t="s">
        <v>1918</v>
      </c>
      <c r="C2091" s="81" t="s">
        <v>1919</v>
      </c>
      <c r="D2091" s="74" t="s">
        <v>7</v>
      </c>
      <c r="E2091" s="78">
        <v>4</v>
      </c>
      <c r="F2091" s="64">
        <f>TRUNC(3.03,2)</f>
        <v>3.03</v>
      </c>
      <c r="G2091" s="64">
        <f t="shared" si="125"/>
        <v>12.12</v>
      </c>
      <c r="H2091" s="64"/>
      <c r="I2091" s="78"/>
    </row>
    <row r="2092" spans="1:9" ht="30">
      <c r="A2092" s="74"/>
      <c r="B2092" s="80" t="s">
        <v>49</v>
      </c>
      <c r="C2092" s="81" t="s">
        <v>50</v>
      </c>
      <c r="D2092" s="74" t="s">
        <v>51</v>
      </c>
      <c r="E2092" s="78">
        <v>1.2463</v>
      </c>
      <c r="F2092" s="64">
        <f>TRUNC(15.2,2)</f>
        <v>15.2</v>
      </c>
      <c r="G2092" s="64">
        <f t="shared" si="125"/>
        <v>18.940000000000001</v>
      </c>
      <c r="H2092" s="64"/>
      <c r="I2092" s="78"/>
    </row>
    <row r="2093" spans="1:9" ht="30">
      <c r="A2093" s="74"/>
      <c r="B2093" s="80" t="s">
        <v>133</v>
      </c>
      <c r="C2093" s="81" t="s">
        <v>134</v>
      </c>
      <c r="D2093" s="74" t="s">
        <v>51</v>
      </c>
      <c r="E2093" s="78">
        <v>1.2463</v>
      </c>
      <c r="F2093" s="64">
        <f>TRUNC(21,2)</f>
        <v>21</v>
      </c>
      <c r="G2093" s="64">
        <f t="shared" si="125"/>
        <v>26.17</v>
      </c>
      <c r="H2093" s="64"/>
      <c r="I2093" s="78"/>
    </row>
    <row r="2094" spans="1:9" ht="15">
      <c r="A2094" s="74"/>
      <c r="B2094" s="80"/>
      <c r="C2094" s="81"/>
      <c r="D2094" s="74"/>
      <c r="E2094" s="78" t="s">
        <v>33</v>
      </c>
      <c r="F2094" s="64"/>
      <c r="G2094" s="64">
        <f>TRUNC(SUM(G2088:G2093),2)</f>
        <v>132.96</v>
      </c>
      <c r="H2094" s="64"/>
      <c r="I2094" s="78"/>
    </row>
    <row r="2095" spans="1:9" ht="30">
      <c r="A2095" s="68" t="s">
        <v>675</v>
      </c>
      <c r="B2095" s="98" t="s">
        <v>879</v>
      </c>
      <c r="C2095" s="23" t="s">
        <v>880</v>
      </c>
      <c r="D2095" s="68" t="s">
        <v>7</v>
      </c>
      <c r="E2095" s="24">
        <v>8</v>
      </c>
      <c r="F2095" s="24">
        <f>TRUNC(F2096,2)</f>
        <v>49.94</v>
      </c>
      <c r="G2095" s="24">
        <f>TRUNC(F2095*1.2882,2)</f>
        <v>64.33</v>
      </c>
      <c r="H2095" s="24">
        <f>TRUNC(F2095*E2095,2)</f>
        <v>399.52</v>
      </c>
      <c r="I2095" s="24">
        <f>TRUNC(E2095*G2095,2)</f>
        <v>514.64</v>
      </c>
    </row>
    <row r="2096" spans="1:9" ht="30">
      <c r="A2096" s="74"/>
      <c r="B2096" s="80" t="s">
        <v>879</v>
      </c>
      <c r="C2096" s="81" t="s">
        <v>880</v>
      </c>
      <c r="D2096" s="74" t="s">
        <v>7</v>
      </c>
      <c r="E2096" s="78">
        <v>1</v>
      </c>
      <c r="F2096" s="64">
        <f>G2099</f>
        <v>49.94</v>
      </c>
      <c r="G2096" s="64">
        <f>TRUNC(E2096*F2096,2)</f>
        <v>49.94</v>
      </c>
      <c r="H2096" s="64"/>
      <c r="I2096" s="78"/>
    </row>
    <row r="2097" spans="1:9" ht="30">
      <c r="A2097" s="74"/>
      <c r="B2097" s="80" t="s">
        <v>881</v>
      </c>
      <c r="C2097" s="81" t="s">
        <v>1643</v>
      </c>
      <c r="D2097" s="74" t="s">
        <v>7</v>
      </c>
      <c r="E2097" s="78">
        <v>1</v>
      </c>
      <c r="F2097" s="64">
        <f>TRUNC(41.48264,2)</f>
        <v>41.48</v>
      </c>
      <c r="G2097" s="64">
        <f>TRUNC(E2097*F2097,2)</f>
        <v>41.48</v>
      </c>
      <c r="H2097" s="64"/>
      <c r="I2097" s="78"/>
    </row>
    <row r="2098" spans="1:9" ht="30">
      <c r="A2098" s="74"/>
      <c r="B2098" s="80" t="s">
        <v>882</v>
      </c>
      <c r="C2098" s="81" t="s">
        <v>1644</v>
      </c>
      <c r="D2098" s="74" t="s">
        <v>7</v>
      </c>
      <c r="E2098" s="78">
        <v>1</v>
      </c>
      <c r="F2098" s="64">
        <f>TRUNC(8.46892,2)</f>
        <v>8.4600000000000009</v>
      </c>
      <c r="G2098" s="64">
        <f>TRUNC(E2098*F2098,2)</f>
        <v>8.4600000000000009</v>
      </c>
      <c r="H2098" s="64"/>
      <c r="I2098" s="78"/>
    </row>
    <row r="2099" spans="1:9" ht="15">
      <c r="A2099" s="74"/>
      <c r="B2099" s="80"/>
      <c r="C2099" s="81"/>
      <c r="D2099" s="74"/>
      <c r="E2099" s="78" t="s">
        <v>33</v>
      </c>
      <c r="F2099" s="64"/>
      <c r="G2099" s="64">
        <f>TRUNC(SUM(G2097:G2098),2)</f>
        <v>49.94</v>
      </c>
      <c r="H2099" s="64"/>
      <c r="I2099" s="78"/>
    </row>
    <row r="2100" spans="1:9" ht="30">
      <c r="A2100" s="68" t="s">
        <v>676</v>
      </c>
      <c r="B2100" s="98" t="s">
        <v>883</v>
      </c>
      <c r="C2100" s="23" t="s">
        <v>884</v>
      </c>
      <c r="D2100" s="68" t="s">
        <v>7</v>
      </c>
      <c r="E2100" s="24">
        <v>5</v>
      </c>
      <c r="F2100" s="24">
        <f>TRUNC(F2101,2)</f>
        <v>28.09</v>
      </c>
      <c r="G2100" s="24">
        <f>TRUNC(F2100*1.2882,2)</f>
        <v>36.18</v>
      </c>
      <c r="H2100" s="24">
        <f>TRUNC(F2100*E2100,2)</f>
        <v>140.44999999999999</v>
      </c>
      <c r="I2100" s="24">
        <f>TRUNC(E2100*G2100,2)</f>
        <v>180.9</v>
      </c>
    </row>
    <row r="2101" spans="1:9" ht="30">
      <c r="A2101" s="74"/>
      <c r="B2101" s="80" t="s">
        <v>883</v>
      </c>
      <c r="C2101" s="81" t="s">
        <v>884</v>
      </c>
      <c r="D2101" s="74" t="s">
        <v>7</v>
      </c>
      <c r="E2101" s="78">
        <v>1</v>
      </c>
      <c r="F2101" s="64">
        <f>G2104</f>
        <v>28.09</v>
      </c>
      <c r="G2101" s="64">
        <f>TRUNC(E2101*F2101,2)</f>
        <v>28.09</v>
      </c>
      <c r="H2101" s="64"/>
      <c r="I2101" s="78"/>
    </row>
    <row r="2102" spans="1:9" ht="30">
      <c r="A2102" s="74"/>
      <c r="B2102" s="80" t="s">
        <v>885</v>
      </c>
      <c r="C2102" s="81" t="s">
        <v>1645</v>
      </c>
      <c r="D2102" s="74" t="s">
        <v>7</v>
      </c>
      <c r="E2102" s="78">
        <v>1</v>
      </c>
      <c r="F2102" s="64">
        <f>TRUNC(19.63325,2)</f>
        <v>19.63</v>
      </c>
      <c r="G2102" s="64">
        <f>TRUNC(E2102*F2102,2)</f>
        <v>19.63</v>
      </c>
      <c r="H2102" s="64"/>
      <c r="I2102" s="78"/>
    </row>
    <row r="2103" spans="1:9" ht="30">
      <c r="A2103" s="74"/>
      <c r="B2103" s="80" t="s">
        <v>882</v>
      </c>
      <c r="C2103" s="81" t="s">
        <v>1644</v>
      </c>
      <c r="D2103" s="74" t="s">
        <v>7</v>
      </c>
      <c r="E2103" s="78">
        <v>1</v>
      </c>
      <c r="F2103" s="64">
        <f>TRUNC(8.46892,2)</f>
        <v>8.4600000000000009</v>
      </c>
      <c r="G2103" s="64">
        <f>TRUNC(E2103*F2103,2)</f>
        <v>8.4600000000000009</v>
      </c>
      <c r="H2103" s="64"/>
      <c r="I2103" s="78"/>
    </row>
    <row r="2104" spans="1:9" ht="15">
      <c r="A2104" s="74"/>
      <c r="B2104" s="80"/>
      <c r="C2104" s="81"/>
      <c r="D2104" s="74"/>
      <c r="E2104" s="78" t="s">
        <v>33</v>
      </c>
      <c r="F2104" s="64"/>
      <c r="G2104" s="64">
        <f>TRUNC(SUM(G2102:G2103),2)</f>
        <v>28.09</v>
      </c>
      <c r="H2104" s="64"/>
      <c r="I2104" s="78"/>
    </row>
    <row r="2105" spans="1:9" ht="30">
      <c r="A2105" s="68" t="s">
        <v>677</v>
      </c>
      <c r="B2105" s="98" t="s">
        <v>886</v>
      </c>
      <c r="C2105" s="23" t="s">
        <v>887</v>
      </c>
      <c r="D2105" s="68" t="s">
        <v>7</v>
      </c>
      <c r="E2105" s="24">
        <v>7</v>
      </c>
      <c r="F2105" s="24">
        <f>TRUNC(F2106,2)</f>
        <v>44.46</v>
      </c>
      <c r="G2105" s="24">
        <f>TRUNC(F2105*1.2882,2)</f>
        <v>57.27</v>
      </c>
      <c r="H2105" s="24">
        <f>TRUNC(F2105*E2105,2)</f>
        <v>311.22000000000003</v>
      </c>
      <c r="I2105" s="24">
        <f>TRUNC(E2105*G2105,2)</f>
        <v>400.89</v>
      </c>
    </row>
    <row r="2106" spans="1:9" ht="30">
      <c r="A2106" s="74"/>
      <c r="B2106" s="80" t="s">
        <v>886</v>
      </c>
      <c r="C2106" s="81" t="s">
        <v>887</v>
      </c>
      <c r="D2106" s="74" t="s">
        <v>7</v>
      </c>
      <c r="E2106" s="78">
        <v>1</v>
      </c>
      <c r="F2106" s="64">
        <f>G2109</f>
        <v>44.46</v>
      </c>
      <c r="G2106" s="64">
        <f>TRUNC(E2106*F2106,2)</f>
        <v>44.46</v>
      </c>
      <c r="H2106" s="64"/>
      <c r="I2106" s="78"/>
    </row>
    <row r="2107" spans="1:9" ht="30">
      <c r="A2107" s="74"/>
      <c r="B2107" s="80" t="s">
        <v>888</v>
      </c>
      <c r="C2107" s="81" t="s">
        <v>1646</v>
      </c>
      <c r="D2107" s="74" t="s">
        <v>7</v>
      </c>
      <c r="E2107" s="78">
        <v>1</v>
      </c>
      <c r="F2107" s="64">
        <f>TRUNC(36.0043,2)</f>
        <v>36</v>
      </c>
      <c r="G2107" s="64">
        <f>TRUNC(E2107*F2107,2)</f>
        <v>36</v>
      </c>
      <c r="H2107" s="64"/>
      <c r="I2107" s="78"/>
    </row>
    <row r="2108" spans="1:9" ht="30">
      <c r="A2108" s="74"/>
      <c r="B2108" s="80" t="s">
        <v>882</v>
      </c>
      <c r="C2108" s="81" t="s">
        <v>1644</v>
      </c>
      <c r="D2108" s="74" t="s">
        <v>7</v>
      </c>
      <c r="E2108" s="78">
        <v>1</v>
      </c>
      <c r="F2108" s="64">
        <f>TRUNC(8.46892,2)</f>
        <v>8.4600000000000009</v>
      </c>
      <c r="G2108" s="64">
        <f>TRUNC(E2108*F2108,2)</f>
        <v>8.4600000000000009</v>
      </c>
      <c r="H2108" s="64"/>
      <c r="I2108" s="78"/>
    </row>
    <row r="2109" spans="1:9" ht="15">
      <c r="A2109" s="74"/>
      <c r="B2109" s="80"/>
      <c r="C2109" s="81"/>
      <c r="D2109" s="74"/>
      <c r="E2109" s="78" t="s">
        <v>33</v>
      </c>
      <c r="F2109" s="64"/>
      <c r="G2109" s="64">
        <f>TRUNC(SUM(G2107:G2108),2)</f>
        <v>44.46</v>
      </c>
      <c r="H2109" s="64"/>
      <c r="I2109" s="78"/>
    </row>
    <row r="2110" spans="1:9" ht="30">
      <c r="A2110" s="68" t="s">
        <v>678</v>
      </c>
      <c r="B2110" s="98" t="s">
        <v>889</v>
      </c>
      <c r="C2110" s="23" t="s">
        <v>890</v>
      </c>
      <c r="D2110" s="68" t="s">
        <v>7</v>
      </c>
      <c r="E2110" s="24">
        <v>1</v>
      </c>
      <c r="F2110" s="24">
        <f>TRUNC(F2111,2)</f>
        <v>60.83</v>
      </c>
      <c r="G2110" s="24">
        <f>TRUNC(F2110*1.2882,2)</f>
        <v>78.36</v>
      </c>
      <c r="H2110" s="24">
        <f>TRUNC(F2110*E2110,2)</f>
        <v>60.83</v>
      </c>
      <c r="I2110" s="24">
        <f>TRUNC(E2110*G2110,2)</f>
        <v>78.36</v>
      </c>
    </row>
    <row r="2111" spans="1:9" ht="30">
      <c r="A2111" s="74"/>
      <c r="B2111" s="80" t="s">
        <v>889</v>
      </c>
      <c r="C2111" s="81" t="s">
        <v>890</v>
      </c>
      <c r="D2111" s="74" t="s">
        <v>7</v>
      </c>
      <c r="E2111" s="78">
        <v>1</v>
      </c>
      <c r="F2111" s="64">
        <f>G2114</f>
        <v>60.83</v>
      </c>
      <c r="G2111" s="64">
        <f>TRUNC(E2111*F2111,2)</f>
        <v>60.83</v>
      </c>
      <c r="H2111" s="64"/>
      <c r="I2111" s="78"/>
    </row>
    <row r="2112" spans="1:9" ht="30">
      <c r="A2112" s="74"/>
      <c r="B2112" s="80" t="s">
        <v>891</v>
      </c>
      <c r="C2112" s="81" t="s">
        <v>1647</v>
      </c>
      <c r="D2112" s="74" t="s">
        <v>7</v>
      </c>
      <c r="E2112" s="78">
        <v>1</v>
      </c>
      <c r="F2112" s="64">
        <f>TRUNC(52.37535,2)</f>
        <v>52.37</v>
      </c>
      <c r="G2112" s="64">
        <f>TRUNC(E2112*F2112,2)</f>
        <v>52.37</v>
      </c>
      <c r="H2112" s="64"/>
      <c r="I2112" s="78"/>
    </row>
    <row r="2113" spans="1:9" ht="30">
      <c r="A2113" s="74"/>
      <c r="B2113" s="80" t="s">
        <v>882</v>
      </c>
      <c r="C2113" s="81" t="s">
        <v>1644</v>
      </c>
      <c r="D2113" s="74" t="s">
        <v>7</v>
      </c>
      <c r="E2113" s="78">
        <v>1</v>
      </c>
      <c r="F2113" s="64">
        <f>TRUNC(8.46892,2)</f>
        <v>8.4600000000000009</v>
      </c>
      <c r="G2113" s="64">
        <f>TRUNC(E2113*F2113,2)</f>
        <v>8.4600000000000009</v>
      </c>
      <c r="H2113" s="64"/>
      <c r="I2113" s="78"/>
    </row>
    <row r="2114" spans="1:9" ht="15">
      <c r="A2114" s="74"/>
      <c r="B2114" s="80"/>
      <c r="C2114" s="81"/>
      <c r="D2114" s="74"/>
      <c r="E2114" s="78" t="s">
        <v>33</v>
      </c>
      <c r="F2114" s="64"/>
      <c r="G2114" s="64">
        <f>TRUNC(SUM(G2112:G2113),2)</f>
        <v>60.83</v>
      </c>
      <c r="H2114" s="64"/>
      <c r="I2114" s="78"/>
    </row>
    <row r="2115" spans="1:9" ht="30">
      <c r="A2115" s="68" t="s">
        <v>861</v>
      </c>
      <c r="B2115" s="98" t="s">
        <v>892</v>
      </c>
      <c r="C2115" s="23" t="s">
        <v>893</v>
      </c>
      <c r="D2115" s="68" t="s">
        <v>7</v>
      </c>
      <c r="E2115" s="24">
        <v>6</v>
      </c>
      <c r="F2115" s="24">
        <f>TRUNC(F2116,2)</f>
        <v>50.14</v>
      </c>
      <c r="G2115" s="24">
        <f>TRUNC(F2115*1.2882,2)</f>
        <v>64.59</v>
      </c>
      <c r="H2115" s="24">
        <f>TRUNC(F2115*E2115,2)</f>
        <v>300.83999999999997</v>
      </c>
      <c r="I2115" s="24">
        <f>TRUNC(E2115*G2115,2)</f>
        <v>387.54</v>
      </c>
    </row>
    <row r="2116" spans="1:9" ht="30">
      <c r="A2116" s="74"/>
      <c r="B2116" s="80" t="s">
        <v>892</v>
      </c>
      <c r="C2116" s="81" t="s">
        <v>893</v>
      </c>
      <c r="D2116" s="74" t="s">
        <v>7</v>
      </c>
      <c r="E2116" s="78">
        <v>1</v>
      </c>
      <c r="F2116" s="64">
        <f>G2119</f>
        <v>50.14</v>
      </c>
      <c r="G2116" s="64">
        <f>TRUNC(E2116*F2116,2)</f>
        <v>50.14</v>
      </c>
      <c r="H2116" s="64"/>
      <c r="I2116" s="78"/>
    </row>
    <row r="2117" spans="1:9" ht="30">
      <c r="A2117" s="74"/>
      <c r="B2117" s="80" t="s">
        <v>894</v>
      </c>
      <c r="C2117" s="81" t="s">
        <v>1648</v>
      </c>
      <c r="D2117" s="74" t="s">
        <v>7</v>
      </c>
      <c r="E2117" s="78">
        <v>1</v>
      </c>
      <c r="F2117" s="64">
        <f>TRUNC(41.6843,2)</f>
        <v>41.68</v>
      </c>
      <c r="G2117" s="64">
        <f>TRUNC(E2117*F2117,2)</f>
        <v>41.68</v>
      </c>
      <c r="H2117" s="64"/>
      <c r="I2117" s="78"/>
    </row>
    <row r="2118" spans="1:9" ht="30">
      <c r="A2118" s="74"/>
      <c r="B2118" s="80" t="s">
        <v>882</v>
      </c>
      <c r="C2118" s="81" t="s">
        <v>1644</v>
      </c>
      <c r="D2118" s="74" t="s">
        <v>7</v>
      </c>
      <c r="E2118" s="78">
        <v>1</v>
      </c>
      <c r="F2118" s="64">
        <f>TRUNC(8.46892,2)</f>
        <v>8.4600000000000009</v>
      </c>
      <c r="G2118" s="64">
        <f>TRUNC(E2118*F2118,2)</f>
        <v>8.4600000000000009</v>
      </c>
      <c r="H2118" s="64"/>
      <c r="I2118" s="78"/>
    </row>
    <row r="2119" spans="1:9" ht="15">
      <c r="A2119" s="74"/>
      <c r="B2119" s="80"/>
      <c r="C2119" s="81"/>
      <c r="D2119" s="74"/>
      <c r="E2119" s="78" t="s">
        <v>33</v>
      </c>
      <c r="F2119" s="64"/>
      <c r="G2119" s="64">
        <f>TRUNC(SUM(G2117:G2118),2)</f>
        <v>50.14</v>
      </c>
      <c r="H2119" s="64"/>
      <c r="I2119" s="78"/>
    </row>
    <row r="2120" spans="1:9" ht="30">
      <c r="A2120" s="68" t="s">
        <v>862</v>
      </c>
      <c r="B2120" s="98" t="s">
        <v>895</v>
      </c>
      <c r="C2120" s="23" t="s">
        <v>896</v>
      </c>
      <c r="D2120" s="68" t="s">
        <v>7</v>
      </c>
      <c r="E2120" s="24">
        <v>105</v>
      </c>
      <c r="F2120" s="24">
        <f>TRUNC(F2121,2)</f>
        <v>29.65</v>
      </c>
      <c r="G2120" s="24">
        <f>TRUNC(F2120*1.2882,2)</f>
        <v>38.19</v>
      </c>
      <c r="H2120" s="24">
        <f>TRUNC(F2120*E2120,2)</f>
        <v>3113.25</v>
      </c>
      <c r="I2120" s="24">
        <f>TRUNC(E2120*G2120,2)</f>
        <v>4009.95</v>
      </c>
    </row>
    <row r="2121" spans="1:9" ht="30">
      <c r="A2121" s="74"/>
      <c r="B2121" s="80" t="s">
        <v>895</v>
      </c>
      <c r="C2121" s="81" t="s">
        <v>896</v>
      </c>
      <c r="D2121" s="74" t="s">
        <v>7</v>
      </c>
      <c r="E2121" s="78">
        <v>1</v>
      </c>
      <c r="F2121" s="64">
        <f>G2124</f>
        <v>29.65</v>
      </c>
      <c r="G2121" s="64">
        <f>TRUNC(E2121*F2121,2)</f>
        <v>29.65</v>
      </c>
      <c r="H2121" s="64"/>
      <c r="I2121" s="78"/>
    </row>
    <row r="2122" spans="1:9" ht="30">
      <c r="A2122" s="74"/>
      <c r="B2122" s="80" t="s">
        <v>897</v>
      </c>
      <c r="C2122" s="81" t="s">
        <v>1649</v>
      </c>
      <c r="D2122" s="74" t="s">
        <v>7</v>
      </c>
      <c r="E2122" s="78">
        <v>1</v>
      </c>
      <c r="F2122" s="64">
        <f>TRUNC(21.19695,2)</f>
        <v>21.19</v>
      </c>
      <c r="G2122" s="64">
        <f>TRUNC(E2122*F2122,2)</f>
        <v>21.19</v>
      </c>
      <c r="H2122" s="64"/>
      <c r="I2122" s="78"/>
    </row>
    <row r="2123" spans="1:9" ht="30">
      <c r="A2123" s="74"/>
      <c r="B2123" s="80" t="s">
        <v>882</v>
      </c>
      <c r="C2123" s="81" t="s">
        <v>1644</v>
      </c>
      <c r="D2123" s="74" t="s">
        <v>7</v>
      </c>
      <c r="E2123" s="78">
        <v>1</v>
      </c>
      <c r="F2123" s="64">
        <f>TRUNC(8.46892,2)</f>
        <v>8.4600000000000009</v>
      </c>
      <c r="G2123" s="64">
        <f>TRUNC(E2123*F2123,2)</f>
        <v>8.4600000000000009</v>
      </c>
      <c r="H2123" s="64"/>
      <c r="I2123" s="78"/>
    </row>
    <row r="2124" spans="1:9" ht="15">
      <c r="A2124" s="74"/>
      <c r="B2124" s="80"/>
      <c r="C2124" s="81"/>
      <c r="D2124" s="74"/>
      <c r="E2124" s="78" t="s">
        <v>33</v>
      </c>
      <c r="F2124" s="64"/>
      <c r="G2124" s="64">
        <f>TRUNC(SUM(G2122:G2123),2)</f>
        <v>29.65</v>
      </c>
      <c r="H2124" s="64"/>
      <c r="I2124" s="78"/>
    </row>
    <row r="2125" spans="1:9" ht="30">
      <c r="A2125" s="68" t="s">
        <v>863</v>
      </c>
      <c r="B2125" s="98" t="s">
        <v>898</v>
      </c>
      <c r="C2125" s="23" t="s">
        <v>899</v>
      </c>
      <c r="D2125" s="68" t="s">
        <v>7</v>
      </c>
      <c r="E2125" s="24">
        <v>4</v>
      </c>
      <c r="F2125" s="24">
        <f>TRUNC(F2126,2)</f>
        <v>32.01</v>
      </c>
      <c r="G2125" s="24">
        <f>TRUNC(F2125*1.2882,2)</f>
        <v>41.23</v>
      </c>
      <c r="H2125" s="24">
        <f>TRUNC(F2125*E2125,2)</f>
        <v>128.04</v>
      </c>
      <c r="I2125" s="24">
        <f>TRUNC(E2125*G2125,2)</f>
        <v>164.92</v>
      </c>
    </row>
    <row r="2126" spans="1:9" ht="30">
      <c r="A2126" s="74"/>
      <c r="B2126" s="80" t="s">
        <v>898</v>
      </c>
      <c r="C2126" s="81" t="s">
        <v>899</v>
      </c>
      <c r="D2126" s="74" t="s">
        <v>7</v>
      </c>
      <c r="E2126" s="78">
        <v>1</v>
      </c>
      <c r="F2126" s="64">
        <f>G2129</f>
        <v>32.01</v>
      </c>
      <c r="G2126" s="64">
        <f>TRUNC(E2126*F2126,2)</f>
        <v>32.01</v>
      </c>
      <c r="H2126" s="64"/>
      <c r="I2126" s="78"/>
    </row>
    <row r="2127" spans="1:9" ht="30">
      <c r="A2127" s="74"/>
      <c r="B2127" s="80" t="s">
        <v>900</v>
      </c>
      <c r="C2127" s="81" t="s">
        <v>1650</v>
      </c>
      <c r="D2127" s="74" t="s">
        <v>7</v>
      </c>
      <c r="E2127" s="78">
        <v>1</v>
      </c>
      <c r="F2127" s="64">
        <f>TRUNC(23.55695,2)</f>
        <v>23.55</v>
      </c>
      <c r="G2127" s="64">
        <f>TRUNC(E2127*F2127,2)</f>
        <v>23.55</v>
      </c>
      <c r="H2127" s="64"/>
      <c r="I2127" s="78"/>
    </row>
    <row r="2128" spans="1:9" ht="30">
      <c r="A2128" s="74"/>
      <c r="B2128" s="80" t="s">
        <v>882</v>
      </c>
      <c r="C2128" s="81" t="s">
        <v>1644</v>
      </c>
      <c r="D2128" s="74" t="s">
        <v>7</v>
      </c>
      <c r="E2128" s="78">
        <v>1</v>
      </c>
      <c r="F2128" s="64">
        <f>TRUNC(8.46892,2)</f>
        <v>8.4600000000000009</v>
      </c>
      <c r="G2128" s="64">
        <f>TRUNC(E2128*F2128,2)</f>
        <v>8.4600000000000009</v>
      </c>
      <c r="H2128" s="64"/>
      <c r="I2128" s="78"/>
    </row>
    <row r="2129" spans="1:9" ht="15">
      <c r="A2129" s="74"/>
      <c r="B2129" s="80"/>
      <c r="C2129" s="81"/>
      <c r="D2129" s="74"/>
      <c r="E2129" s="78" t="s">
        <v>33</v>
      </c>
      <c r="F2129" s="64"/>
      <c r="G2129" s="64">
        <f>TRUNC(SUM(G2127:G2128),2)</f>
        <v>32.01</v>
      </c>
      <c r="H2129" s="64"/>
      <c r="I2129" s="78"/>
    </row>
    <row r="2130" spans="1:9" ht="30">
      <c r="A2130" s="68" t="s">
        <v>864</v>
      </c>
      <c r="B2130" s="98" t="s">
        <v>901</v>
      </c>
      <c r="C2130" s="23" t="s">
        <v>902</v>
      </c>
      <c r="D2130" s="68" t="s">
        <v>7</v>
      </c>
      <c r="E2130" s="24">
        <v>13</v>
      </c>
      <c r="F2130" s="24">
        <f>TRUNC(F2131,2)</f>
        <v>43.67</v>
      </c>
      <c r="G2130" s="24">
        <f>TRUNC(F2130*1.2882,2)</f>
        <v>56.25</v>
      </c>
      <c r="H2130" s="24">
        <f>TRUNC(F2130*E2130,2)</f>
        <v>567.71</v>
      </c>
      <c r="I2130" s="24">
        <f>TRUNC(E2130*G2130,2)</f>
        <v>731.25</v>
      </c>
    </row>
    <row r="2131" spans="1:9" ht="30">
      <c r="A2131" s="74"/>
      <c r="B2131" s="80" t="s">
        <v>901</v>
      </c>
      <c r="C2131" s="81" t="s">
        <v>902</v>
      </c>
      <c r="D2131" s="74" t="s">
        <v>7</v>
      </c>
      <c r="E2131" s="78">
        <v>1</v>
      </c>
      <c r="F2131" s="64">
        <f>TRUNC(43.67,2)</f>
        <v>43.67</v>
      </c>
      <c r="G2131" s="64">
        <f>TRUNC(E2131*F2131,2)</f>
        <v>43.67</v>
      </c>
      <c r="H2131" s="64"/>
      <c r="I2131" s="78"/>
    </row>
    <row r="2132" spans="1:9" ht="30">
      <c r="A2132" s="74"/>
      <c r="B2132" s="80" t="s">
        <v>903</v>
      </c>
      <c r="C2132" s="81" t="s">
        <v>1651</v>
      </c>
      <c r="D2132" s="74" t="s">
        <v>7</v>
      </c>
      <c r="E2132" s="78">
        <v>1</v>
      </c>
      <c r="F2132" s="64">
        <f>TRUNC(37.74752,2)</f>
        <v>37.74</v>
      </c>
      <c r="G2132" s="64">
        <f>TRUNC(E2132*F2132,2)</f>
        <v>37.74</v>
      </c>
      <c r="H2132" s="64"/>
      <c r="I2132" s="78"/>
    </row>
    <row r="2133" spans="1:9" ht="30">
      <c r="A2133" s="74"/>
      <c r="B2133" s="80" t="s">
        <v>882</v>
      </c>
      <c r="C2133" s="81" t="s">
        <v>1644</v>
      </c>
      <c r="D2133" s="74" t="s">
        <v>7</v>
      </c>
      <c r="E2133" s="78">
        <v>1</v>
      </c>
      <c r="F2133" s="64">
        <f>TRUNC(8.46892,2)</f>
        <v>8.4600000000000009</v>
      </c>
      <c r="G2133" s="64">
        <f>TRUNC(E2133*F2133,2)</f>
        <v>8.4600000000000009</v>
      </c>
      <c r="H2133" s="64"/>
      <c r="I2133" s="78"/>
    </row>
    <row r="2134" spans="1:9" ht="15">
      <c r="A2134" s="74"/>
      <c r="B2134" s="80"/>
      <c r="C2134" s="81"/>
      <c r="D2134" s="74"/>
      <c r="E2134" s="78" t="s">
        <v>33</v>
      </c>
      <c r="F2134" s="64"/>
      <c r="G2134" s="64">
        <f>TRUNC(SUM(G2132:G2133),2)</f>
        <v>46.2</v>
      </c>
      <c r="H2134" s="64"/>
      <c r="I2134" s="78"/>
    </row>
    <row r="2135" spans="1:9" ht="30">
      <c r="A2135" s="68" t="s">
        <v>865</v>
      </c>
      <c r="B2135" s="98" t="s">
        <v>904</v>
      </c>
      <c r="C2135" s="23" t="s">
        <v>905</v>
      </c>
      <c r="D2135" s="68" t="s">
        <v>7</v>
      </c>
      <c r="E2135" s="24">
        <v>20</v>
      </c>
      <c r="F2135" s="24">
        <f>TRUNC(F2136,2)</f>
        <v>12.44</v>
      </c>
      <c r="G2135" s="24">
        <f>TRUNC(F2135*1.2882,2)</f>
        <v>16.02</v>
      </c>
      <c r="H2135" s="24">
        <f>TRUNC(F2135*E2135,2)</f>
        <v>248.8</v>
      </c>
      <c r="I2135" s="24">
        <f>TRUNC(E2135*G2135,2)</f>
        <v>320.39999999999998</v>
      </c>
    </row>
    <row r="2136" spans="1:9" ht="30">
      <c r="A2136" s="74"/>
      <c r="B2136" s="80" t="s">
        <v>904</v>
      </c>
      <c r="C2136" s="81" t="s">
        <v>905</v>
      </c>
      <c r="D2136" s="74" t="s">
        <v>7</v>
      </c>
      <c r="E2136" s="78">
        <v>1</v>
      </c>
      <c r="F2136" s="64">
        <f>TRUNC(12.446937,2)</f>
        <v>12.44</v>
      </c>
      <c r="G2136" s="64">
        <f>TRUNC(E2136*F2136,2)</f>
        <v>12.44</v>
      </c>
      <c r="H2136" s="64"/>
      <c r="I2136" s="78"/>
    </row>
    <row r="2137" spans="1:9" ht="15">
      <c r="A2137" s="74"/>
      <c r="B2137" s="80" t="s">
        <v>906</v>
      </c>
      <c r="C2137" s="81" t="s">
        <v>907</v>
      </c>
      <c r="D2137" s="74" t="s">
        <v>7</v>
      </c>
      <c r="E2137" s="78">
        <v>1</v>
      </c>
      <c r="F2137" s="64">
        <v>8.5399999999999991</v>
      </c>
      <c r="G2137" s="64">
        <f>TRUNC(E2137*F2137,2)</f>
        <v>8.5399999999999991</v>
      </c>
      <c r="H2137" s="64"/>
      <c r="I2137" s="78"/>
    </row>
    <row r="2138" spans="1:9" ht="30">
      <c r="A2138" s="74"/>
      <c r="B2138" s="80" t="s">
        <v>908</v>
      </c>
      <c r="C2138" s="81" t="s">
        <v>909</v>
      </c>
      <c r="D2138" s="74" t="s">
        <v>7</v>
      </c>
      <c r="E2138" s="78">
        <v>1</v>
      </c>
      <c r="F2138" s="64">
        <v>1.25</v>
      </c>
      <c r="G2138" s="64">
        <f>TRUNC(E2138*F2138,2)</f>
        <v>1.25</v>
      </c>
      <c r="H2138" s="64"/>
      <c r="I2138" s="78"/>
    </row>
    <row r="2139" spans="1:9" ht="15">
      <c r="A2139" s="74"/>
      <c r="B2139" s="80" t="s">
        <v>125</v>
      </c>
      <c r="C2139" s="81" t="s">
        <v>126</v>
      </c>
      <c r="D2139" s="74" t="s">
        <v>51</v>
      </c>
      <c r="E2139" s="78">
        <v>6.6299999999999998E-2</v>
      </c>
      <c r="F2139" s="64">
        <f>TRUNC(29.83,2)</f>
        <v>29.83</v>
      </c>
      <c r="G2139" s="64">
        <f>TRUNC(E2139*F2139,2)</f>
        <v>1.97</v>
      </c>
      <c r="H2139" s="64"/>
      <c r="I2139" s="78"/>
    </row>
    <row r="2140" spans="1:9" ht="15">
      <c r="A2140" s="74"/>
      <c r="B2140" s="80" t="s">
        <v>910</v>
      </c>
      <c r="C2140" s="81" t="s">
        <v>911</v>
      </c>
      <c r="D2140" s="74" t="s">
        <v>51</v>
      </c>
      <c r="E2140" s="78">
        <v>6.6299999999999998E-2</v>
      </c>
      <c r="F2140" s="64">
        <f>TRUNC(24.54,2)</f>
        <v>24.54</v>
      </c>
      <c r="G2140" s="64">
        <f>TRUNC(E2140*F2140,2)</f>
        <v>1.62</v>
      </c>
      <c r="H2140" s="64"/>
      <c r="I2140" s="78"/>
    </row>
    <row r="2141" spans="1:9" ht="15">
      <c r="A2141" s="74"/>
      <c r="B2141" s="80"/>
      <c r="C2141" s="81"/>
      <c r="D2141" s="74"/>
      <c r="E2141" s="78" t="s">
        <v>33</v>
      </c>
      <c r="F2141" s="64"/>
      <c r="G2141" s="64">
        <f>TRUNC(SUM(G2137:G2140),2)</f>
        <v>13.38</v>
      </c>
      <c r="H2141" s="64"/>
      <c r="I2141" s="78"/>
    </row>
    <row r="2142" spans="1:9" ht="30">
      <c r="A2142" s="68" t="s">
        <v>866</v>
      </c>
      <c r="B2142" s="98" t="s">
        <v>912</v>
      </c>
      <c r="C2142" s="23" t="s">
        <v>913</v>
      </c>
      <c r="D2142" s="68" t="s">
        <v>7</v>
      </c>
      <c r="E2142" s="24">
        <v>3</v>
      </c>
      <c r="F2142" s="24">
        <f>TRUNC(F2143,2)</f>
        <v>13.98</v>
      </c>
      <c r="G2142" s="24">
        <f>TRUNC(F2142*1.2882,2)</f>
        <v>18</v>
      </c>
      <c r="H2142" s="24">
        <f>TRUNC(F2142*E2142,2)</f>
        <v>41.94</v>
      </c>
      <c r="I2142" s="24">
        <f>TRUNC(E2142*G2142,2)</f>
        <v>54</v>
      </c>
    </row>
    <row r="2143" spans="1:9" ht="30">
      <c r="A2143" s="74"/>
      <c r="B2143" s="80" t="s">
        <v>912</v>
      </c>
      <c r="C2143" s="81" t="s">
        <v>913</v>
      </c>
      <c r="D2143" s="74" t="s">
        <v>7</v>
      </c>
      <c r="E2143" s="78">
        <v>1</v>
      </c>
      <c r="F2143" s="64">
        <f>TRUNC(13.986289,2)</f>
        <v>13.98</v>
      </c>
      <c r="G2143" s="64">
        <f>TRUNC(E2143*F2143,2)</f>
        <v>13.98</v>
      </c>
      <c r="H2143" s="64"/>
      <c r="I2143" s="78"/>
    </row>
    <row r="2144" spans="1:9" ht="15">
      <c r="A2144" s="74"/>
      <c r="B2144" s="80" t="s">
        <v>906</v>
      </c>
      <c r="C2144" s="81" t="s">
        <v>907</v>
      </c>
      <c r="D2144" s="74" t="s">
        <v>7</v>
      </c>
      <c r="E2144" s="78">
        <v>1</v>
      </c>
      <c r="F2144" s="64">
        <v>8.5399999999999991</v>
      </c>
      <c r="G2144" s="64">
        <f>TRUNC(E2144*F2144,2)</f>
        <v>8.5399999999999991</v>
      </c>
      <c r="H2144" s="64"/>
      <c r="I2144" s="78"/>
    </row>
    <row r="2145" spans="1:9" ht="30">
      <c r="A2145" s="74"/>
      <c r="B2145" s="80" t="s">
        <v>914</v>
      </c>
      <c r="C2145" s="81" t="s">
        <v>915</v>
      </c>
      <c r="D2145" s="74" t="s">
        <v>7</v>
      </c>
      <c r="E2145" s="78">
        <v>1</v>
      </c>
      <c r="F2145" s="64">
        <v>1.49</v>
      </c>
      <c r="G2145" s="64">
        <f>TRUNC(E2145*F2145,2)</f>
        <v>1.49</v>
      </c>
      <c r="H2145" s="64"/>
      <c r="I2145" s="78"/>
    </row>
    <row r="2146" spans="1:9" ht="15">
      <c r="A2146" s="74"/>
      <c r="B2146" s="80" t="s">
        <v>125</v>
      </c>
      <c r="C2146" s="81" t="s">
        <v>126</v>
      </c>
      <c r="D2146" s="74" t="s">
        <v>51</v>
      </c>
      <c r="E2146" s="78">
        <v>9.11E-2</v>
      </c>
      <c r="F2146" s="64">
        <f>TRUNC(29.83,2)</f>
        <v>29.83</v>
      </c>
      <c r="G2146" s="64">
        <f>TRUNC(E2146*F2146,2)</f>
        <v>2.71</v>
      </c>
      <c r="H2146" s="64"/>
      <c r="I2146" s="78"/>
    </row>
    <row r="2147" spans="1:9" ht="15">
      <c r="A2147" s="74"/>
      <c r="B2147" s="80" t="s">
        <v>910</v>
      </c>
      <c r="C2147" s="81" t="s">
        <v>911</v>
      </c>
      <c r="D2147" s="74" t="s">
        <v>51</v>
      </c>
      <c r="E2147" s="78">
        <v>9.11E-2</v>
      </c>
      <c r="F2147" s="64">
        <f>TRUNC(24.54,2)</f>
        <v>24.54</v>
      </c>
      <c r="G2147" s="64">
        <f>TRUNC(E2147*F2147,2)</f>
        <v>2.23</v>
      </c>
      <c r="H2147" s="64"/>
      <c r="I2147" s="78"/>
    </row>
    <row r="2148" spans="1:9" ht="15">
      <c r="A2148" s="74"/>
      <c r="B2148" s="80"/>
      <c r="C2148" s="81"/>
      <c r="D2148" s="74"/>
      <c r="E2148" s="78" t="s">
        <v>33</v>
      </c>
      <c r="F2148" s="64"/>
      <c r="G2148" s="64">
        <f>TRUNC(SUM(G2144:G2147),2)</f>
        <v>14.97</v>
      </c>
      <c r="H2148" s="64"/>
      <c r="I2148" s="78"/>
    </row>
    <row r="2149" spans="1:9" ht="30">
      <c r="A2149" s="68" t="s">
        <v>867</v>
      </c>
      <c r="B2149" s="98" t="s">
        <v>916</v>
      </c>
      <c r="C2149" s="23" t="s">
        <v>917</v>
      </c>
      <c r="D2149" s="68" t="s">
        <v>7</v>
      </c>
      <c r="E2149" s="24">
        <v>3</v>
      </c>
      <c r="F2149" s="24">
        <f>TRUNC(F2150,2)</f>
        <v>51.16</v>
      </c>
      <c r="G2149" s="24">
        <f>TRUNC(F2149*1.2882,2)</f>
        <v>65.900000000000006</v>
      </c>
      <c r="H2149" s="24">
        <f>TRUNC(F2149*E2149,2)</f>
        <v>153.47999999999999</v>
      </c>
      <c r="I2149" s="24">
        <f>TRUNC(E2149*G2149,2)</f>
        <v>197.7</v>
      </c>
    </row>
    <row r="2150" spans="1:9" ht="30">
      <c r="A2150" s="74"/>
      <c r="B2150" s="80" t="s">
        <v>916</v>
      </c>
      <c r="C2150" s="81" t="s">
        <v>917</v>
      </c>
      <c r="D2150" s="74" t="s">
        <v>7</v>
      </c>
      <c r="E2150" s="78">
        <v>1</v>
      </c>
      <c r="F2150" s="64">
        <f>TRUNC(51.169448,2)</f>
        <v>51.16</v>
      </c>
      <c r="G2150" s="64">
        <f>TRUNC(E2150*F2150,2)</f>
        <v>51.16</v>
      </c>
      <c r="H2150" s="64"/>
      <c r="I2150" s="78"/>
    </row>
    <row r="2151" spans="1:9" ht="15">
      <c r="A2151" s="74"/>
      <c r="B2151" s="80" t="s">
        <v>918</v>
      </c>
      <c r="C2151" s="81" t="s">
        <v>919</v>
      </c>
      <c r="D2151" s="74" t="s">
        <v>7</v>
      </c>
      <c r="E2151" s="78">
        <v>1</v>
      </c>
      <c r="F2151" s="64">
        <v>48.95</v>
      </c>
      <c r="G2151" s="64">
        <f>TRUNC(E2151*F2151,2)</f>
        <v>48.95</v>
      </c>
      <c r="H2151" s="64"/>
      <c r="I2151" s="78"/>
    </row>
    <row r="2152" spans="1:9" ht="30">
      <c r="A2152" s="74"/>
      <c r="B2152" s="80" t="s">
        <v>920</v>
      </c>
      <c r="C2152" s="81" t="s">
        <v>921</v>
      </c>
      <c r="D2152" s="74" t="s">
        <v>7</v>
      </c>
      <c r="E2152" s="78">
        <v>2</v>
      </c>
      <c r="F2152" s="64">
        <v>0.96</v>
      </c>
      <c r="G2152" s="64">
        <f>TRUNC(E2152*F2152,2)</f>
        <v>1.92</v>
      </c>
      <c r="H2152" s="64"/>
      <c r="I2152" s="78"/>
    </row>
    <row r="2153" spans="1:9" ht="15">
      <c r="A2153" s="74"/>
      <c r="B2153" s="80" t="s">
        <v>125</v>
      </c>
      <c r="C2153" s="81" t="s">
        <v>126</v>
      </c>
      <c r="D2153" s="74" t="s">
        <v>51</v>
      </c>
      <c r="E2153" s="78">
        <v>9.5200000000000007E-2</v>
      </c>
      <c r="F2153" s="64">
        <f>TRUNC(29.83,2)</f>
        <v>29.83</v>
      </c>
      <c r="G2153" s="64">
        <f>TRUNC(E2153*F2153,2)</f>
        <v>2.83</v>
      </c>
      <c r="H2153" s="64"/>
      <c r="I2153" s="78"/>
    </row>
    <row r="2154" spans="1:9" ht="15">
      <c r="A2154" s="74"/>
      <c r="B2154" s="80" t="s">
        <v>910</v>
      </c>
      <c r="C2154" s="81" t="s">
        <v>911</v>
      </c>
      <c r="D2154" s="74" t="s">
        <v>51</v>
      </c>
      <c r="E2154" s="78">
        <v>9.5200000000000007E-2</v>
      </c>
      <c r="F2154" s="64">
        <f>TRUNC(24.54,2)</f>
        <v>24.54</v>
      </c>
      <c r="G2154" s="64">
        <f>TRUNC(E2154*F2154,2)</f>
        <v>2.33</v>
      </c>
      <c r="H2154" s="64"/>
      <c r="I2154" s="78"/>
    </row>
    <row r="2155" spans="1:9" ht="15">
      <c r="A2155" s="74"/>
      <c r="B2155" s="80"/>
      <c r="C2155" s="81"/>
      <c r="D2155" s="74"/>
      <c r="E2155" s="78" t="s">
        <v>33</v>
      </c>
      <c r="F2155" s="64"/>
      <c r="G2155" s="64">
        <f>TRUNC(SUM(G2151:G2154),2)</f>
        <v>56.03</v>
      </c>
      <c r="H2155" s="64"/>
      <c r="I2155" s="78"/>
    </row>
    <row r="2156" spans="1:9" ht="30">
      <c r="A2156" s="68" t="s">
        <v>868</v>
      </c>
      <c r="B2156" s="98" t="s">
        <v>922</v>
      </c>
      <c r="C2156" s="23" t="s">
        <v>923</v>
      </c>
      <c r="D2156" s="68" t="s">
        <v>7</v>
      </c>
      <c r="E2156" s="24">
        <v>10</v>
      </c>
      <c r="F2156" s="24">
        <f>TRUNC(F2157,2)</f>
        <v>53.7</v>
      </c>
      <c r="G2156" s="24">
        <f>TRUNC(F2156*1.2882,2)</f>
        <v>69.17</v>
      </c>
      <c r="H2156" s="24">
        <f>TRUNC(F2156*E2156,2)</f>
        <v>537</v>
      </c>
      <c r="I2156" s="24">
        <f>TRUNC(E2156*G2156,2)</f>
        <v>691.7</v>
      </c>
    </row>
    <row r="2157" spans="1:9" ht="30">
      <c r="A2157" s="74"/>
      <c r="B2157" s="80" t="s">
        <v>922</v>
      </c>
      <c r="C2157" s="81" t="s">
        <v>923</v>
      </c>
      <c r="D2157" s="74" t="s">
        <v>7</v>
      </c>
      <c r="E2157" s="78">
        <v>1</v>
      </c>
      <c r="F2157" s="64">
        <f>TRUNC(53.708675,2)</f>
        <v>53.7</v>
      </c>
      <c r="G2157" s="64">
        <f>TRUNC(E2157*F2157,2)</f>
        <v>53.7</v>
      </c>
      <c r="H2157" s="64"/>
      <c r="I2157" s="78"/>
    </row>
    <row r="2158" spans="1:9" ht="15">
      <c r="A2158" s="74"/>
      <c r="B2158" s="80" t="s">
        <v>918</v>
      </c>
      <c r="C2158" s="81" t="s">
        <v>919</v>
      </c>
      <c r="D2158" s="74" t="s">
        <v>7</v>
      </c>
      <c r="E2158" s="78">
        <v>1</v>
      </c>
      <c r="F2158" s="64">
        <v>48.95</v>
      </c>
      <c r="G2158" s="64">
        <f>TRUNC(E2158*F2158,2)</f>
        <v>48.95</v>
      </c>
      <c r="H2158" s="64"/>
      <c r="I2158" s="78"/>
    </row>
    <row r="2159" spans="1:9" ht="30">
      <c r="A2159" s="74"/>
      <c r="B2159" s="80" t="s">
        <v>908</v>
      </c>
      <c r="C2159" s="81" t="s">
        <v>909</v>
      </c>
      <c r="D2159" s="74" t="s">
        <v>7</v>
      </c>
      <c r="E2159" s="78">
        <v>2</v>
      </c>
      <c r="F2159" s="64">
        <v>1.25</v>
      </c>
      <c r="G2159" s="64">
        <f>TRUNC(E2159*F2159,2)</f>
        <v>2.5</v>
      </c>
      <c r="H2159" s="64"/>
      <c r="I2159" s="78"/>
    </row>
    <row r="2160" spans="1:9" ht="15">
      <c r="A2160" s="74"/>
      <c r="B2160" s="80" t="s">
        <v>125</v>
      </c>
      <c r="C2160" s="81" t="s">
        <v>126</v>
      </c>
      <c r="D2160" s="74" t="s">
        <v>51</v>
      </c>
      <c r="E2160" s="78">
        <v>0.13250000000000001</v>
      </c>
      <c r="F2160" s="64">
        <f>TRUNC(29.83,2)</f>
        <v>29.83</v>
      </c>
      <c r="G2160" s="64">
        <f>TRUNC(E2160*F2160,2)</f>
        <v>3.95</v>
      </c>
      <c r="H2160" s="64"/>
      <c r="I2160" s="78"/>
    </row>
    <row r="2161" spans="1:9" ht="15">
      <c r="A2161" s="74"/>
      <c r="B2161" s="80" t="s">
        <v>910</v>
      </c>
      <c r="C2161" s="81" t="s">
        <v>911</v>
      </c>
      <c r="D2161" s="74" t="s">
        <v>51</v>
      </c>
      <c r="E2161" s="78">
        <v>0.13250000000000001</v>
      </c>
      <c r="F2161" s="64">
        <f>TRUNC(24.54,2)</f>
        <v>24.54</v>
      </c>
      <c r="G2161" s="64">
        <f>TRUNC(E2161*F2161,2)</f>
        <v>3.25</v>
      </c>
      <c r="H2161" s="64"/>
      <c r="I2161" s="78"/>
    </row>
    <row r="2162" spans="1:9" ht="15">
      <c r="A2162" s="74"/>
      <c r="B2162" s="80"/>
      <c r="C2162" s="81"/>
      <c r="D2162" s="74"/>
      <c r="E2162" s="78" t="s">
        <v>33</v>
      </c>
      <c r="F2162" s="64"/>
      <c r="G2162" s="64">
        <f>TRUNC(SUM(G2158:G2161),2)</f>
        <v>58.65</v>
      </c>
      <c r="H2162" s="64"/>
      <c r="I2162" s="78"/>
    </row>
    <row r="2163" spans="1:9" ht="30">
      <c r="A2163" s="68" t="s">
        <v>869</v>
      </c>
      <c r="B2163" s="98" t="s">
        <v>924</v>
      </c>
      <c r="C2163" s="23" t="s">
        <v>925</v>
      </c>
      <c r="D2163" s="68" t="s">
        <v>7</v>
      </c>
      <c r="E2163" s="24">
        <v>4</v>
      </c>
      <c r="F2163" s="24">
        <f>TRUNC(F2164,2)</f>
        <v>73.02</v>
      </c>
      <c r="G2163" s="24">
        <f>TRUNC(F2163*1.2882,2)</f>
        <v>94.06</v>
      </c>
      <c r="H2163" s="24">
        <f>TRUNC(F2163*E2163,2)</f>
        <v>292.08</v>
      </c>
      <c r="I2163" s="24">
        <f>TRUNC(E2163*G2163,2)</f>
        <v>376.24</v>
      </c>
    </row>
    <row r="2164" spans="1:9" ht="30">
      <c r="A2164" s="74"/>
      <c r="B2164" s="80" t="s">
        <v>924</v>
      </c>
      <c r="C2164" s="81" t="s">
        <v>925</v>
      </c>
      <c r="D2164" s="74" t="s">
        <v>7</v>
      </c>
      <c r="E2164" s="78">
        <v>1</v>
      </c>
      <c r="F2164" s="64">
        <f>TRUNC(73.024066,2)</f>
        <v>73.02</v>
      </c>
      <c r="G2164" s="64">
        <f>TRUNC(E2164*F2164,2)</f>
        <v>73.02</v>
      </c>
      <c r="H2164" s="64"/>
      <c r="I2164" s="78"/>
    </row>
    <row r="2165" spans="1:9" ht="15">
      <c r="A2165" s="74"/>
      <c r="B2165" s="80" t="s">
        <v>926</v>
      </c>
      <c r="C2165" s="81" t="s">
        <v>927</v>
      </c>
      <c r="D2165" s="74" t="s">
        <v>7</v>
      </c>
      <c r="E2165" s="78">
        <v>1</v>
      </c>
      <c r="F2165" s="64">
        <v>59.97</v>
      </c>
      <c r="G2165" s="64">
        <f>TRUNC(E2165*F2165,2)</f>
        <v>59.97</v>
      </c>
      <c r="H2165" s="64"/>
      <c r="I2165" s="78"/>
    </row>
    <row r="2166" spans="1:9" ht="30">
      <c r="A2166" s="74"/>
      <c r="B2166" s="80" t="s">
        <v>914</v>
      </c>
      <c r="C2166" s="81" t="s">
        <v>915</v>
      </c>
      <c r="D2166" s="74" t="s">
        <v>7</v>
      </c>
      <c r="E2166" s="78">
        <v>3</v>
      </c>
      <c r="F2166" s="64">
        <v>1.49</v>
      </c>
      <c r="G2166" s="64">
        <f>TRUNC(E2166*F2166,2)</f>
        <v>4.47</v>
      </c>
      <c r="H2166" s="64"/>
      <c r="I2166" s="78"/>
    </row>
    <row r="2167" spans="1:9" ht="15">
      <c r="A2167" s="74"/>
      <c r="B2167" s="80" t="s">
        <v>125</v>
      </c>
      <c r="C2167" s="81" t="s">
        <v>126</v>
      </c>
      <c r="D2167" s="74" t="s">
        <v>51</v>
      </c>
      <c r="E2167" s="78">
        <v>0.27339999999999998</v>
      </c>
      <c r="F2167" s="64">
        <f>TRUNC(29.83,2)</f>
        <v>29.83</v>
      </c>
      <c r="G2167" s="64">
        <f>TRUNC(E2167*F2167,2)</f>
        <v>8.15</v>
      </c>
      <c r="H2167" s="64"/>
      <c r="I2167" s="78"/>
    </row>
    <row r="2168" spans="1:9" ht="15">
      <c r="A2168" s="74"/>
      <c r="B2168" s="80" t="s">
        <v>910</v>
      </c>
      <c r="C2168" s="81" t="s">
        <v>911</v>
      </c>
      <c r="D2168" s="74" t="s">
        <v>51</v>
      </c>
      <c r="E2168" s="78">
        <v>0.27339999999999998</v>
      </c>
      <c r="F2168" s="64">
        <f>TRUNC(24.54,2)</f>
        <v>24.54</v>
      </c>
      <c r="G2168" s="64">
        <f>TRUNC(E2168*F2168,2)</f>
        <v>6.7</v>
      </c>
      <c r="H2168" s="64"/>
      <c r="I2168" s="78"/>
    </row>
    <row r="2169" spans="1:9" ht="15">
      <c r="A2169" s="74"/>
      <c r="B2169" s="80"/>
      <c r="C2169" s="81"/>
      <c r="D2169" s="74"/>
      <c r="E2169" s="78" t="s">
        <v>33</v>
      </c>
      <c r="F2169" s="64"/>
      <c r="G2169" s="64">
        <f>TRUNC(SUM(G2165:G2168),2)</f>
        <v>79.290000000000006</v>
      </c>
      <c r="H2169" s="64"/>
      <c r="I2169" s="78"/>
    </row>
    <row r="2170" spans="1:9" ht="30">
      <c r="A2170" s="68" t="s">
        <v>870</v>
      </c>
      <c r="B2170" s="98" t="s">
        <v>928</v>
      </c>
      <c r="C2170" s="23" t="s">
        <v>929</v>
      </c>
      <c r="D2170" s="68" t="s">
        <v>7</v>
      </c>
      <c r="E2170" s="24">
        <v>2</v>
      </c>
      <c r="F2170" s="24">
        <f>TRUNC(F2171,2)</f>
        <v>80.260000000000005</v>
      </c>
      <c r="G2170" s="24">
        <f>TRUNC(F2170*1.2882,2)</f>
        <v>103.39</v>
      </c>
      <c r="H2170" s="24">
        <f>TRUNC(F2170*E2170,2)</f>
        <v>160.52000000000001</v>
      </c>
      <c r="I2170" s="24">
        <f>TRUNC(E2170*G2170,2)</f>
        <v>206.78</v>
      </c>
    </row>
    <row r="2171" spans="1:9" ht="30">
      <c r="A2171" s="74"/>
      <c r="B2171" s="80" t="s">
        <v>928</v>
      </c>
      <c r="C2171" s="81" t="s">
        <v>929</v>
      </c>
      <c r="D2171" s="74" t="s">
        <v>7</v>
      </c>
      <c r="E2171" s="78">
        <v>1</v>
      </c>
      <c r="F2171" s="64">
        <f>TRUNC(80.262343,2)</f>
        <v>80.260000000000005</v>
      </c>
      <c r="G2171" s="64">
        <f>TRUNC(E2171*F2171,2)</f>
        <v>80.260000000000005</v>
      </c>
      <c r="H2171" s="64"/>
      <c r="I2171" s="78"/>
    </row>
    <row r="2172" spans="1:9" ht="15">
      <c r="A2172" s="74"/>
      <c r="B2172" s="80" t="s">
        <v>926</v>
      </c>
      <c r="C2172" s="81" t="s">
        <v>927</v>
      </c>
      <c r="D2172" s="74" t="s">
        <v>7</v>
      </c>
      <c r="E2172" s="78">
        <v>1</v>
      </c>
      <c r="F2172" s="64">
        <v>59.97</v>
      </c>
      <c r="G2172" s="64">
        <f>TRUNC(E2172*F2172,2)</f>
        <v>59.97</v>
      </c>
      <c r="H2172" s="64"/>
      <c r="I2172" s="78"/>
    </row>
    <row r="2173" spans="1:9" ht="30">
      <c r="A2173" s="74"/>
      <c r="B2173" s="80" t="s">
        <v>930</v>
      </c>
      <c r="C2173" s="81" t="s">
        <v>931</v>
      </c>
      <c r="D2173" s="74" t="s">
        <v>7</v>
      </c>
      <c r="E2173" s="78">
        <v>3</v>
      </c>
      <c r="F2173" s="64">
        <v>1.61</v>
      </c>
      <c r="G2173" s="64">
        <f>TRUNC(E2173*F2173,2)</f>
        <v>4.83</v>
      </c>
      <c r="H2173" s="64"/>
      <c r="I2173" s="78"/>
    </row>
    <row r="2174" spans="1:9" ht="15">
      <c r="A2174" s="74"/>
      <c r="B2174" s="80" t="s">
        <v>125</v>
      </c>
      <c r="C2174" s="81" t="s">
        <v>126</v>
      </c>
      <c r="D2174" s="74" t="s">
        <v>51</v>
      </c>
      <c r="E2174" s="78">
        <v>0.40570000000000001</v>
      </c>
      <c r="F2174" s="64">
        <f>TRUNC(29.83,2)</f>
        <v>29.83</v>
      </c>
      <c r="G2174" s="64">
        <f>TRUNC(E2174*F2174,2)</f>
        <v>12.1</v>
      </c>
      <c r="H2174" s="64"/>
      <c r="I2174" s="78"/>
    </row>
    <row r="2175" spans="1:9" ht="15">
      <c r="A2175" s="74"/>
      <c r="B2175" s="80" t="s">
        <v>910</v>
      </c>
      <c r="C2175" s="81" t="s">
        <v>911</v>
      </c>
      <c r="D2175" s="74" t="s">
        <v>51</v>
      </c>
      <c r="E2175" s="78">
        <v>0.40570000000000001</v>
      </c>
      <c r="F2175" s="64">
        <f>TRUNC(24.54,2)</f>
        <v>24.54</v>
      </c>
      <c r="G2175" s="64">
        <f>TRUNC(E2175*F2175,2)</f>
        <v>9.9499999999999993</v>
      </c>
      <c r="H2175" s="64"/>
      <c r="I2175" s="78"/>
    </row>
    <row r="2176" spans="1:9" ht="15">
      <c r="A2176" s="74"/>
      <c r="B2176" s="80"/>
      <c r="C2176" s="81"/>
      <c r="D2176" s="74"/>
      <c r="E2176" s="78" t="s">
        <v>33</v>
      </c>
      <c r="F2176" s="64"/>
      <c r="G2176" s="64">
        <f>TRUNC(SUM(G2172:G2175),2)</f>
        <v>86.85</v>
      </c>
      <c r="H2176" s="64"/>
      <c r="I2176" s="78"/>
    </row>
    <row r="2177" spans="1:9" ht="30">
      <c r="A2177" s="68" t="s">
        <v>871</v>
      </c>
      <c r="B2177" s="98" t="s">
        <v>932</v>
      </c>
      <c r="C2177" s="23" t="s">
        <v>933</v>
      </c>
      <c r="D2177" s="68" t="s">
        <v>7</v>
      </c>
      <c r="E2177" s="24">
        <v>2</v>
      </c>
      <c r="F2177" s="24">
        <f>TRUNC(F2178,2)</f>
        <v>51.7</v>
      </c>
      <c r="G2177" s="24">
        <f>TRUNC(F2177*1.2882,2)</f>
        <v>66.59</v>
      </c>
      <c r="H2177" s="24">
        <f>TRUNC(F2177*E2177,2)</f>
        <v>103.4</v>
      </c>
      <c r="I2177" s="24">
        <f>TRUNC(E2177*G2177,2)</f>
        <v>133.18</v>
      </c>
    </row>
    <row r="2178" spans="1:9" ht="30">
      <c r="A2178" s="74"/>
      <c r="B2178" s="80" t="s">
        <v>932</v>
      </c>
      <c r="C2178" s="81" t="s">
        <v>933</v>
      </c>
      <c r="D2178" s="74" t="s">
        <v>7</v>
      </c>
      <c r="E2178" s="78">
        <v>1</v>
      </c>
      <c r="F2178" s="64">
        <f>TRUNC(51.7029,2)</f>
        <v>51.7</v>
      </c>
      <c r="G2178" s="64">
        <f>TRUNC(E2178*F2178,2)</f>
        <v>51.7</v>
      </c>
      <c r="H2178" s="64"/>
      <c r="I2178" s="78"/>
    </row>
    <row r="2179" spans="1:9" ht="15">
      <c r="A2179" s="74"/>
      <c r="B2179" s="80" t="s">
        <v>934</v>
      </c>
      <c r="C2179" s="81" t="s">
        <v>935</v>
      </c>
      <c r="D2179" s="74" t="s">
        <v>7</v>
      </c>
      <c r="E2179" s="78">
        <v>1</v>
      </c>
      <c r="F2179" s="64">
        <v>45.98</v>
      </c>
      <c r="G2179" s="64">
        <f>TRUNC(E2179*F2179,2)</f>
        <v>45.98</v>
      </c>
      <c r="H2179" s="64"/>
      <c r="I2179" s="78"/>
    </row>
    <row r="2180" spans="1:9" ht="30">
      <c r="A2180" s="74"/>
      <c r="B2180" s="80" t="s">
        <v>49</v>
      </c>
      <c r="C2180" s="81" t="s">
        <v>50</v>
      </c>
      <c r="D2180" s="74" t="s">
        <v>51</v>
      </c>
      <c r="E2180" s="78">
        <v>0.1545</v>
      </c>
      <c r="F2180" s="64">
        <f>TRUNC(15.2,2)</f>
        <v>15.2</v>
      </c>
      <c r="G2180" s="64">
        <f>TRUNC(E2180*F2180,2)</f>
        <v>2.34</v>
      </c>
      <c r="H2180" s="64"/>
      <c r="I2180" s="78"/>
    </row>
    <row r="2181" spans="1:9" ht="30">
      <c r="A2181" s="74"/>
      <c r="B2181" s="80" t="s">
        <v>133</v>
      </c>
      <c r="C2181" s="81" t="s">
        <v>134</v>
      </c>
      <c r="D2181" s="74" t="s">
        <v>51</v>
      </c>
      <c r="E2181" s="78">
        <v>0.1545</v>
      </c>
      <c r="F2181" s="64">
        <f>TRUNC(21,2)</f>
        <v>21</v>
      </c>
      <c r="G2181" s="64">
        <f>TRUNC(E2181*F2181,2)</f>
        <v>3.24</v>
      </c>
      <c r="H2181" s="64"/>
      <c r="I2181" s="78"/>
    </row>
    <row r="2182" spans="1:9" ht="15">
      <c r="A2182" s="74"/>
      <c r="B2182" s="80"/>
      <c r="C2182" s="81"/>
      <c r="D2182" s="74"/>
      <c r="E2182" s="78" t="s">
        <v>33</v>
      </c>
      <c r="F2182" s="64"/>
      <c r="G2182" s="64">
        <f>TRUNC(SUM(G2179:G2181),2)</f>
        <v>51.56</v>
      </c>
      <c r="H2182" s="64"/>
      <c r="I2182" s="78"/>
    </row>
    <row r="2183" spans="1:9" ht="30">
      <c r="A2183" s="68" t="s">
        <v>872</v>
      </c>
      <c r="B2183" s="98" t="s">
        <v>936</v>
      </c>
      <c r="C2183" s="23" t="s">
        <v>937</v>
      </c>
      <c r="D2183" s="68" t="s">
        <v>7</v>
      </c>
      <c r="E2183" s="24">
        <v>1</v>
      </c>
      <c r="F2183" s="24">
        <f>TRUNC(F2184,2)</f>
        <v>139.97999999999999</v>
      </c>
      <c r="G2183" s="24">
        <f>TRUNC(F2183*1.2882,2)</f>
        <v>180.32</v>
      </c>
      <c r="H2183" s="24">
        <f>TRUNC(F2183*E2183,2)</f>
        <v>139.97999999999999</v>
      </c>
      <c r="I2183" s="24">
        <f>TRUNC(E2183*G2183,2)</f>
        <v>180.32</v>
      </c>
    </row>
    <row r="2184" spans="1:9" ht="30">
      <c r="A2184" s="74"/>
      <c r="B2184" s="80" t="s">
        <v>936</v>
      </c>
      <c r="C2184" s="81" t="s">
        <v>937</v>
      </c>
      <c r="D2184" s="74" t="s">
        <v>7</v>
      </c>
      <c r="E2184" s="78">
        <v>1</v>
      </c>
      <c r="F2184" s="64">
        <f>TRUNC(139.9829,2)</f>
        <v>139.97999999999999</v>
      </c>
      <c r="G2184" s="64">
        <f>TRUNC(E2184*F2184,2)</f>
        <v>139.97999999999999</v>
      </c>
      <c r="H2184" s="64"/>
      <c r="I2184" s="78"/>
    </row>
    <row r="2185" spans="1:9" ht="15">
      <c r="A2185" s="74"/>
      <c r="B2185" s="80" t="s">
        <v>938</v>
      </c>
      <c r="C2185" s="81" t="s">
        <v>939</v>
      </c>
      <c r="D2185" s="74" t="s">
        <v>7</v>
      </c>
      <c r="E2185" s="78">
        <v>1</v>
      </c>
      <c r="F2185" s="64">
        <v>139.86000000000001</v>
      </c>
      <c r="G2185" s="64">
        <f>TRUNC(E2185*F2185,2)</f>
        <v>139.86000000000001</v>
      </c>
      <c r="H2185" s="64"/>
      <c r="I2185" s="78"/>
    </row>
    <row r="2186" spans="1:9" ht="30">
      <c r="A2186" s="74"/>
      <c r="B2186" s="80" t="s">
        <v>49</v>
      </c>
      <c r="C2186" s="81" t="s">
        <v>50</v>
      </c>
      <c r="D2186" s="74" t="s">
        <v>51</v>
      </c>
      <c r="E2186" s="78">
        <v>0.1545</v>
      </c>
      <c r="F2186" s="64">
        <f>TRUNC(15.2,2)</f>
        <v>15.2</v>
      </c>
      <c r="G2186" s="64">
        <f>TRUNC(E2186*F2186,2)</f>
        <v>2.34</v>
      </c>
      <c r="H2186" s="64"/>
      <c r="I2186" s="78"/>
    </row>
    <row r="2187" spans="1:9" ht="30">
      <c r="A2187" s="74"/>
      <c r="B2187" s="80" t="s">
        <v>133</v>
      </c>
      <c r="C2187" s="81" t="s">
        <v>134</v>
      </c>
      <c r="D2187" s="74" t="s">
        <v>51</v>
      </c>
      <c r="E2187" s="78">
        <v>0.1545</v>
      </c>
      <c r="F2187" s="64">
        <f>TRUNC(21,2)</f>
        <v>21</v>
      </c>
      <c r="G2187" s="64">
        <f>TRUNC(E2187*F2187,2)</f>
        <v>3.24</v>
      </c>
      <c r="H2187" s="64"/>
      <c r="I2187" s="78"/>
    </row>
    <row r="2188" spans="1:9" ht="15">
      <c r="A2188" s="74"/>
      <c r="B2188" s="80"/>
      <c r="C2188" s="81"/>
      <c r="D2188" s="74"/>
      <c r="E2188" s="78" t="s">
        <v>33</v>
      </c>
      <c r="F2188" s="64"/>
      <c r="G2188" s="64">
        <f>TRUNC(SUM(G2185:G2187),2)</f>
        <v>145.44</v>
      </c>
      <c r="H2188" s="64"/>
      <c r="I2188" s="78"/>
    </row>
    <row r="2189" spans="1:9" ht="60">
      <c r="A2189" s="68" t="s">
        <v>873</v>
      </c>
      <c r="B2189" s="98" t="s">
        <v>957</v>
      </c>
      <c r="C2189" s="23" t="s">
        <v>958</v>
      </c>
      <c r="D2189" s="68" t="s">
        <v>7</v>
      </c>
      <c r="E2189" s="24">
        <v>2</v>
      </c>
      <c r="F2189" s="24">
        <f>TRUNC(F2190,2)</f>
        <v>91.13</v>
      </c>
      <c r="G2189" s="24">
        <f>TRUNC(F2189*1.2882,2)</f>
        <v>117.39</v>
      </c>
      <c r="H2189" s="24">
        <f>TRUNC(F2189*E2189,2)</f>
        <v>182.26</v>
      </c>
      <c r="I2189" s="24">
        <f>TRUNC(E2189*G2189,2)</f>
        <v>234.78</v>
      </c>
    </row>
    <row r="2190" spans="1:9" ht="60">
      <c r="A2190" s="74"/>
      <c r="B2190" s="80" t="s">
        <v>954</v>
      </c>
      <c r="C2190" s="81" t="s">
        <v>955</v>
      </c>
      <c r="D2190" s="74" t="s">
        <v>7</v>
      </c>
      <c r="E2190" s="78">
        <v>1</v>
      </c>
      <c r="F2190" s="64">
        <f>TRUNC(91.138975,2)</f>
        <v>91.13</v>
      </c>
      <c r="G2190" s="64">
        <f>TRUNC(E2190*F2190,2)</f>
        <v>91.13</v>
      </c>
      <c r="H2190" s="64"/>
      <c r="I2190" s="78"/>
    </row>
    <row r="2191" spans="1:9" s="169" customFormat="1" ht="31.5">
      <c r="A2191" s="256"/>
      <c r="B2191" s="257"/>
      <c r="C2191" s="258" t="s">
        <v>956</v>
      </c>
      <c r="D2191" s="256" t="s">
        <v>7</v>
      </c>
      <c r="E2191" s="259">
        <v>1</v>
      </c>
      <c r="F2191" s="260">
        <f>TRUNC(85.08,2)</f>
        <v>85.08</v>
      </c>
      <c r="G2191" s="260">
        <f>TRUNC(E2191*F2191,2)</f>
        <v>85.08</v>
      </c>
      <c r="H2191" s="260"/>
      <c r="I2191" s="259"/>
    </row>
    <row r="2192" spans="1:9" ht="30">
      <c r="A2192" s="74"/>
      <c r="B2192" s="80" t="s">
        <v>49</v>
      </c>
      <c r="C2192" s="81" t="s">
        <v>50</v>
      </c>
      <c r="D2192" s="74" t="s">
        <v>51</v>
      </c>
      <c r="E2192" s="78">
        <v>0.16737500000000002</v>
      </c>
      <c r="F2192" s="64">
        <f>TRUNC(15.2,2)</f>
        <v>15.2</v>
      </c>
      <c r="G2192" s="64">
        <f>TRUNC(E2192*F2192,2)</f>
        <v>2.54</v>
      </c>
      <c r="H2192" s="64"/>
      <c r="I2192" s="78"/>
    </row>
    <row r="2193" spans="1:9" ht="30">
      <c r="A2193" s="74"/>
      <c r="B2193" s="80" t="s">
        <v>133</v>
      </c>
      <c r="C2193" s="81" t="s">
        <v>134</v>
      </c>
      <c r="D2193" s="74" t="s">
        <v>51</v>
      </c>
      <c r="E2193" s="78">
        <v>0.16737500000000002</v>
      </c>
      <c r="F2193" s="64">
        <f>TRUNC(21,2)</f>
        <v>21</v>
      </c>
      <c r="G2193" s="64">
        <f>TRUNC(E2193*F2193,2)</f>
        <v>3.51</v>
      </c>
      <c r="H2193" s="64"/>
      <c r="I2193" s="78"/>
    </row>
    <row r="2194" spans="1:9" ht="15">
      <c r="A2194" s="74"/>
      <c r="B2194" s="80"/>
      <c r="C2194" s="81"/>
      <c r="D2194" s="74"/>
      <c r="E2194" s="78" t="s">
        <v>33</v>
      </c>
      <c r="F2194" s="64"/>
      <c r="G2194" s="64">
        <f>TRUNC(SUM(G2191:G2193),2)</f>
        <v>91.13</v>
      </c>
      <c r="H2194" s="64"/>
      <c r="I2194" s="78"/>
    </row>
    <row r="2195" spans="1:9" ht="60">
      <c r="A2195" s="68" t="s">
        <v>874</v>
      </c>
      <c r="B2195" s="98" t="s">
        <v>946</v>
      </c>
      <c r="C2195" s="23" t="s">
        <v>947</v>
      </c>
      <c r="D2195" s="68" t="s">
        <v>7</v>
      </c>
      <c r="E2195" s="24">
        <v>1</v>
      </c>
      <c r="F2195" s="24">
        <f>TRUNC(F2196,2)</f>
        <v>112.27</v>
      </c>
      <c r="G2195" s="24">
        <f>TRUNC(F2195*1.2882,2)</f>
        <v>144.62</v>
      </c>
      <c r="H2195" s="24">
        <f>TRUNC(F2195*E2195,2)</f>
        <v>112.27</v>
      </c>
      <c r="I2195" s="24">
        <f>TRUNC(E2195*G2195,2)</f>
        <v>144.62</v>
      </c>
    </row>
    <row r="2196" spans="1:9" ht="60">
      <c r="A2196" s="74"/>
      <c r="B2196" s="80" t="s">
        <v>946</v>
      </c>
      <c r="C2196" s="81" t="s">
        <v>947</v>
      </c>
      <c r="D2196" s="74" t="s">
        <v>7</v>
      </c>
      <c r="E2196" s="78">
        <v>1</v>
      </c>
      <c r="F2196" s="64">
        <f>G2200</f>
        <v>112.27</v>
      </c>
      <c r="G2196" s="64">
        <f>TRUNC(E2196*F2196,2)</f>
        <v>112.27</v>
      </c>
      <c r="H2196" s="64"/>
      <c r="I2196" s="78"/>
    </row>
    <row r="2197" spans="1:9" ht="30">
      <c r="A2197" s="74"/>
      <c r="B2197" s="80" t="s">
        <v>948</v>
      </c>
      <c r="C2197" s="81" t="s">
        <v>949</v>
      </c>
      <c r="D2197" s="74" t="s">
        <v>7</v>
      </c>
      <c r="E2197" s="78">
        <v>1</v>
      </c>
      <c r="F2197" s="64">
        <v>106.22</v>
      </c>
      <c r="G2197" s="64">
        <f>TRUNC(E2197*F2197,2)</f>
        <v>106.22</v>
      </c>
      <c r="H2197" s="64"/>
      <c r="I2197" s="78"/>
    </row>
    <row r="2198" spans="1:9" ht="30">
      <c r="A2198" s="74"/>
      <c r="B2198" s="80" t="s">
        <v>49</v>
      </c>
      <c r="C2198" s="81" t="s">
        <v>50</v>
      </c>
      <c r="D2198" s="74" t="s">
        <v>51</v>
      </c>
      <c r="E2198" s="78">
        <v>0.16737500000000002</v>
      </c>
      <c r="F2198" s="64">
        <f>TRUNC(15.2,2)</f>
        <v>15.2</v>
      </c>
      <c r="G2198" s="64">
        <f>TRUNC(E2198*F2198,2)</f>
        <v>2.54</v>
      </c>
      <c r="H2198" s="64"/>
      <c r="I2198" s="78"/>
    </row>
    <row r="2199" spans="1:9" ht="30">
      <c r="A2199" s="74"/>
      <c r="B2199" s="80" t="s">
        <v>133</v>
      </c>
      <c r="C2199" s="81" t="s">
        <v>134</v>
      </c>
      <c r="D2199" s="74" t="s">
        <v>51</v>
      </c>
      <c r="E2199" s="78">
        <v>0.16737500000000002</v>
      </c>
      <c r="F2199" s="64">
        <f>TRUNC(21,2)</f>
        <v>21</v>
      </c>
      <c r="G2199" s="64">
        <f>TRUNC(E2199*F2199,2)</f>
        <v>3.51</v>
      </c>
      <c r="H2199" s="64"/>
      <c r="I2199" s="78"/>
    </row>
    <row r="2200" spans="1:9" ht="15">
      <c r="A2200" s="74"/>
      <c r="B2200" s="80"/>
      <c r="C2200" s="81"/>
      <c r="D2200" s="74"/>
      <c r="E2200" s="78" t="s">
        <v>33</v>
      </c>
      <c r="F2200" s="64"/>
      <c r="G2200" s="64">
        <f>TRUNC(SUM(G2197:G2199),2)</f>
        <v>112.27</v>
      </c>
      <c r="H2200" s="64"/>
      <c r="I2200" s="78"/>
    </row>
    <row r="2201" spans="1:9" ht="60">
      <c r="A2201" s="68" t="s">
        <v>875</v>
      </c>
      <c r="B2201" s="98" t="s">
        <v>950</v>
      </c>
      <c r="C2201" s="23" t="s">
        <v>951</v>
      </c>
      <c r="D2201" s="68" t="s">
        <v>7</v>
      </c>
      <c r="E2201" s="24">
        <v>1</v>
      </c>
      <c r="F2201" s="24">
        <f>TRUNC(F2202,2)</f>
        <v>141.38</v>
      </c>
      <c r="G2201" s="24">
        <f>TRUNC(F2201*1.2882,2)</f>
        <v>182.12</v>
      </c>
      <c r="H2201" s="24">
        <f>TRUNC(F2201*E2201,2)</f>
        <v>141.38</v>
      </c>
      <c r="I2201" s="24">
        <f>TRUNC(E2201*G2201,2)</f>
        <v>182.12</v>
      </c>
    </row>
    <row r="2202" spans="1:9" ht="60">
      <c r="A2202" s="74"/>
      <c r="B2202" s="80" t="s">
        <v>950</v>
      </c>
      <c r="C2202" s="81" t="s">
        <v>951</v>
      </c>
      <c r="D2202" s="74" t="s">
        <v>7</v>
      </c>
      <c r="E2202" s="78">
        <v>1</v>
      </c>
      <c r="F2202" s="64">
        <f>G2206</f>
        <v>141.38</v>
      </c>
      <c r="G2202" s="64">
        <f>TRUNC(E2202*F2202,2)</f>
        <v>141.38</v>
      </c>
      <c r="H2202" s="64"/>
      <c r="I2202" s="78"/>
    </row>
    <row r="2203" spans="1:9" ht="30">
      <c r="A2203" s="74"/>
      <c r="B2203" s="80" t="s">
        <v>952</v>
      </c>
      <c r="C2203" s="81" t="s">
        <v>953</v>
      </c>
      <c r="D2203" s="74" t="s">
        <v>7</v>
      </c>
      <c r="E2203" s="78">
        <v>1</v>
      </c>
      <c r="F2203" s="64">
        <v>135.33000000000001</v>
      </c>
      <c r="G2203" s="64">
        <f>TRUNC(E2203*F2203,2)</f>
        <v>135.33000000000001</v>
      </c>
      <c r="H2203" s="64"/>
      <c r="I2203" s="78"/>
    </row>
    <row r="2204" spans="1:9" ht="30">
      <c r="A2204" s="74"/>
      <c r="B2204" s="80" t="s">
        <v>49</v>
      </c>
      <c r="C2204" s="81" t="s">
        <v>50</v>
      </c>
      <c r="D2204" s="74" t="s">
        <v>51</v>
      </c>
      <c r="E2204" s="78">
        <v>0.16737500000000002</v>
      </c>
      <c r="F2204" s="64">
        <f>TRUNC(15.2,2)</f>
        <v>15.2</v>
      </c>
      <c r="G2204" s="64">
        <f>TRUNC(E2204*F2204,2)</f>
        <v>2.54</v>
      </c>
      <c r="H2204" s="64"/>
      <c r="I2204" s="78"/>
    </row>
    <row r="2205" spans="1:9" ht="30">
      <c r="A2205" s="74"/>
      <c r="B2205" s="80" t="s">
        <v>133</v>
      </c>
      <c r="C2205" s="81" t="s">
        <v>134</v>
      </c>
      <c r="D2205" s="74" t="s">
        <v>51</v>
      </c>
      <c r="E2205" s="78">
        <v>0.16737500000000002</v>
      </c>
      <c r="F2205" s="64">
        <f>TRUNC(21,2)</f>
        <v>21</v>
      </c>
      <c r="G2205" s="64">
        <f>TRUNC(E2205*F2205,2)</f>
        <v>3.51</v>
      </c>
      <c r="H2205" s="64"/>
      <c r="I2205" s="78"/>
    </row>
    <row r="2206" spans="1:9" ht="15">
      <c r="A2206" s="74"/>
      <c r="B2206" s="80"/>
      <c r="C2206" s="81"/>
      <c r="D2206" s="74"/>
      <c r="E2206" s="78" t="s">
        <v>33</v>
      </c>
      <c r="F2206" s="64"/>
      <c r="G2206" s="64">
        <f>TRUNC(SUM(G2203:G2205),2)</f>
        <v>141.38</v>
      </c>
      <c r="H2206" s="64"/>
      <c r="I2206" s="78"/>
    </row>
    <row r="2207" spans="1:9" ht="30">
      <c r="A2207" s="68" t="s">
        <v>876</v>
      </c>
      <c r="B2207" s="98" t="s">
        <v>959</v>
      </c>
      <c r="C2207" s="23" t="s">
        <v>960</v>
      </c>
      <c r="D2207" s="68" t="s">
        <v>7</v>
      </c>
      <c r="E2207" s="24">
        <v>4</v>
      </c>
      <c r="F2207" s="24">
        <f>TRUNC(F2208,2)</f>
        <v>341.26</v>
      </c>
      <c r="G2207" s="24">
        <f>TRUNC(F2207*1.2882,2)</f>
        <v>439.61</v>
      </c>
      <c r="H2207" s="24">
        <f>TRUNC(F2207*E2207,2)</f>
        <v>1365.04</v>
      </c>
      <c r="I2207" s="24">
        <f>TRUNC(E2207*G2207,2)</f>
        <v>1758.44</v>
      </c>
    </row>
    <row r="2208" spans="1:9" ht="30">
      <c r="A2208" s="74"/>
      <c r="B2208" s="80" t="s">
        <v>959</v>
      </c>
      <c r="C2208" s="81" t="s">
        <v>960</v>
      </c>
      <c r="D2208" s="74" t="s">
        <v>7</v>
      </c>
      <c r="E2208" s="78">
        <v>1</v>
      </c>
      <c r="F2208" s="64">
        <f>G2212</f>
        <v>341.26</v>
      </c>
      <c r="G2208" s="64">
        <f>TRUNC(E2208*F2208,2)</f>
        <v>341.26</v>
      </c>
      <c r="H2208" s="64"/>
      <c r="I2208" s="78"/>
    </row>
    <row r="2209" spans="1:9" ht="15">
      <c r="A2209" s="74"/>
      <c r="B2209" s="80" t="s">
        <v>961</v>
      </c>
      <c r="C2209" s="81" t="s">
        <v>962</v>
      </c>
      <c r="D2209" s="74" t="s">
        <v>7</v>
      </c>
      <c r="E2209" s="78">
        <v>1</v>
      </c>
      <c r="F2209" s="64">
        <v>335.68</v>
      </c>
      <c r="G2209" s="64">
        <f>TRUNC(E2209*F2209,2)</f>
        <v>335.68</v>
      </c>
      <c r="H2209" s="64"/>
      <c r="I2209" s="78"/>
    </row>
    <row r="2210" spans="1:9" ht="30">
      <c r="A2210" s="74"/>
      <c r="B2210" s="80" t="s">
        <v>49</v>
      </c>
      <c r="C2210" s="81" t="s">
        <v>50</v>
      </c>
      <c r="D2210" s="74" t="s">
        <v>51</v>
      </c>
      <c r="E2210" s="78">
        <v>0.1545</v>
      </c>
      <c r="F2210" s="64">
        <f>TRUNC(15.2,2)</f>
        <v>15.2</v>
      </c>
      <c r="G2210" s="64">
        <f>TRUNC(E2210*F2210,2)</f>
        <v>2.34</v>
      </c>
      <c r="H2210" s="64"/>
      <c r="I2210" s="78"/>
    </row>
    <row r="2211" spans="1:9" ht="30">
      <c r="A2211" s="74"/>
      <c r="B2211" s="80" t="s">
        <v>133</v>
      </c>
      <c r="C2211" s="81" t="s">
        <v>134</v>
      </c>
      <c r="D2211" s="74" t="s">
        <v>51</v>
      </c>
      <c r="E2211" s="78">
        <v>0.1545</v>
      </c>
      <c r="F2211" s="64">
        <f>TRUNC(21,2)</f>
        <v>21</v>
      </c>
      <c r="G2211" s="64">
        <f>TRUNC(E2211*F2211,2)</f>
        <v>3.24</v>
      </c>
      <c r="H2211" s="64"/>
      <c r="I2211" s="78"/>
    </row>
    <row r="2212" spans="1:9" ht="15">
      <c r="A2212" s="74"/>
      <c r="B2212" s="80"/>
      <c r="C2212" s="81"/>
      <c r="D2212" s="74"/>
      <c r="E2212" s="78" t="s">
        <v>33</v>
      </c>
      <c r="F2212" s="64"/>
      <c r="G2212" s="64">
        <f>TRUNC(SUM(G2209:G2211),2)</f>
        <v>341.26</v>
      </c>
      <c r="H2212" s="64"/>
      <c r="I2212" s="78"/>
    </row>
    <row r="2213" spans="1:9" ht="60">
      <c r="A2213" s="68" t="s">
        <v>877</v>
      </c>
      <c r="B2213" s="98" t="s">
        <v>963</v>
      </c>
      <c r="C2213" s="23" t="s">
        <v>964</v>
      </c>
      <c r="D2213" s="68" t="s">
        <v>7</v>
      </c>
      <c r="E2213" s="24">
        <v>4</v>
      </c>
      <c r="F2213" s="24">
        <f>TRUNC(F2214,2)</f>
        <v>453.29</v>
      </c>
      <c r="G2213" s="24">
        <f>TRUNC(F2213*1.2882,2)</f>
        <v>583.91999999999996</v>
      </c>
      <c r="H2213" s="24">
        <f>TRUNC(F2213*E2213,2)</f>
        <v>1813.16</v>
      </c>
      <c r="I2213" s="24">
        <f>TRUNC(E2213*G2213,2)</f>
        <v>2335.6799999999998</v>
      </c>
    </row>
    <row r="2214" spans="1:9" ht="60">
      <c r="A2214" s="74"/>
      <c r="B2214" s="80" t="s">
        <v>963</v>
      </c>
      <c r="C2214" s="81" t="s">
        <v>964</v>
      </c>
      <c r="D2214" s="74" t="s">
        <v>7</v>
      </c>
      <c r="E2214" s="78">
        <v>1</v>
      </c>
      <c r="F2214" s="64">
        <f>G2218</f>
        <v>453.29</v>
      </c>
      <c r="G2214" s="64">
        <f>TRUNC(E2214*F2214,2)</f>
        <v>453.29</v>
      </c>
      <c r="H2214" s="64"/>
      <c r="I2214" s="78"/>
    </row>
    <row r="2215" spans="1:9" ht="30">
      <c r="A2215" s="74"/>
      <c r="B2215" s="80" t="s">
        <v>965</v>
      </c>
      <c r="C2215" s="81" t="s">
        <v>966</v>
      </c>
      <c r="D2215" s="74" t="s">
        <v>7</v>
      </c>
      <c r="E2215" s="78">
        <v>1</v>
      </c>
      <c r="F2215" s="64">
        <v>341.44</v>
      </c>
      <c r="G2215" s="64">
        <f>TRUNC(E2215*F2215,2)</f>
        <v>341.44</v>
      </c>
      <c r="H2215" s="64"/>
      <c r="I2215" s="78"/>
    </row>
    <row r="2216" spans="1:9" ht="30">
      <c r="A2216" s="74"/>
      <c r="B2216" s="80" t="s">
        <v>49</v>
      </c>
      <c r="C2216" s="81" t="s">
        <v>50</v>
      </c>
      <c r="D2216" s="74" t="s">
        <v>51</v>
      </c>
      <c r="E2216" s="78">
        <v>3.09</v>
      </c>
      <c r="F2216" s="64">
        <f>TRUNC(15.2,2)</f>
        <v>15.2</v>
      </c>
      <c r="G2216" s="64">
        <f>TRUNC(E2216*F2216,2)</f>
        <v>46.96</v>
      </c>
      <c r="H2216" s="64"/>
      <c r="I2216" s="78"/>
    </row>
    <row r="2217" spans="1:9" ht="30">
      <c r="A2217" s="74"/>
      <c r="B2217" s="80" t="s">
        <v>133</v>
      </c>
      <c r="C2217" s="81" t="s">
        <v>134</v>
      </c>
      <c r="D2217" s="74" t="s">
        <v>51</v>
      </c>
      <c r="E2217" s="78">
        <v>3.09</v>
      </c>
      <c r="F2217" s="64">
        <f>TRUNC(21,2)</f>
        <v>21</v>
      </c>
      <c r="G2217" s="64">
        <f>TRUNC(E2217*F2217,2)</f>
        <v>64.89</v>
      </c>
      <c r="H2217" s="64"/>
      <c r="I2217" s="78"/>
    </row>
    <row r="2218" spans="1:9" ht="15">
      <c r="A2218" s="74"/>
      <c r="B2218" s="80"/>
      <c r="C2218" s="81"/>
      <c r="D2218" s="74"/>
      <c r="E2218" s="78" t="s">
        <v>33</v>
      </c>
      <c r="F2218" s="64"/>
      <c r="G2218" s="64">
        <f>TRUNC(SUM(G2215:G2217),2)</f>
        <v>453.29</v>
      </c>
      <c r="H2218" s="64"/>
      <c r="I2218" s="78"/>
    </row>
    <row r="2219" spans="1:9" ht="45">
      <c r="A2219" s="68" t="s">
        <v>878</v>
      </c>
      <c r="B2219" s="98" t="s">
        <v>967</v>
      </c>
      <c r="C2219" s="23" t="s">
        <v>968</v>
      </c>
      <c r="D2219" s="68" t="s">
        <v>23</v>
      </c>
      <c r="E2219" s="24">
        <v>80</v>
      </c>
      <c r="F2219" s="24">
        <f>TRUNC(F2220,2)</f>
        <v>39.14</v>
      </c>
      <c r="G2219" s="24">
        <f>TRUNC(F2219*1.2882,2)</f>
        <v>50.42</v>
      </c>
      <c r="H2219" s="24">
        <f>TRUNC(F2219*E2219,2)</f>
        <v>3131.2</v>
      </c>
      <c r="I2219" s="24">
        <f>TRUNC(E2219*G2219,2)</f>
        <v>4033.6</v>
      </c>
    </row>
    <row r="2220" spans="1:9" ht="45">
      <c r="A2220" s="74"/>
      <c r="B2220" s="80" t="s">
        <v>967</v>
      </c>
      <c r="C2220" s="81" t="s">
        <v>968</v>
      </c>
      <c r="D2220" s="74" t="s">
        <v>23</v>
      </c>
      <c r="E2220" s="78">
        <v>1</v>
      </c>
      <c r="F2220" s="64">
        <f>G2225</f>
        <v>39.14</v>
      </c>
      <c r="G2220" s="64">
        <f>TRUNC(E2220*F2220,2)</f>
        <v>39.14</v>
      </c>
      <c r="H2220" s="64"/>
      <c r="I2220" s="78"/>
    </row>
    <row r="2221" spans="1:9" ht="30">
      <c r="A2221" s="74"/>
      <c r="B2221" s="80" t="s">
        <v>969</v>
      </c>
      <c r="C2221" s="81" t="s">
        <v>970</v>
      </c>
      <c r="D2221" s="74" t="s">
        <v>23</v>
      </c>
      <c r="E2221" s="78">
        <v>1</v>
      </c>
      <c r="F2221" s="64">
        <v>31.690799999999999</v>
      </c>
      <c r="G2221" s="64">
        <f>TRUNC(E2221*F2221,2)</f>
        <v>31.69</v>
      </c>
      <c r="H2221" s="64"/>
      <c r="I2221" s="78"/>
    </row>
    <row r="2222" spans="1:9" ht="15">
      <c r="A2222" s="74"/>
      <c r="B2222" s="80" t="s">
        <v>971</v>
      </c>
      <c r="C2222" s="81" t="s">
        <v>972</v>
      </c>
      <c r="D2222" s="74" t="s">
        <v>7</v>
      </c>
      <c r="E2222" s="78">
        <v>1.4E-3</v>
      </c>
      <c r="F2222" s="64">
        <v>6</v>
      </c>
      <c r="G2222" s="64">
        <f>TRUNC(E2222*F2222,2)</f>
        <v>0</v>
      </c>
      <c r="H2222" s="64"/>
      <c r="I2222" s="78"/>
    </row>
    <row r="2223" spans="1:9" ht="30">
      <c r="A2223" s="74"/>
      <c r="B2223" s="80" t="s">
        <v>49</v>
      </c>
      <c r="C2223" s="81" t="s">
        <v>50</v>
      </c>
      <c r="D2223" s="74" t="s">
        <v>51</v>
      </c>
      <c r="E2223" s="78">
        <v>0.20600000000000002</v>
      </c>
      <c r="F2223" s="64">
        <f>TRUNC(15.2,2)</f>
        <v>15.2</v>
      </c>
      <c r="G2223" s="64">
        <f>TRUNC(E2223*F2223,2)</f>
        <v>3.13</v>
      </c>
      <c r="H2223" s="64"/>
      <c r="I2223" s="78"/>
    </row>
    <row r="2224" spans="1:9" ht="30">
      <c r="A2224" s="74"/>
      <c r="B2224" s="80" t="s">
        <v>133</v>
      </c>
      <c r="C2224" s="81" t="s">
        <v>134</v>
      </c>
      <c r="D2224" s="74" t="s">
        <v>51</v>
      </c>
      <c r="E2224" s="78">
        <v>0.20600000000000002</v>
      </c>
      <c r="F2224" s="64">
        <f>TRUNC(21,2)</f>
        <v>21</v>
      </c>
      <c r="G2224" s="64">
        <f>TRUNC(E2224*F2224,2)</f>
        <v>4.32</v>
      </c>
      <c r="H2224" s="64"/>
      <c r="I2224" s="78"/>
    </row>
    <row r="2225" spans="1:9" ht="15">
      <c r="A2225" s="74"/>
      <c r="B2225" s="80"/>
      <c r="C2225" s="81"/>
      <c r="D2225" s="74"/>
      <c r="E2225" s="78" t="s">
        <v>33</v>
      </c>
      <c r="F2225" s="64"/>
      <c r="G2225" s="64">
        <f>TRUNC(SUM(G2221:G2224),2)</f>
        <v>39.14</v>
      </c>
      <c r="H2225" s="64"/>
      <c r="I2225" s="78"/>
    </row>
    <row r="2226" spans="1:9" ht="45">
      <c r="A2226" s="68" t="s">
        <v>940</v>
      </c>
      <c r="B2226" s="98" t="s">
        <v>973</v>
      </c>
      <c r="C2226" s="23" t="s">
        <v>974</v>
      </c>
      <c r="D2226" s="68" t="s">
        <v>23</v>
      </c>
      <c r="E2226" s="24">
        <v>25</v>
      </c>
      <c r="F2226" s="24">
        <f>TRUNC(F2227,2)</f>
        <v>19.29</v>
      </c>
      <c r="G2226" s="24">
        <f>TRUNC(F2226*1.2882,2)</f>
        <v>24.84</v>
      </c>
      <c r="H2226" s="24">
        <f>TRUNC(F2226*E2226,2)</f>
        <v>482.25</v>
      </c>
      <c r="I2226" s="24">
        <f>TRUNC(E2226*G2226,2)</f>
        <v>621</v>
      </c>
    </row>
    <row r="2227" spans="1:9" ht="45">
      <c r="A2227" s="74"/>
      <c r="B2227" s="80" t="s">
        <v>973</v>
      </c>
      <c r="C2227" s="81" t="s">
        <v>974</v>
      </c>
      <c r="D2227" s="74" t="s">
        <v>23</v>
      </c>
      <c r="E2227" s="78">
        <v>1</v>
      </c>
      <c r="F2227" s="64">
        <f>G2232</f>
        <v>19.29</v>
      </c>
      <c r="G2227" s="64">
        <f>TRUNC(E2227*F2227,2)</f>
        <v>19.29</v>
      </c>
      <c r="H2227" s="64"/>
      <c r="I2227" s="78"/>
    </row>
    <row r="2228" spans="1:9" ht="30">
      <c r="A2228" s="74"/>
      <c r="B2228" s="80" t="s">
        <v>975</v>
      </c>
      <c r="C2228" s="81" t="s">
        <v>976</v>
      </c>
      <c r="D2228" s="74" t="s">
        <v>23</v>
      </c>
      <c r="E2228" s="78">
        <v>1</v>
      </c>
      <c r="F2228" s="64">
        <v>15.571899999999999</v>
      </c>
      <c r="G2228" s="64">
        <f>TRUNC(E2228*F2228,2)</f>
        <v>15.57</v>
      </c>
      <c r="H2228" s="64"/>
      <c r="I2228" s="78"/>
    </row>
    <row r="2229" spans="1:9" ht="15">
      <c r="A2229" s="74"/>
      <c r="B2229" s="80" t="s">
        <v>971</v>
      </c>
      <c r="C2229" s="81" t="s">
        <v>972</v>
      </c>
      <c r="D2229" s="74" t="s">
        <v>7</v>
      </c>
      <c r="E2229" s="78">
        <v>1.4E-3</v>
      </c>
      <c r="F2229" s="64">
        <v>6</v>
      </c>
      <c r="G2229" s="64">
        <f>TRUNC(E2229*F2229,2)</f>
        <v>0</v>
      </c>
      <c r="H2229" s="64"/>
      <c r="I2229" s="78"/>
    </row>
    <row r="2230" spans="1:9" ht="30">
      <c r="A2230" s="74"/>
      <c r="B2230" s="80" t="s">
        <v>49</v>
      </c>
      <c r="C2230" s="81" t="s">
        <v>50</v>
      </c>
      <c r="D2230" s="74" t="s">
        <v>51</v>
      </c>
      <c r="E2230" s="78">
        <v>0.10300000000000001</v>
      </c>
      <c r="F2230" s="64">
        <f>TRUNC(15.2,2)</f>
        <v>15.2</v>
      </c>
      <c r="G2230" s="64">
        <f>TRUNC(E2230*F2230,2)</f>
        <v>1.56</v>
      </c>
      <c r="H2230" s="64"/>
      <c r="I2230" s="78"/>
    </row>
    <row r="2231" spans="1:9" ht="30">
      <c r="A2231" s="74"/>
      <c r="B2231" s="80" t="s">
        <v>133</v>
      </c>
      <c r="C2231" s="81" t="s">
        <v>134</v>
      </c>
      <c r="D2231" s="74" t="s">
        <v>51</v>
      </c>
      <c r="E2231" s="78">
        <v>0.10300000000000001</v>
      </c>
      <c r="F2231" s="64">
        <f>TRUNC(21,2)</f>
        <v>21</v>
      </c>
      <c r="G2231" s="64">
        <f>TRUNC(E2231*F2231,2)</f>
        <v>2.16</v>
      </c>
      <c r="H2231" s="64"/>
      <c r="I2231" s="78"/>
    </row>
    <row r="2232" spans="1:9" ht="15">
      <c r="A2232" s="74"/>
      <c r="B2232" s="80"/>
      <c r="C2232" s="81"/>
      <c r="D2232" s="74"/>
      <c r="E2232" s="78" t="s">
        <v>33</v>
      </c>
      <c r="F2232" s="64"/>
      <c r="G2232" s="64">
        <f>TRUNC(SUM(G2228:G2231),2)</f>
        <v>19.29</v>
      </c>
      <c r="H2232" s="64"/>
      <c r="I2232" s="78"/>
    </row>
    <row r="2233" spans="1:9" ht="45">
      <c r="A2233" s="68" t="s">
        <v>941</v>
      </c>
      <c r="B2233" s="98" t="s">
        <v>977</v>
      </c>
      <c r="C2233" s="23" t="s">
        <v>978</v>
      </c>
      <c r="D2233" s="68" t="s">
        <v>23</v>
      </c>
      <c r="E2233" s="24">
        <v>25</v>
      </c>
      <c r="F2233" s="24">
        <f>TRUNC(F2234,2)</f>
        <v>9.48</v>
      </c>
      <c r="G2233" s="24">
        <f>TRUNC(F2233*1.2882,2)</f>
        <v>12.21</v>
      </c>
      <c r="H2233" s="24">
        <f>TRUNC(F2233*E2233,2)</f>
        <v>237</v>
      </c>
      <c r="I2233" s="24">
        <f>TRUNC(E2233*G2233,2)</f>
        <v>305.25</v>
      </c>
    </row>
    <row r="2234" spans="1:9" ht="45">
      <c r="A2234" s="74"/>
      <c r="B2234" s="80" t="s">
        <v>977</v>
      </c>
      <c r="C2234" s="81" t="s">
        <v>978</v>
      </c>
      <c r="D2234" s="74" t="s">
        <v>23</v>
      </c>
      <c r="E2234" s="78">
        <v>1</v>
      </c>
      <c r="F2234" s="64">
        <f>G2239</f>
        <v>9.48</v>
      </c>
      <c r="G2234" s="64">
        <f>TRUNC(E2234*F2234,2)</f>
        <v>9.48</v>
      </c>
      <c r="H2234" s="64"/>
      <c r="I2234" s="78"/>
    </row>
    <row r="2235" spans="1:9" ht="30">
      <c r="A2235" s="74"/>
      <c r="B2235" s="80" t="s">
        <v>979</v>
      </c>
      <c r="C2235" s="81" t="s">
        <v>980</v>
      </c>
      <c r="D2235" s="74" t="s">
        <v>23</v>
      </c>
      <c r="E2235" s="78">
        <v>1</v>
      </c>
      <c r="F2235" s="64">
        <v>6.5056000000000003</v>
      </c>
      <c r="G2235" s="64">
        <f>TRUNC(E2235*F2235,2)</f>
        <v>6.5</v>
      </c>
      <c r="H2235" s="64"/>
      <c r="I2235" s="78"/>
    </row>
    <row r="2236" spans="1:9" ht="15">
      <c r="A2236" s="74"/>
      <c r="B2236" s="80" t="s">
        <v>971</v>
      </c>
      <c r="C2236" s="81" t="s">
        <v>972</v>
      </c>
      <c r="D2236" s="74" t="s">
        <v>7</v>
      </c>
      <c r="E2236" s="78">
        <v>1.4E-3</v>
      </c>
      <c r="F2236" s="64">
        <v>6</v>
      </c>
      <c r="G2236" s="64">
        <f>TRUNC(E2236*F2236,2)</f>
        <v>0</v>
      </c>
      <c r="H2236" s="64"/>
      <c r="I2236" s="78"/>
    </row>
    <row r="2237" spans="1:9" ht="30">
      <c r="A2237" s="74"/>
      <c r="B2237" s="80" t="s">
        <v>49</v>
      </c>
      <c r="C2237" s="81" t="s">
        <v>50</v>
      </c>
      <c r="D2237" s="74" t="s">
        <v>51</v>
      </c>
      <c r="E2237" s="78">
        <v>8.2400000000000001E-2</v>
      </c>
      <c r="F2237" s="64">
        <f>TRUNC(15.2,2)</f>
        <v>15.2</v>
      </c>
      <c r="G2237" s="64">
        <f>TRUNC(E2237*F2237,2)</f>
        <v>1.25</v>
      </c>
      <c r="H2237" s="64"/>
      <c r="I2237" s="78"/>
    </row>
    <row r="2238" spans="1:9" ht="30">
      <c r="A2238" s="74"/>
      <c r="B2238" s="80" t="s">
        <v>133</v>
      </c>
      <c r="C2238" s="81" t="s">
        <v>134</v>
      </c>
      <c r="D2238" s="74" t="s">
        <v>51</v>
      </c>
      <c r="E2238" s="78">
        <v>8.2400000000000001E-2</v>
      </c>
      <c r="F2238" s="64">
        <f>TRUNC(21,2)</f>
        <v>21</v>
      </c>
      <c r="G2238" s="64">
        <f>TRUNC(E2238*F2238,2)</f>
        <v>1.73</v>
      </c>
      <c r="H2238" s="64"/>
      <c r="I2238" s="78"/>
    </row>
    <row r="2239" spans="1:9" ht="15">
      <c r="A2239" s="74"/>
      <c r="B2239" s="80"/>
      <c r="C2239" s="81"/>
      <c r="D2239" s="74"/>
      <c r="E2239" s="78" t="s">
        <v>33</v>
      </c>
      <c r="F2239" s="64"/>
      <c r="G2239" s="64">
        <f>TRUNC(SUM(G2235:G2238),2)</f>
        <v>9.48</v>
      </c>
      <c r="H2239" s="64"/>
      <c r="I2239" s="78"/>
    </row>
    <row r="2240" spans="1:9" ht="45">
      <c r="A2240" s="68" t="s">
        <v>942</v>
      </c>
      <c r="B2240" s="98" t="s">
        <v>981</v>
      </c>
      <c r="C2240" s="23" t="s">
        <v>982</v>
      </c>
      <c r="D2240" s="68" t="s">
        <v>23</v>
      </c>
      <c r="E2240" s="24">
        <v>100</v>
      </c>
      <c r="F2240" s="24">
        <f>TRUNC(F2241,2)</f>
        <v>6.36</v>
      </c>
      <c r="G2240" s="24">
        <f>TRUNC(F2240*1.2882,2)</f>
        <v>8.19</v>
      </c>
      <c r="H2240" s="24">
        <f>TRUNC(F2240*E2240,2)</f>
        <v>636</v>
      </c>
      <c r="I2240" s="24">
        <f>TRUNC(E2240*G2240,2)</f>
        <v>819</v>
      </c>
    </row>
    <row r="2241" spans="1:9" ht="45">
      <c r="A2241" s="74"/>
      <c r="B2241" s="80" t="s">
        <v>981</v>
      </c>
      <c r="C2241" s="81" t="s">
        <v>982</v>
      </c>
      <c r="D2241" s="74" t="s">
        <v>23</v>
      </c>
      <c r="E2241" s="78">
        <v>1</v>
      </c>
      <c r="F2241" s="64">
        <f>G2246</f>
        <v>6.36</v>
      </c>
      <c r="G2241" s="64">
        <f>TRUNC(E2241*F2241,2)</f>
        <v>6.36</v>
      </c>
      <c r="H2241" s="64"/>
      <c r="I2241" s="78"/>
    </row>
    <row r="2242" spans="1:9" ht="30">
      <c r="A2242" s="74"/>
      <c r="B2242" s="80" t="s">
        <v>983</v>
      </c>
      <c r="C2242" s="81" t="s">
        <v>984</v>
      </c>
      <c r="D2242" s="74" t="s">
        <v>23</v>
      </c>
      <c r="E2242" s="78">
        <v>1</v>
      </c>
      <c r="F2242" s="64">
        <v>3.7606999999999999</v>
      </c>
      <c r="G2242" s="64">
        <f>TRUNC(E2242*F2242,2)</f>
        <v>3.76</v>
      </c>
      <c r="H2242" s="64"/>
      <c r="I2242" s="78"/>
    </row>
    <row r="2243" spans="1:9" ht="15">
      <c r="A2243" s="74"/>
      <c r="B2243" s="80" t="s">
        <v>971</v>
      </c>
      <c r="C2243" s="81" t="s">
        <v>972</v>
      </c>
      <c r="D2243" s="74" t="s">
        <v>7</v>
      </c>
      <c r="E2243" s="78">
        <v>1.4E-3</v>
      </c>
      <c r="F2243" s="64">
        <v>6</v>
      </c>
      <c r="G2243" s="64">
        <f>TRUNC(E2243*F2243,2)</f>
        <v>0</v>
      </c>
      <c r="H2243" s="64"/>
      <c r="I2243" s="78"/>
    </row>
    <row r="2244" spans="1:9" ht="30">
      <c r="A2244" s="74"/>
      <c r="B2244" s="80" t="s">
        <v>49</v>
      </c>
      <c r="C2244" s="81" t="s">
        <v>50</v>
      </c>
      <c r="D2244" s="74" t="s">
        <v>51</v>
      </c>
      <c r="E2244" s="78">
        <v>7.2100000000000011E-2</v>
      </c>
      <c r="F2244" s="64">
        <f>TRUNC(15.2,2)</f>
        <v>15.2</v>
      </c>
      <c r="G2244" s="64">
        <f>TRUNC(E2244*F2244,2)</f>
        <v>1.0900000000000001</v>
      </c>
      <c r="H2244" s="64"/>
      <c r="I2244" s="78"/>
    </row>
    <row r="2245" spans="1:9" ht="30">
      <c r="A2245" s="74"/>
      <c r="B2245" s="80" t="s">
        <v>133</v>
      </c>
      <c r="C2245" s="81" t="s">
        <v>134</v>
      </c>
      <c r="D2245" s="74" t="s">
        <v>51</v>
      </c>
      <c r="E2245" s="78">
        <v>7.2100000000000011E-2</v>
      </c>
      <c r="F2245" s="64">
        <f>TRUNC(21,2)</f>
        <v>21</v>
      </c>
      <c r="G2245" s="64">
        <f>TRUNC(E2245*F2245,2)</f>
        <v>1.51</v>
      </c>
      <c r="H2245" s="64"/>
      <c r="I2245" s="78"/>
    </row>
    <row r="2246" spans="1:9" ht="15">
      <c r="A2246" s="74"/>
      <c r="B2246" s="80"/>
      <c r="C2246" s="81"/>
      <c r="D2246" s="74"/>
      <c r="E2246" s="78" t="s">
        <v>33</v>
      </c>
      <c r="F2246" s="64"/>
      <c r="G2246" s="64">
        <f>TRUNC(SUM(G2242:G2245),2)</f>
        <v>6.36</v>
      </c>
      <c r="H2246" s="64"/>
      <c r="I2246" s="78"/>
    </row>
    <row r="2247" spans="1:9" ht="45">
      <c r="A2247" s="68" t="s">
        <v>943</v>
      </c>
      <c r="B2247" s="98" t="s">
        <v>985</v>
      </c>
      <c r="C2247" s="23" t="s">
        <v>986</v>
      </c>
      <c r="D2247" s="68" t="s">
        <v>23</v>
      </c>
      <c r="E2247" s="24">
        <v>170</v>
      </c>
      <c r="F2247" s="24">
        <f>TRUNC(F2248,2)</f>
        <v>4.8</v>
      </c>
      <c r="G2247" s="24">
        <f>TRUNC(F2247*1.2882,2)</f>
        <v>6.18</v>
      </c>
      <c r="H2247" s="24">
        <f>TRUNC(F2247*E2247,2)</f>
        <v>816</v>
      </c>
      <c r="I2247" s="24">
        <f>TRUNC(E2247*G2247,2)</f>
        <v>1050.5999999999999</v>
      </c>
    </row>
    <row r="2248" spans="1:9" ht="45">
      <c r="A2248" s="74"/>
      <c r="B2248" s="80" t="s">
        <v>985</v>
      </c>
      <c r="C2248" s="81" t="s">
        <v>986</v>
      </c>
      <c r="D2248" s="74" t="s">
        <v>23</v>
      </c>
      <c r="E2248" s="78">
        <v>1</v>
      </c>
      <c r="F2248" s="64">
        <f>G2253</f>
        <v>4.8</v>
      </c>
      <c r="G2248" s="64">
        <f>TRUNC(E2248*F2248,2)</f>
        <v>4.8</v>
      </c>
      <c r="H2248" s="64"/>
      <c r="I2248" s="78"/>
    </row>
    <row r="2249" spans="1:9" ht="30">
      <c r="A2249" s="74"/>
      <c r="B2249" s="80" t="s">
        <v>987</v>
      </c>
      <c r="C2249" s="81" t="s">
        <v>988</v>
      </c>
      <c r="D2249" s="74" t="s">
        <v>23</v>
      </c>
      <c r="E2249" s="78">
        <v>1</v>
      </c>
      <c r="F2249" s="64">
        <v>2.5411999999999999</v>
      </c>
      <c r="G2249" s="64">
        <f>TRUNC(E2249*F2249,2)</f>
        <v>2.54</v>
      </c>
      <c r="H2249" s="64"/>
      <c r="I2249" s="78"/>
    </row>
    <row r="2250" spans="1:9" ht="15">
      <c r="A2250" s="74"/>
      <c r="B2250" s="80" t="s">
        <v>971</v>
      </c>
      <c r="C2250" s="81" t="s">
        <v>972</v>
      </c>
      <c r="D2250" s="74" t="s">
        <v>7</v>
      </c>
      <c r="E2250" s="78">
        <v>1.4E-3</v>
      </c>
      <c r="F2250" s="64">
        <v>6</v>
      </c>
      <c r="G2250" s="64">
        <f>TRUNC(E2250*F2250,2)</f>
        <v>0</v>
      </c>
      <c r="H2250" s="64"/>
      <c r="I2250" s="78"/>
    </row>
    <row r="2251" spans="1:9" ht="30">
      <c r="A2251" s="74"/>
      <c r="B2251" s="80" t="s">
        <v>49</v>
      </c>
      <c r="C2251" s="81" t="s">
        <v>50</v>
      </c>
      <c r="D2251" s="74" t="s">
        <v>51</v>
      </c>
      <c r="E2251" s="78">
        <v>6.2829999999999997E-2</v>
      </c>
      <c r="F2251" s="64">
        <f>TRUNC(15.2,2)</f>
        <v>15.2</v>
      </c>
      <c r="G2251" s="64">
        <f>TRUNC(E2251*F2251,2)</f>
        <v>0.95</v>
      </c>
      <c r="H2251" s="64"/>
      <c r="I2251" s="78"/>
    </row>
    <row r="2252" spans="1:9" ht="30">
      <c r="A2252" s="74"/>
      <c r="B2252" s="80" t="s">
        <v>133</v>
      </c>
      <c r="C2252" s="81" t="s">
        <v>134</v>
      </c>
      <c r="D2252" s="74" t="s">
        <v>51</v>
      </c>
      <c r="E2252" s="78">
        <v>6.2829999999999997E-2</v>
      </c>
      <c r="F2252" s="64">
        <f>TRUNC(21,2)</f>
        <v>21</v>
      </c>
      <c r="G2252" s="64">
        <f>TRUNC(E2252*F2252,2)</f>
        <v>1.31</v>
      </c>
      <c r="H2252" s="64"/>
      <c r="I2252" s="78"/>
    </row>
    <row r="2253" spans="1:9" ht="15">
      <c r="A2253" s="74"/>
      <c r="B2253" s="80"/>
      <c r="C2253" s="81"/>
      <c r="D2253" s="74"/>
      <c r="E2253" s="78" t="s">
        <v>33</v>
      </c>
      <c r="F2253" s="64"/>
      <c r="G2253" s="64">
        <f>TRUNC(SUM(G2249:G2252),2)</f>
        <v>4.8</v>
      </c>
      <c r="H2253" s="64"/>
      <c r="I2253" s="78"/>
    </row>
    <row r="2254" spans="1:9" ht="45">
      <c r="A2254" s="68" t="s">
        <v>944</v>
      </c>
      <c r="B2254" s="98" t="s">
        <v>989</v>
      </c>
      <c r="C2254" s="23" t="s">
        <v>990</v>
      </c>
      <c r="D2254" s="68" t="s">
        <v>23</v>
      </c>
      <c r="E2254" s="24">
        <v>2900</v>
      </c>
      <c r="F2254" s="24">
        <f>TRUNC(F2255,2)</f>
        <v>3.43</v>
      </c>
      <c r="G2254" s="24">
        <f>TRUNC(F2254*1.2882,2)</f>
        <v>4.41</v>
      </c>
      <c r="H2254" s="24">
        <f>TRUNC(F2254*E2254,2)</f>
        <v>9947</v>
      </c>
      <c r="I2254" s="24">
        <f>TRUNC(E2254*G2254,2)</f>
        <v>12789</v>
      </c>
    </row>
    <row r="2255" spans="1:9" ht="45">
      <c r="A2255" s="74"/>
      <c r="B2255" s="80" t="s">
        <v>989</v>
      </c>
      <c r="C2255" s="81" t="s">
        <v>990</v>
      </c>
      <c r="D2255" s="74" t="s">
        <v>23</v>
      </c>
      <c r="E2255" s="78">
        <v>1</v>
      </c>
      <c r="F2255" s="64">
        <f>G2260</f>
        <v>3.43</v>
      </c>
      <c r="G2255" s="64">
        <f>TRUNC(E2255*F2255,2)</f>
        <v>3.43</v>
      </c>
      <c r="H2255" s="64"/>
      <c r="I2255" s="78"/>
    </row>
    <row r="2256" spans="1:9" ht="30">
      <c r="A2256" s="74"/>
      <c r="B2256" s="80" t="s">
        <v>991</v>
      </c>
      <c r="C2256" s="81" t="s">
        <v>992</v>
      </c>
      <c r="D2256" s="74" t="s">
        <v>23</v>
      </c>
      <c r="E2256" s="78">
        <v>1</v>
      </c>
      <c r="F2256" s="64">
        <v>1.5784</v>
      </c>
      <c r="G2256" s="64">
        <f>TRUNC(E2256*F2256,2)</f>
        <v>1.57</v>
      </c>
      <c r="H2256" s="64"/>
      <c r="I2256" s="78"/>
    </row>
    <row r="2257" spans="1:9" ht="15">
      <c r="A2257" s="74"/>
      <c r="B2257" s="80" t="s">
        <v>971</v>
      </c>
      <c r="C2257" s="81" t="s">
        <v>972</v>
      </c>
      <c r="D2257" s="74" t="s">
        <v>7</v>
      </c>
      <c r="E2257" s="78">
        <v>1.4E-3</v>
      </c>
      <c r="F2257" s="64">
        <v>6</v>
      </c>
      <c r="G2257" s="64">
        <f>TRUNC(E2257*F2257,2)</f>
        <v>0</v>
      </c>
      <c r="H2257" s="64"/>
      <c r="I2257" s="78"/>
    </row>
    <row r="2258" spans="1:9" ht="30">
      <c r="A2258" s="74"/>
      <c r="B2258" s="80" t="s">
        <v>49</v>
      </c>
      <c r="C2258" s="81" t="s">
        <v>50</v>
      </c>
      <c r="D2258" s="74" t="s">
        <v>51</v>
      </c>
      <c r="E2258" s="78">
        <v>5.1500000000000004E-2</v>
      </c>
      <c r="F2258" s="64">
        <f>TRUNC(15.2,2)</f>
        <v>15.2</v>
      </c>
      <c r="G2258" s="64">
        <f>TRUNC(E2258*F2258,2)</f>
        <v>0.78</v>
      </c>
      <c r="H2258" s="64"/>
      <c r="I2258" s="78"/>
    </row>
    <row r="2259" spans="1:9" ht="30">
      <c r="A2259" s="74"/>
      <c r="B2259" s="80" t="s">
        <v>133</v>
      </c>
      <c r="C2259" s="81" t="s">
        <v>134</v>
      </c>
      <c r="D2259" s="74" t="s">
        <v>51</v>
      </c>
      <c r="E2259" s="78">
        <v>5.1500000000000004E-2</v>
      </c>
      <c r="F2259" s="64">
        <f>TRUNC(21,2)</f>
        <v>21</v>
      </c>
      <c r="G2259" s="64">
        <f>TRUNC(E2259*F2259,2)</f>
        <v>1.08</v>
      </c>
      <c r="H2259" s="64"/>
      <c r="I2259" s="78"/>
    </row>
    <row r="2260" spans="1:9" ht="15">
      <c r="A2260" s="74"/>
      <c r="B2260" s="80"/>
      <c r="C2260" s="81"/>
      <c r="D2260" s="74"/>
      <c r="E2260" s="78" t="s">
        <v>33</v>
      </c>
      <c r="F2260" s="64"/>
      <c r="G2260" s="64">
        <f>TRUNC(SUM(G2256:G2259),2)</f>
        <v>3.43</v>
      </c>
      <c r="H2260" s="64"/>
      <c r="I2260" s="78"/>
    </row>
    <row r="2261" spans="1:9" ht="45">
      <c r="A2261" s="68" t="s">
        <v>945</v>
      </c>
      <c r="B2261" s="98" t="s">
        <v>1006</v>
      </c>
      <c r="C2261" s="23" t="s">
        <v>1007</v>
      </c>
      <c r="D2261" s="68" t="s">
        <v>23</v>
      </c>
      <c r="E2261" s="24">
        <v>22</v>
      </c>
      <c r="F2261" s="24">
        <f>TRUNC(F2262,2)</f>
        <v>21.77</v>
      </c>
      <c r="G2261" s="24">
        <f>TRUNC(F2261*1.2882,2)</f>
        <v>28.04</v>
      </c>
      <c r="H2261" s="24">
        <f>TRUNC(F2261*E2261,2)</f>
        <v>478.94</v>
      </c>
      <c r="I2261" s="24">
        <f>TRUNC(E2261*G2261,2)</f>
        <v>616.88</v>
      </c>
    </row>
    <row r="2262" spans="1:9" ht="45">
      <c r="A2262" s="74"/>
      <c r="B2262" s="80" t="s">
        <v>1006</v>
      </c>
      <c r="C2262" s="81" t="s">
        <v>1007</v>
      </c>
      <c r="D2262" s="74" t="s">
        <v>23</v>
      </c>
      <c r="E2262" s="78">
        <v>1</v>
      </c>
      <c r="F2262" s="64">
        <f>G2266</f>
        <v>21.77</v>
      </c>
      <c r="G2262" s="64">
        <f>TRUNC(E2262*F2262,2)</f>
        <v>21.77</v>
      </c>
      <c r="H2262" s="64"/>
      <c r="I2262" s="78"/>
    </row>
    <row r="2263" spans="1:9" ht="30">
      <c r="A2263" s="74"/>
      <c r="B2263" s="80" t="s">
        <v>1008</v>
      </c>
      <c r="C2263" s="81" t="s">
        <v>1009</v>
      </c>
      <c r="D2263" s="74" t="s">
        <v>7</v>
      </c>
      <c r="E2263" s="78">
        <v>0.38500000000000001</v>
      </c>
      <c r="F2263" s="64">
        <v>35.29</v>
      </c>
      <c r="G2263" s="64">
        <f>TRUNC(E2263*F2263,2)</f>
        <v>13.58</v>
      </c>
      <c r="H2263" s="64"/>
      <c r="I2263" s="78"/>
    </row>
    <row r="2264" spans="1:9" ht="30">
      <c r="A2264" s="74"/>
      <c r="B2264" s="80" t="s">
        <v>49</v>
      </c>
      <c r="C2264" s="81" t="s">
        <v>50</v>
      </c>
      <c r="D2264" s="74" t="s">
        <v>51</v>
      </c>
      <c r="E2264" s="78">
        <v>0.2266</v>
      </c>
      <c r="F2264" s="64">
        <f>TRUNC(15.2,2)</f>
        <v>15.2</v>
      </c>
      <c r="G2264" s="64">
        <f>TRUNC(E2264*F2264,2)</f>
        <v>3.44</v>
      </c>
      <c r="H2264" s="64"/>
      <c r="I2264" s="78"/>
    </row>
    <row r="2265" spans="1:9" ht="30">
      <c r="A2265" s="74"/>
      <c r="B2265" s="80" t="s">
        <v>133</v>
      </c>
      <c r="C2265" s="81" t="s">
        <v>134</v>
      </c>
      <c r="D2265" s="74" t="s">
        <v>51</v>
      </c>
      <c r="E2265" s="78">
        <v>0.2266</v>
      </c>
      <c r="F2265" s="64">
        <f>TRUNC(21,2)</f>
        <v>21</v>
      </c>
      <c r="G2265" s="64">
        <f>TRUNC(E2265*F2265,2)</f>
        <v>4.75</v>
      </c>
      <c r="H2265" s="64"/>
      <c r="I2265" s="78"/>
    </row>
    <row r="2266" spans="1:9" ht="15">
      <c r="A2266" s="74"/>
      <c r="B2266" s="80"/>
      <c r="C2266" s="81"/>
      <c r="D2266" s="74"/>
      <c r="E2266" s="78" t="s">
        <v>33</v>
      </c>
      <c r="F2266" s="64"/>
      <c r="G2266" s="64">
        <f>TRUNC(SUM(G2263:G2265),2)</f>
        <v>21.77</v>
      </c>
      <c r="H2266" s="64"/>
      <c r="I2266" s="78"/>
    </row>
    <row r="2267" spans="1:9" ht="45">
      <c r="A2267" s="68" t="s">
        <v>993</v>
      </c>
      <c r="B2267" s="98" t="s">
        <v>1002</v>
      </c>
      <c r="C2267" s="23" t="s">
        <v>1003</v>
      </c>
      <c r="D2267" s="68" t="s">
        <v>23</v>
      </c>
      <c r="E2267" s="24">
        <v>200</v>
      </c>
      <c r="F2267" s="24">
        <f>TRUNC(F2268,2)</f>
        <v>9.19</v>
      </c>
      <c r="G2267" s="24">
        <f>TRUNC(F2267*1.2882,2)</f>
        <v>11.83</v>
      </c>
      <c r="H2267" s="24">
        <f>TRUNC(F2267*E2267,2)</f>
        <v>1838</v>
      </c>
      <c r="I2267" s="24">
        <f>TRUNC(E2267*G2267,2)</f>
        <v>2366</v>
      </c>
    </row>
    <row r="2268" spans="1:9" ht="45">
      <c r="A2268" s="74"/>
      <c r="B2268" s="80" t="s">
        <v>1002</v>
      </c>
      <c r="C2268" s="81" t="s">
        <v>1003</v>
      </c>
      <c r="D2268" s="74" t="s">
        <v>23</v>
      </c>
      <c r="E2268" s="78">
        <v>1</v>
      </c>
      <c r="F2268" s="64">
        <f>G2272</f>
        <v>9.19</v>
      </c>
      <c r="G2268" s="64">
        <f>TRUNC(E2268*F2268,2)</f>
        <v>9.19</v>
      </c>
      <c r="H2268" s="64"/>
      <c r="I2268" s="78"/>
    </row>
    <row r="2269" spans="1:9" ht="30">
      <c r="A2269" s="74"/>
      <c r="B2269" s="80" t="s">
        <v>1004</v>
      </c>
      <c r="C2269" s="81" t="s">
        <v>1005</v>
      </c>
      <c r="D2269" s="74" t="s">
        <v>7</v>
      </c>
      <c r="E2269" s="78">
        <v>0.38500000000000001</v>
      </c>
      <c r="F2269" s="64">
        <v>12.3</v>
      </c>
      <c r="G2269" s="64">
        <f>TRUNC(E2269*F2269,2)</f>
        <v>4.7300000000000004</v>
      </c>
      <c r="H2269" s="64"/>
      <c r="I2269" s="78"/>
    </row>
    <row r="2270" spans="1:9" ht="30">
      <c r="A2270" s="74"/>
      <c r="B2270" s="80" t="s">
        <v>49</v>
      </c>
      <c r="C2270" s="81" t="s">
        <v>50</v>
      </c>
      <c r="D2270" s="74" t="s">
        <v>51</v>
      </c>
      <c r="E2270" s="78">
        <v>0.1236</v>
      </c>
      <c r="F2270" s="64">
        <f>TRUNC(15.2,2)</f>
        <v>15.2</v>
      </c>
      <c r="G2270" s="64">
        <f>TRUNC(E2270*F2270,2)</f>
        <v>1.87</v>
      </c>
      <c r="H2270" s="64"/>
      <c r="I2270" s="78"/>
    </row>
    <row r="2271" spans="1:9" ht="30">
      <c r="A2271" s="74"/>
      <c r="B2271" s="80" t="s">
        <v>133</v>
      </c>
      <c r="C2271" s="81" t="s">
        <v>134</v>
      </c>
      <c r="D2271" s="74" t="s">
        <v>51</v>
      </c>
      <c r="E2271" s="78">
        <v>0.1236</v>
      </c>
      <c r="F2271" s="64">
        <f>TRUNC(21,2)</f>
        <v>21</v>
      </c>
      <c r="G2271" s="64">
        <f>TRUNC(E2271*F2271,2)</f>
        <v>2.59</v>
      </c>
      <c r="H2271" s="64"/>
      <c r="I2271" s="78"/>
    </row>
    <row r="2272" spans="1:9" ht="15">
      <c r="A2272" s="74"/>
      <c r="B2272" s="80"/>
      <c r="C2272" s="81"/>
      <c r="D2272" s="74"/>
      <c r="E2272" s="78" t="s">
        <v>33</v>
      </c>
      <c r="F2272" s="64"/>
      <c r="G2272" s="64">
        <f>TRUNC(SUM(G2269:G2271),2)</f>
        <v>9.19</v>
      </c>
      <c r="H2272" s="64"/>
      <c r="I2272" s="78"/>
    </row>
    <row r="2273" spans="1:9" ht="45">
      <c r="A2273" s="68" t="s">
        <v>994</v>
      </c>
      <c r="B2273" s="98" t="s">
        <v>1010</v>
      </c>
      <c r="C2273" s="23" t="s">
        <v>1011</v>
      </c>
      <c r="D2273" s="68" t="s">
        <v>23</v>
      </c>
      <c r="E2273" s="24">
        <v>15</v>
      </c>
      <c r="F2273" s="24">
        <f>TRUNC(F2274,2)</f>
        <v>13.67</v>
      </c>
      <c r="G2273" s="24">
        <f>TRUNC(F2273*1.2882,2)</f>
        <v>17.600000000000001</v>
      </c>
      <c r="H2273" s="24">
        <f>TRUNC(F2273*E2273,2)</f>
        <v>205.05</v>
      </c>
      <c r="I2273" s="24">
        <f>TRUNC(E2273*G2273,2)</f>
        <v>264</v>
      </c>
    </row>
    <row r="2274" spans="1:9" ht="45">
      <c r="A2274" s="74"/>
      <c r="B2274" s="80" t="s">
        <v>1010</v>
      </c>
      <c r="C2274" s="81" t="s">
        <v>1011</v>
      </c>
      <c r="D2274" s="74" t="s">
        <v>23</v>
      </c>
      <c r="E2274" s="78">
        <v>1</v>
      </c>
      <c r="F2274" s="64">
        <f>G2279</f>
        <v>13.67</v>
      </c>
      <c r="G2274" s="64">
        <f>TRUNC(E2274*F2274,2)</f>
        <v>13.67</v>
      </c>
      <c r="H2274" s="64"/>
      <c r="I2274" s="78"/>
    </row>
    <row r="2275" spans="1:9" ht="30">
      <c r="A2275" s="74"/>
      <c r="B2275" s="80" t="s">
        <v>1012</v>
      </c>
      <c r="C2275" s="81" t="s">
        <v>1013</v>
      </c>
      <c r="D2275" s="74" t="s">
        <v>46</v>
      </c>
      <c r="E2275" s="78">
        <v>2E-3</v>
      </c>
      <c r="F2275" s="64">
        <v>26.5</v>
      </c>
      <c r="G2275" s="64">
        <f>TRUNC(E2275*F2275,2)</f>
        <v>0.05</v>
      </c>
      <c r="H2275" s="64"/>
      <c r="I2275" s="78"/>
    </row>
    <row r="2276" spans="1:9" ht="30">
      <c r="A2276" s="74"/>
      <c r="B2276" s="80" t="s">
        <v>1014</v>
      </c>
      <c r="C2276" s="81" t="s">
        <v>1015</v>
      </c>
      <c r="D2276" s="74" t="s">
        <v>23</v>
      </c>
      <c r="E2276" s="78">
        <v>1.1000000000000001</v>
      </c>
      <c r="F2276" s="64">
        <v>7.1</v>
      </c>
      <c r="G2276" s="64">
        <f>TRUNC(E2276*F2276,2)</f>
        <v>7.81</v>
      </c>
      <c r="H2276" s="64"/>
      <c r="I2276" s="78"/>
    </row>
    <row r="2277" spans="1:9" ht="15">
      <c r="A2277" s="74"/>
      <c r="B2277" s="80" t="s">
        <v>125</v>
      </c>
      <c r="C2277" s="81" t="s">
        <v>126</v>
      </c>
      <c r="D2277" s="74" t="s">
        <v>51</v>
      </c>
      <c r="E2277" s="78">
        <v>0.107</v>
      </c>
      <c r="F2277" s="64">
        <f>TRUNC(29.83,2)</f>
        <v>29.83</v>
      </c>
      <c r="G2277" s="64">
        <f>TRUNC(E2277*F2277,2)</f>
        <v>3.19</v>
      </c>
      <c r="H2277" s="64"/>
      <c r="I2277" s="78"/>
    </row>
    <row r="2278" spans="1:9" ht="15">
      <c r="A2278" s="74"/>
      <c r="B2278" s="80" t="s">
        <v>910</v>
      </c>
      <c r="C2278" s="81" t="s">
        <v>911</v>
      </c>
      <c r="D2278" s="74" t="s">
        <v>51</v>
      </c>
      <c r="E2278" s="78">
        <v>0.107</v>
      </c>
      <c r="F2278" s="64">
        <f>TRUNC(24.54,2)</f>
        <v>24.54</v>
      </c>
      <c r="G2278" s="64">
        <f>TRUNC(E2278*F2278,2)</f>
        <v>2.62</v>
      </c>
      <c r="H2278" s="64"/>
      <c r="I2278" s="78"/>
    </row>
    <row r="2279" spans="1:9" ht="15">
      <c r="A2279" s="74"/>
      <c r="B2279" s="80"/>
      <c r="C2279" s="81"/>
      <c r="D2279" s="74"/>
      <c r="E2279" s="78" t="s">
        <v>33</v>
      </c>
      <c r="F2279" s="64"/>
      <c r="G2279" s="64">
        <f>TRUNC(SUM(G2275:G2278),2)</f>
        <v>13.67</v>
      </c>
      <c r="H2279" s="64"/>
      <c r="I2279" s="78"/>
    </row>
    <row r="2280" spans="1:9" ht="45">
      <c r="A2280" s="68" t="s">
        <v>995</v>
      </c>
      <c r="B2280" s="98" t="s">
        <v>1016</v>
      </c>
      <c r="C2280" s="23" t="s">
        <v>1017</v>
      </c>
      <c r="D2280" s="68" t="s">
        <v>23</v>
      </c>
      <c r="E2280" s="24">
        <v>300</v>
      </c>
      <c r="F2280" s="24">
        <f>TRUNC(F2281,2)</f>
        <v>8.81</v>
      </c>
      <c r="G2280" s="24">
        <f>TRUNC(F2280*1.2882,2)</f>
        <v>11.34</v>
      </c>
      <c r="H2280" s="24">
        <f>TRUNC(F2280*E2280,2)</f>
        <v>2643</v>
      </c>
      <c r="I2280" s="24">
        <f>TRUNC(E2280*G2280,2)</f>
        <v>3402</v>
      </c>
    </row>
    <row r="2281" spans="1:9" ht="45">
      <c r="A2281" s="74"/>
      <c r="B2281" s="80" t="s">
        <v>1016</v>
      </c>
      <c r="C2281" s="81" t="s">
        <v>1017</v>
      </c>
      <c r="D2281" s="74" t="s">
        <v>23</v>
      </c>
      <c r="E2281" s="78">
        <v>1</v>
      </c>
      <c r="F2281" s="64">
        <f>G2286</f>
        <v>8.81</v>
      </c>
      <c r="G2281" s="64">
        <f>TRUNC(E2281*F2281,2)</f>
        <v>8.81</v>
      </c>
      <c r="H2281" s="64"/>
      <c r="I2281" s="78"/>
    </row>
    <row r="2282" spans="1:9" ht="30">
      <c r="A2282" s="74"/>
      <c r="B2282" s="80" t="s">
        <v>1012</v>
      </c>
      <c r="C2282" s="81" t="s">
        <v>1013</v>
      </c>
      <c r="D2282" s="74" t="s">
        <v>46</v>
      </c>
      <c r="E2282" s="78">
        <v>1.8E-3</v>
      </c>
      <c r="F2282" s="64">
        <v>26.5</v>
      </c>
      <c r="G2282" s="64">
        <f>TRUNC(E2282*F2282,2)</f>
        <v>0.04</v>
      </c>
      <c r="H2282" s="64"/>
      <c r="I2282" s="78"/>
    </row>
    <row r="2283" spans="1:9" ht="30">
      <c r="A2283" s="74"/>
      <c r="B2283" s="80" t="s">
        <v>1018</v>
      </c>
      <c r="C2283" s="81" t="s">
        <v>1019</v>
      </c>
      <c r="D2283" s="74" t="s">
        <v>23</v>
      </c>
      <c r="E2283" s="78">
        <v>1.1000000000000001</v>
      </c>
      <c r="F2283" s="64">
        <v>3.69</v>
      </c>
      <c r="G2283" s="64">
        <f>TRUNC(E2283*F2283,2)</f>
        <v>4.05</v>
      </c>
      <c r="H2283" s="64"/>
      <c r="I2283" s="78"/>
    </row>
    <row r="2284" spans="1:9" ht="15">
      <c r="A2284" s="74"/>
      <c r="B2284" s="80" t="s">
        <v>125</v>
      </c>
      <c r="C2284" s="81" t="s">
        <v>126</v>
      </c>
      <c r="D2284" s="74" t="s">
        <v>51</v>
      </c>
      <c r="E2284" s="78">
        <v>8.6999999999999994E-2</v>
      </c>
      <c r="F2284" s="64">
        <f>TRUNC(29.83,2)</f>
        <v>29.83</v>
      </c>
      <c r="G2284" s="64">
        <f>TRUNC(E2284*F2284,2)</f>
        <v>2.59</v>
      </c>
      <c r="H2284" s="64"/>
      <c r="I2284" s="78"/>
    </row>
    <row r="2285" spans="1:9" ht="15">
      <c r="A2285" s="74"/>
      <c r="B2285" s="80" t="s">
        <v>910</v>
      </c>
      <c r="C2285" s="81" t="s">
        <v>911</v>
      </c>
      <c r="D2285" s="74" t="s">
        <v>51</v>
      </c>
      <c r="E2285" s="78">
        <v>8.6999999999999994E-2</v>
      </c>
      <c r="F2285" s="64">
        <f>TRUNC(24.54,2)</f>
        <v>24.54</v>
      </c>
      <c r="G2285" s="64">
        <f>TRUNC(E2285*F2285,2)</f>
        <v>2.13</v>
      </c>
      <c r="H2285" s="64"/>
      <c r="I2285" s="78"/>
    </row>
    <row r="2286" spans="1:9" ht="15">
      <c r="A2286" s="74"/>
      <c r="B2286" s="80"/>
      <c r="C2286" s="81"/>
      <c r="D2286" s="74"/>
      <c r="E2286" s="78" t="s">
        <v>33</v>
      </c>
      <c r="F2286" s="64"/>
      <c r="G2286" s="64">
        <f>TRUNC(SUM(G2282:G2285),2)</f>
        <v>8.81</v>
      </c>
      <c r="H2286" s="64"/>
      <c r="I2286" s="78"/>
    </row>
    <row r="2287" spans="1:9" ht="30">
      <c r="A2287" s="68" t="s">
        <v>996</v>
      </c>
      <c r="B2287" s="98" t="s">
        <v>1020</v>
      </c>
      <c r="C2287" s="23" t="s">
        <v>1021</v>
      </c>
      <c r="D2287" s="68" t="s">
        <v>7</v>
      </c>
      <c r="E2287" s="24">
        <v>3</v>
      </c>
      <c r="F2287" s="24">
        <f>TRUNC(F2288,2)</f>
        <v>72.84</v>
      </c>
      <c r="G2287" s="24">
        <f>TRUNC(F2287*1.2882,2)</f>
        <v>93.83</v>
      </c>
      <c r="H2287" s="24">
        <f>TRUNC(F2287*E2287,2)</f>
        <v>218.52</v>
      </c>
      <c r="I2287" s="24">
        <f>TRUNC(E2287*G2287,2)</f>
        <v>281.49</v>
      </c>
    </row>
    <row r="2288" spans="1:9" ht="30">
      <c r="A2288" s="74"/>
      <c r="B2288" s="80" t="s">
        <v>1020</v>
      </c>
      <c r="C2288" s="81" t="s">
        <v>1021</v>
      </c>
      <c r="D2288" s="74" t="s">
        <v>7</v>
      </c>
      <c r="E2288" s="78">
        <v>1</v>
      </c>
      <c r="F2288" s="64">
        <f>G2292</f>
        <v>72.84</v>
      </c>
      <c r="G2288" s="64">
        <f>TRUNC(E2288*F2288,2)</f>
        <v>72.84</v>
      </c>
      <c r="H2288" s="64"/>
      <c r="I2288" s="78"/>
    </row>
    <row r="2289" spans="1:9" ht="30">
      <c r="A2289" s="74"/>
      <c r="B2289" s="80" t="s">
        <v>1022</v>
      </c>
      <c r="C2289" s="81" t="s">
        <v>1023</v>
      </c>
      <c r="D2289" s="74" t="s">
        <v>7</v>
      </c>
      <c r="E2289" s="78">
        <v>1</v>
      </c>
      <c r="F2289" s="64">
        <v>59.09</v>
      </c>
      <c r="G2289" s="64">
        <f>TRUNC(E2289*F2289,2)</f>
        <v>59.09</v>
      </c>
      <c r="H2289" s="64"/>
      <c r="I2289" s="78"/>
    </row>
    <row r="2290" spans="1:9" ht="15">
      <c r="A2290" s="74"/>
      <c r="B2290" s="80" t="s">
        <v>125</v>
      </c>
      <c r="C2290" s="81" t="s">
        <v>126</v>
      </c>
      <c r="D2290" s="74" t="s">
        <v>51</v>
      </c>
      <c r="E2290" s="78">
        <v>0.25309999999999999</v>
      </c>
      <c r="F2290" s="64">
        <f>TRUNC(29.83,2)</f>
        <v>29.83</v>
      </c>
      <c r="G2290" s="64">
        <f>TRUNC(E2290*F2290,2)</f>
        <v>7.54</v>
      </c>
      <c r="H2290" s="64"/>
      <c r="I2290" s="78"/>
    </row>
    <row r="2291" spans="1:9" ht="15">
      <c r="A2291" s="74"/>
      <c r="B2291" s="80" t="s">
        <v>910</v>
      </c>
      <c r="C2291" s="81" t="s">
        <v>911</v>
      </c>
      <c r="D2291" s="74" t="s">
        <v>51</v>
      </c>
      <c r="E2291" s="78">
        <v>0.25309999999999999</v>
      </c>
      <c r="F2291" s="64">
        <f>TRUNC(24.54,2)</f>
        <v>24.54</v>
      </c>
      <c r="G2291" s="64">
        <f>TRUNC(E2291*F2291,2)</f>
        <v>6.21</v>
      </c>
      <c r="H2291" s="64"/>
      <c r="I2291" s="78"/>
    </row>
    <row r="2292" spans="1:9" ht="15">
      <c r="A2292" s="74"/>
      <c r="B2292" s="80"/>
      <c r="C2292" s="81"/>
      <c r="D2292" s="74"/>
      <c r="E2292" s="78" t="s">
        <v>33</v>
      </c>
      <c r="F2292" s="64"/>
      <c r="G2292" s="64">
        <f>TRUNC(SUM(G2289:G2291),2)</f>
        <v>72.84</v>
      </c>
      <c r="H2292" s="64"/>
      <c r="I2292" s="78"/>
    </row>
    <row r="2293" spans="1:9" ht="30">
      <c r="A2293" s="68" t="s">
        <v>997</v>
      </c>
      <c r="B2293" s="98" t="s">
        <v>1024</v>
      </c>
      <c r="C2293" s="23" t="s">
        <v>1025</v>
      </c>
      <c r="D2293" s="68" t="s">
        <v>23</v>
      </c>
      <c r="E2293" s="24">
        <v>6</v>
      </c>
      <c r="F2293" s="24">
        <f>TRUNC(F2294,2)</f>
        <v>19.440000000000001</v>
      </c>
      <c r="G2293" s="24">
        <f>TRUNC(F2293*1.2882,2)</f>
        <v>25.04</v>
      </c>
      <c r="H2293" s="24">
        <f>TRUNC(F2293*E2293,2)</f>
        <v>116.64</v>
      </c>
      <c r="I2293" s="24">
        <f>TRUNC(E2293*G2293,2)</f>
        <v>150.24</v>
      </c>
    </row>
    <row r="2294" spans="1:9" ht="30">
      <c r="A2294" s="74"/>
      <c r="B2294" s="80" t="s">
        <v>1024</v>
      </c>
      <c r="C2294" s="81" t="s">
        <v>1025</v>
      </c>
      <c r="D2294" s="74" t="s">
        <v>23</v>
      </c>
      <c r="E2294" s="78">
        <v>1</v>
      </c>
      <c r="F2294" s="64">
        <f>TRUNC(19.44761842,2)</f>
        <v>19.440000000000001</v>
      </c>
      <c r="G2294" s="64">
        <f>TRUNC(E2294*F2294,2)</f>
        <v>19.440000000000001</v>
      </c>
      <c r="H2294" s="64"/>
      <c r="I2294" s="78"/>
    </row>
    <row r="2295" spans="1:9" ht="30">
      <c r="A2295" s="74"/>
      <c r="B2295" s="80" t="s">
        <v>331</v>
      </c>
      <c r="C2295" s="81" t="s">
        <v>332</v>
      </c>
      <c r="D2295" s="74" t="s">
        <v>46</v>
      </c>
      <c r="E2295" s="78">
        <v>0.2223</v>
      </c>
      <c r="F2295" s="64">
        <v>74.065399999999997</v>
      </c>
      <c r="G2295" s="64">
        <f>TRUNC(E2295*F2295,2)</f>
        <v>16.46</v>
      </c>
      <c r="H2295" s="64"/>
      <c r="I2295" s="78"/>
    </row>
    <row r="2296" spans="1:9" ht="30">
      <c r="A2296" s="74"/>
      <c r="B2296" s="80" t="s">
        <v>49</v>
      </c>
      <c r="C2296" s="81" t="s">
        <v>50</v>
      </c>
      <c r="D2296" s="74" t="s">
        <v>51</v>
      </c>
      <c r="E2296" s="78">
        <v>8.2400000000000001E-2</v>
      </c>
      <c r="F2296" s="64">
        <f>TRUNC(15.2,2)</f>
        <v>15.2</v>
      </c>
      <c r="G2296" s="64">
        <f>TRUNC(E2296*F2296,2)</f>
        <v>1.25</v>
      </c>
      <c r="H2296" s="64"/>
      <c r="I2296" s="78"/>
    </row>
    <row r="2297" spans="1:9" ht="30">
      <c r="A2297" s="74"/>
      <c r="B2297" s="80" t="s">
        <v>133</v>
      </c>
      <c r="C2297" s="81" t="s">
        <v>134</v>
      </c>
      <c r="D2297" s="74" t="s">
        <v>51</v>
      </c>
      <c r="E2297" s="78">
        <v>8.2400000000000001E-2</v>
      </c>
      <c r="F2297" s="64">
        <f>TRUNC(21,2)</f>
        <v>21</v>
      </c>
      <c r="G2297" s="64">
        <f>TRUNC(E2297*F2297,2)</f>
        <v>1.73</v>
      </c>
      <c r="H2297" s="64"/>
      <c r="I2297" s="78"/>
    </row>
    <row r="2298" spans="1:9" ht="15">
      <c r="A2298" s="74"/>
      <c r="B2298" s="80"/>
      <c r="C2298" s="81"/>
      <c r="D2298" s="74"/>
      <c r="E2298" s="78" t="s">
        <v>33</v>
      </c>
      <c r="F2298" s="64"/>
      <c r="G2298" s="64">
        <f>TRUNC(SUM(G2295:G2297),2)</f>
        <v>19.440000000000001</v>
      </c>
      <c r="H2298" s="64"/>
      <c r="I2298" s="78"/>
    </row>
    <row r="2299" spans="1:9" ht="75">
      <c r="A2299" s="68" t="s">
        <v>998</v>
      </c>
      <c r="B2299" s="98" t="s">
        <v>1026</v>
      </c>
      <c r="C2299" s="23" t="s">
        <v>1027</v>
      </c>
      <c r="D2299" s="68" t="s">
        <v>7</v>
      </c>
      <c r="E2299" s="24">
        <v>1</v>
      </c>
      <c r="F2299" s="24">
        <f>TRUNC(F2300,2)</f>
        <v>3553.56</v>
      </c>
      <c r="G2299" s="24">
        <f>TRUNC(F2299*1.2882,2)</f>
        <v>4577.6899999999996</v>
      </c>
      <c r="H2299" s="24">
        <f>TRUNC(F2299*E2299,2)</f>
        <v>3553.56</v>
      </c>
      <c r="I2299" s="24">
        <f>TRUNC(E2299*G2299,2)</f>
        <v>4577.6899999999996</v>
      </c>
    </row>
    <row r="2300" spans="1:9" ht="75">
      <c r="A2300" s="74"/>
      <c r="B2300" s="80" t="s">
        <v>1026</v>
      </c>
      <c r="C2300" s="81" t="s">
        <v>1027</v>
      </c>
      <c r="D2300" s="74" t="s">
        <v>7</v>
      </c>
      <c r="E2300" s="78">
        <v>1</v>
      </c>
      <c r="F2300" s="64">
        <f>G2321</f>
        <v>3553.56</v>
      </c>
      <c r="G2300" s="64">
        <f t="shared" ref="G2300:G2320" si="126">TRUNC(E2300*F2300,2)</f>
        <v>3553.56</v>
      </c>
      <c r="H2300" s="64"/>
      <c r="I2300" s="78"/>
    </row>
    <row r="2301" spans="1:9" ht="15">
      <c r="A2301" s="74"/>
      <c r="B2301" s="80" t="s">
        <v>1028</v>
      </c>
      <c r="C2301" s="81" t="s">
        <v>1029</v>
      </c>
      <c r="D2301" s="74" t="s">
        <v>7</v>
      </c>
      <c r="E2301" s="78">
        <v>2</v>
      </c>
      <c r="F2301" s="64">
        <f>TRUNC(6.85,2)</f>
        <v>6.85</v>
      </c>
      <c r="G2301" s="64">
        <f t="shared" si="126"/>
        <v>13.7</v>
      </c>
      <c r="H2301" s="64"/>
      <c r="I2301" s="78"/>
    </row>
    <row r="2302" spans="1:9" ht="30">
      <c r="A2302" s="74"/>
      <c r="B2302" s="80" t="s">
        <v>331</v>
      </c>
      <c r="C2302" s="81" t="s">
        <v>332</v>
      </c>
      <c r="D2302" s="74" t="s">
        <v>46</v>
      </c>
      <c r="E2302" s="78">
        <v>0.5</v>
      </c>
      <c r="F2302" s="64">
        <f>TRUNC(74.0654,2)</f>
        <v>74.06</v>
      </c>
      <c r="G2302" s="64">
        <f t="shared" si="126"/>
        <v>37.03</v>
      </c>
      <c r="H2302" s="64"/>
      <c r="I2302" s="78"/>
    </row>
    <row r="2303" spans="1:9" ht="30">
      <c r="A2303" s="74"/>
      <c r="B2303" s="80" t="s">
        <v>1004</v>
      </c>
      <c r="C2303" s="81" t="s">
        <v>1005</v>
      </c>
      <c r="D2303" s="74" t="s">
        <v>7</v>
      </c>
      <c r="E2303" s="78">
        <v>1</v>
      </c>
      <c r="F2303" s="64">
        <f>TRUNC(12.3,2)</f>
        <v>12.3</v>
      </c>
      <c r="G2303" s="64">
        <f t="shared" si="126"/>
        <v>12.3</v>
      </c>
      <c r="H2303" s="64"/>
      <c r="I2303" s="78"/>
    </row>
    <row r="2304" spans="1:9" ht="30">
      <c r="A2304" s="74"/>
      <c r="B2304" s="80" t="s">
        <v>1000</v>
      </c>
      <c r="C2304" s="81" t="s">
        <v>1001</v>
      </c>
      <c r="D2304" s="74" t="s">
        <v>7</v>
      </c>
      <c r="E2304" s="78">
        <v>1</v>
      </c>
      <c r="F2304" s="64">
        <f>TRUNC(54.52,2)</f>
        <v>54.52</v>
      </c>
      <c r="G2304" s="64">
        <f t="shared" si="126"/>
        <v>54.52</v>
      </c>
      <c r="H2304" s="64"/>
      <c r="I2304" s="78"/>
    </row>
    <row r="2305" spans="1:9" ht="15">
      <c r="A2305" s="74"/>
      <c r="B2305" s="80" t="s">
        <v>1030</v>
      </c>
      <c r="C2305" s="81" t="s">
        <v>1031</v>
      </c>
      <c r="D2305" s="74" t="s">
        <v>7</v>
      </c>
      <c r="E2305" s="78">
        <v>2</v>
      </c>
      <c r="F2305" s="64">
        <f>TRUNC(14.29,2)</f>
        <v>14.29</v>
      </c>
      <c r="G2305" s="64">
        <f t="shared" si="126"/>
        <v>28.58</v>
      </c>
      <c r="H2305" s="64"/>
      <c r="I2305" s="78"/>
    </row>
    <row r="2306" spans="1:9" ht="15">
      <c r="A2306" s="74"/>
      <c r="B2306" s="80" t="s">
        <v>1032</v>
      </c>
      <c r="C2306" s="81" t="s">
        <v>1033</v>
      </c>
      <c r="D2306" s="74" t="s">
        <v>7</v>
      </c>
      <c r="E2306" s="78">
        <v>2</v>
      </c>
      <c r="F2306" s="64">
        <f>TRUNC(6.4,2)</f>
        <v>6.4</v>
      </c>
      <c r="G2306" s="64">
        <f t="shared" si="126"/>
        <v>12.8</v>
      </c>
      <c r="H2306" s="64"/>
      <c r="I2306" s="78"/>
    </row>
    <row r="2307" spans="1:9" ht="15">
      <c r="A2307" s="74"/>
      <c r="B2307" s="80" t="s">
        <v>1034</v>
      </c>
      <c r="C2307" s="81" t="s">
        <v>1035</v>
      </c>
      <c r="D2307" s="74" t="s">
        <v>7</v>
      </c>
      <c r="E2307" s="78">
        <v>1</v>
      </c>
      <c r="F2307" s="64">
        <f>TRUNC(52.53,2)</f>
        <v>52.53</v>
      </c>
      <c r="G2307" s="64">
        <f t="shared" si="126"/>
        <v>52.53</v>
      </c>
      <c r="H2307" s="64"/>
      <c r="I2307" s="78"/>
    </row>
    <row r="2308" spans="1:9" ht="30">
      <c r="A2308" s="74"/>
      <c r="B2308" s="80" t="s">
        <v>1036</v>
      </c>
      <c r="C2308" s="81" t="s">
        <v>1037</v>
      </c>
      <c r="D2308" s="74" t="s">
        <v>7</v>
      </c>
      <c r="E2308" s="78">
        <v>1</v>
      </c>
      <c r="F2308" s="64">
        <f>TRUNC(46.04,2)</f>
        <v>46.04</v>
      </c>
      <c r="G2308" s="64">
        <f t="shared" si="126"/>
        <v>46.04</v>
      </c>
      <c r="H2308" s="64"/>
      <c r="I2308" s="78"/>
    </row>
    <row r="2309" spans="1:9" ht="15">
      <c r="A2309" s="74"/>
      <c r="B2309" s="80" t="s">
        <v>1038</v>
      </c>
      <c r="C2309" s="81" t="s">
        <v>1039</v>
      </c>
      <c r="D2309" s="74" t="s">
        <v>7</v>
      </c>
      <c r="E2309" s="78">
        <v>1</v>
      </c>
      <c r="F2309" s="64">
        <f>TRUNC(1,2)</f>
        <v>1</v>
      </c>
      <c r="G2309" s="64">
        <f t="shared" si="126"/>
        <v>1</v>
      </c>
      <c r="H2309" s="64"/>
      <c r="I2309" s="78"/>
    </row>
    <row r="2310" spans="1:9" ht="15">
      <c r="A2310" s="74"/>
      <c r="B2310" s="80" t="s">
        <v>1040</v>
      </c>
      <c r="C2310" s="81" t="s">
        <v>1041</v>
      </c>
      <c r="D2310" s="74" t="s">
        <v>7</v>
      </c>
      <c r="E2310" s="78">
        <v>4</v>
      </c>
      <c r="F2310" s="64">
        <f>TRUNC(6.01,2)</f>
        <v>6.01</v>
      </c>
      <c r="G2310" s="64">
        <f t="shared" si="126"/>
        <v>24.04</v>
      </c>
      <c r="H2310" s="64"/>
      <c r="I2310" s="78"/>
    </row>
    <row r="2311" spans="1:9" ht="15">
      <c r="A2311" s="74"/>
      <c r="B2311" s="80" t="s">
        <v>1042</v>
      </c>
      <c r="C2311" s="81" t="s">
        <v>1043</v>
      </c>
      <c r="D2311" s="74" t="s">
        <v>7</v>
      </c>
      <c r="E2311" s="78">
        <v>1</v>
      </c>
      <c r="F2311" s="64">
        <f>TRUNC(90.14,2)</f>
        <v>90.14</v>
      </c>
      <c r="G2311" s="64">
        <f t="shared" si="126"/>
        <v>90.14</v>
      </c>
      <c r="H2311" s="64"/>
      <c r="I2311" s="78"/>
    </row>
    <row r="2312" spans="1:9" ht="30">
      <c r="A2312" s="74"/>
      <c r="B2312" s="80" t="s">
        <v>1044</v>
      </c>
      <c r="C2312" s="81" t="s">
        <v>1045</v>
      </c>
      <c r="D2312" s="74" t="s">
        <v>7</v>
      </c>
      <c r="E2312" s="78">
        <v>1</v>
      </c>
      <c r="F2312" s="64">
        <f>TRUNC(13.07,2)</f>
        <v>13.07</v>
      </c>
      <c r="G2312" s="64">
        <f t="shared" si="126"/>
        <v>13.07</v>
      </c>
      <c r="H2312" s="64"/>
      <c r="I2312" s="78"/>
    </row>
    <row r="2313" spans="1:9" ht="30">
      <c r="A2313" s="74"/>
      <c r="B2313" s="80" t="s">
        <v>1046</v>
      </c>
      <c r="C2313" s="81" t="s">
        <v>1652</v>
      </c>
      <c r="D2313" s="74" t="s">
        <v>7</v>
      </c>
      <c r="E2313" s="78">
        <v>1</v>
      </c>
      <c r="F2313" s="64">
        <f>TRUNC(80.86,2)</f>
        <v>80.86</v>
      </c>
      <c r="G2313" s="64">
        <f t="shared" si="126"/>
        <v>80.86</v>
      </c>
      <c r="H2313" s="64"/>
      <c r="I2313" s="78"/>
    </row>
    <row r="2314" spans="1:9" ht="30">
      <c r="A2314" s="74"/>
      <c r="B2314" s="80" t="s">
        <v>1047</v>
      </c>
      <c r="C2314" s="81" t="s">
        <v>1048</v>
      </c>
      <c r="D2314" s="74" t="s">
        <v>7</v>
      </c>
      <c r="E2314" s="78">
        <v>1</v>
      </c>
      <c r="F2314" s="64">
        <f>TRUNC(870,2)</f>
        <v>870</v>
      </c>
      <c r="G2314" s="64">
        <f t="shared" si="126"/>
        <v>870</v>
      </c>
      <c r="H2314" s="64"/>
      <c r="I2314" s="78"/>
    </row>
    <row r="2315" spans="1:9" ht="30">
      <c r="A2315" s="74"/>
      <c r="B2315" s="80" t="s">
        <v>1049</v>
      </c>
      <c r="C2315" s="81" t="s">
        <v>1050</v>
      </c>
      <c r="D2315" s="74" t="s">
        <v>7</v>
      </c>
      <c r="E2315" s="78">
        <v>1</v>
      </c>
      <c r="F2315" s="64">
        <f>TRUNC(315,2)</f>
        <v>315</v>
      </c>
      <c r="G2315" s="64">
        <f t="shared" si="126"/>
        <v>315</v>
      </c>
      <c r="H2315" s="64"/>
      <c r="I2315" s="78"/>
    </row>
    <row r="2316" spans="1:9" ht="15">
      <c r="A2316" s="74"/>
      <c r="B2316" s="80" t="s">
        <v>1051</v>
      </c>
      <c r="C2316" s="81" t="s">
        <v>1052</v>
      </c>
      <c r="D2316" s="74" t="s">
        <v>7</v>
      </c>
      <c r="E2316" s="78">
        <v>1</v>
      </c>
      <c r="F2316" s="64">
        <f>TRUNC(62.19,2)</f>
        <v>62.19</v>
      </c>
      <c r="G2316" s="64">
        <f t="shared" si="126"/>
        <v>62.19</v>
      </c>
      <c r="H2316" s="64"/>
      <c r="I2316" s="78"/>
    </row>
    <row r="2317" spans="1:9" ht="30">
      <c r="A2317" s="74"/>
      <c r="B2317" s="80" t="s">
        <v>133</v>
      </c>
      <c r="C2317" s="81" t="s">
        <v>134</v>
      </c>
      <c r="D2317" s="74" t="s">
        <v>51</v>
      </c>
      <c r="E2317" s="78">
        <v>32.96</v>
      </c>
      <c r="F2317" s="64">
        <f>TRUNC(21,2)</f>
        <v>21</v>
      </c>
      <c r="G2317" s="64">
        <f t="shared" si="126"/>
        <v>692.16</v>
      </c>
      <c r="H2317" s="64"/>
      <c r="I2317" s="78"/>
    </row>
    <row r="2318" spans="1:9" ht="30">
      <c r="A2318" s="74"/>
      <c r="B2318" s="80" t="s">
        <v>49</v>
      </c>
      <c r="C2318" s="81" t="s">
        <v>50</v>
      </c>
      <c r="D2318" s="74" t="s">
        <v>51</v>
      </c>
      <c r="E2318" s="78">
        <v>32.96</v>
      </c>
      <c r="F2318" s="64">
        <f>TRUNC(15.2,2)</f>
        <v>15.2</v>
      </c>
      <c r="G2318" s="64">
        <f t="shared" si="126"/>
        <v>500.99</v>
      </c>
      <c r="H2318" s="64"/>
      <c r="I2318" s="78"/>
    </row>
    <row r="2319" spans="1:9" ht="15">
      <c r="A2319" s="74"/>
      <c r="B2319" s="80" t="s">
        <v>428</v>
      </c>
      <c r="C2319" s="81" t="s">
        <v>429</v>
      </c>
      <c r="D2319" s="74" t="s">
        <v>17</v>
      </c>
      <c r="E2319" s="78">
        <v>8.8000000000000007</v>
      </c>
      <c r="F2319" s="64">
        <f>TRUNC(57.0345,2)</f>
        <v>57.03</v>
      </c>
      <c r="G2319" s="64">
        <f t="shared" si="126"/>
        <v>501.86</v>
      </c>
      <c r="H2319" s="64"/>
      <c r="I2319" s="78"/>
    </row>
    <row r="2320" spans="1:9" ht="15">
      <c r="A2320" s="74"/>
      <c r="B2320" s="80" t="s">
        <v>223</v>
      </c>
      <c r="C2320" s="81" t="s">
        <v>224</v>
      </c>
      <c r="D2320" s="74" t="s">
        <v>55</v>
      </c>
      <c r="E2320" s="78">
        <v>0.32</v>
      </c>
      <c r="F2320" s="64">
        <f>TRUNC(452.36,2)</f>
        <v>452.36</v>
      </c>
      <c r="G2320" s="64">
        <f t="shared" si="126"/>
        <v>144.75</v>
      </c>
      <c r="H2320" s="64"/>
      <c r="I2320" s="78"/>
    </row>
    <row r="2321" spans="1:9" ht="15">
      <c r="A2321" s="74"/>
      <c r="B2321" s="80"/>
      <c r="C2321" s="81"/>
      <c r="D2321" s="74"/>
      <c r="E2321" s="78" t="s">
        <v>33</v>
      </c>
      <c r="F2321" s="64"/>
      <c r="G2321" s="64">
        <f>TRUNC(SUM(G2301:G2320),2)</f>
        <v>3553.56</v>
      </c>
      <c r="H2321" s="64"/>
      <c r="I2321" s="78"/>
    </row>
    <row r="2322" spans="1:9" ht="45">
      <c r="A2322" s="68" t="s">
        <v>999</v>
      </c>
      <c r="B2322" s="98" t="s">
        <v>1053</v>
      </c>
      <c r="C2322" s="23" t="s">
        <v>1054</v>
      </c>
      <c r="D2322" s="68" t="s">
        <v>7</v>
      </c>
      <c r="E2322" s="24">
        <v>1</v>
      </c>
      <c r="F2322" s="24">
        <f>TRUNC(F2323,2)</f>
        <v>921.85</v>
      </c>
      <c r="G2322" s="24">
        <f>TRUNC(F2322*1.2882,2)</f>
        <v>1187.52</v>
      </c>
      <c r="H2322" s="24">
        <f>TRUNC(F2322*E2322,2)</f>
        <v>921.85</v>
      </c>
      <c r="I2322" s="24">
        <f>TRUNC(E2322*G2322,2)</f>
        <v>1187.52</v>
      </c>
    </row>
    <row r="2323" spans="1:9" ht="45">
      <c r="A2323" s="74"/>
      <c r="B2323" s="80" t="s">
        <v>1053</v>
      </c>
      <c r="C2323" s="81" t="s">
        <v>1054</v>
      </c>
      <c r="D2323" s="74" t="s">
        <v>7</v>
      </c>
      <c r="E2323" s="78">
        <v>1</v>
      </c>
      <c r="F2323" s="64">
        <f>G2330</f>
        <v>921.85</v>
      </c>
      <c r="G2323" s="64">
        <f t="shared" ref="G2323:G2329" si="127">TRUNC(E2323*F2323,2)</f>
        <v>921.85</v>
      </c>
      <c r="H2323" s="64"/>
      <c r="I2323" s="78"/>
    </row>
    <row r="2324" spans="1:9" ht="30">
      <c r="A2324" s="74"/>
      <c r="B2324" s="80" t="s">
        <v>1055</v>
      </c>
      <c r="C2324" s="81" t="s">
        <v>1056</v>
      </c>
      <c r="D2324" s="74" t="s">
        <v>7</v>
      </c>
      <c r="E2324" s="78">
        <v>1</v>
      </c>
      <c r="F2324" s="64">
        <f>TRUNC(671.9,2)</f>
        <v>671.9</v>
      </c>
      <c r="G2324" s="64">
        <f t="shared" si="127"/>
        <v>671.9</v>
      </c>
      <c r="H2324" s="64"/>
      <c r="I2324" s="78"/>
    </row>
    <row r="2325" spans="1:9" ht="30">
      <c r="A2325" s="74"/>
      <c r="B2325" s="80" t="s">
        <v>49</v>
      </c>
      <c r="C2325" s="81" t="s">
        <v>50</v>
      </c>
      <c r="D2325" s="74" t="s">
        <v>51</v>
      </c>
      <c r="E2325" s="78">
        <v>5.665</v>
      </c>
      <c r="F2325" s="64">
        <f>TRUNC(15.2,2)</f>
        <v>15.2</v>
      </c>
      <c r="G2325" s="64">
        <f t="shared" si="127"/>
        <v>86.1</v>
      </c>
      <c r="H2325" s="64"/>
      <c r="I2325" s="78"/>
    </row>
    <row r="2326" spans="1:9" ht="15">
      <c r="A2326" s="74"/>
      <c r="B2326" s="80" t="s">
        <v>1057</v>
      </c>
      <c r="C2326" s="81" t="s">
        <v>1058</v>
      </c>
      <c r="D2326" s="74" t="s">
        <v>51</v>
      </c>
      <c r="E2326" s="78">
        <v>1</v>
      </c>
      <c r="F2326" s="64">
        <f>TRUNC(48.5683,2)</f>
        <v>48.56</v>
      </c>
      <c r="G2326" s="64">
        <f t="shared" si="127"/>
        <v>48.56</v>
      </c>
      <c r="H2326" s="64"/>
      <c r="I2326" s="78"/>
    </row>
    <row r="2327" spans="1:9" ht="15">
      <c r="A2327" s="74"/>
      <c r="B2327" s="80" t="s">
        <v>1059</v>
      </c>
      <c r="C2327" s="81" t="s">
        <v>1060</v>
      </c>
      <c r="D2327" s="74" t="s">
        <v>51</v>
      </c>
      <c r="E2327" s="78">
        <v>1</v>
      </c>
      <c r="F2327" s="64">
        <f>TRUNC(71.2888,2)</f>
        <v>71.28</v>
      </c>
      <c r="G2327" s="64">
        <f t="shared" si="127"/>
        <v>71.28</v>
      </c>
      <c r="H2327" s="64"/>
      <c r="I2327" s="78"/>
    </row>
    <row r="2328" spans="1:9" ht="15">
      <c r="A2328" s="74"/>
      <c r="B2328" s="80" t="s">
        <v>1061</v>
      </c>
      <c r="C2328" s="81" t="s">
        <v>1062</v>
      </c>
      <c r="D2328" s="74" t="s">
        <v>55</v>
      </c>
      <c r="E2328" s="78">
        <v>0.1</v>
      </c>
      <c r="F2328" s="64">
        <f>TRUNC(68.661,2)</f>
        <v>68.66</v>
      </c>
      <c r="G2328" s="64">
        <f t="shared" si="127"/>
        <v>6.86</v>
      </c>
      <c r="H2328" s="64"/>
      <c r="I2328" s="78"/>
    </row>
    <row r="2329" spans="1:9" ht="15">
      <c r="A2329" s="74"/>
      <c r="B2329" s="80" t="s">
        <v>461</v>
      </c>
      <c r="C2329" s="81" t="s">
        <v>462</v>
      </c>
      <c r="D2329" s="74" t="s">
        <v>55</v>
      </c>
      <c r="E2329" s="78">
        <v>0.1</v>
      </c>
      <c r="F2329" s="64">
        <f>TRUNC(371.5672,2)</f>
        <v>371.56</v>
      </c>
      <c r="G2329" s="64">
        <f t="shared" si="127"/>
        <v>37.15</v>
      </c>
      <c r="H2329" s="64"/>
      <c r="I2329" s="78"/>
    </row>
    <row r="2330" spans="1:9" ht="15">
      <c r="A2330" s="74"/>
      <c r="B2330" s="80"/>
      <c r="C2330" s="81"/>
      <c r="D2330" s="74"/>
      <c r="E2330" s="78" t="s">
        <v>33</v>
      </c>
      <c r="F2330" s="64"/>
      <c r="G2330" s="64">
        <f>TRUNC(SUM(G2324:G2329),2)</f>
        <v>921.85</v>
      </c>
      <c r="H2330" s="64"/>
      <c r="I2330" s="78"/>
    </row>
    <row r="2331" spans="1:9" ht="45">
      <c r="A2331" s="68" t="s">
        <v>1976</v>
      </c>
      <c r="B2331" s="98" t="s">
        <v>1983</v>
      </c>
      <c r="C2331" s="23" t="s">
        <v>2063</v>
      </c>
      <c r="D2331" s="68" t="s">
        <v>7</v>
      </c>
      <c r="E2331" s="24">
        <v>8</v>
      </c>
      <c r="F2331" s="24">
        <f>TRUNC(F2332,2)</f>
        <v>130.69</v>
      </c>
      <c r="G2331" s="24">
        <f>TRUNC(F2331*1.2882,2)</f>
        <v>168.35</v>
      </c>
      <c r="H2331" s="24">
        <f>TRUNC(F2331*E2331,2)</f>
        <v>1045.52</v>
      </c>
      <c r="I2331" s="24">
        <f>TRUNC(E2331*G2331,2)</f>
        <v>1346.8</v>
      </c>
    </row>
    <row r="2332" spans="1:9" ht="45">
      <c r="A2332" s="74"/>
      <c r="B2332" s="80" t="s">
        <v>1977</v>
      </c>
      <c r="C2332" s="81" t="s">
        <v>1978</v>
      </c>
      <c r="D2332" s="74" t="s">
        <v>7</v>
      </c>
      <c r="E2332" s="78">
        <v>1</v>
      </c>
      <c r="F2332" s="64">
        <f>G2338</f>
        <v>130.69</v>
      </c>
      <c r="G2332" s="64">
        <f t="shared" ref="G2332:G2337" si="128">TRUNC(E2332*F2332,2)</f>
        <v>130.69</v>
      </c>
      <c r="H2332" s="64"/>
      <c r="I2332" s="78"/>
    </row>
    <row r="2333" spans="1:9" ht="30">
      <c r="A2333" s="74"/>
      <c r="B2333" s="80" t="s">
        <v>1979</v>
      </c>
      <c r="C2333" s="81" t="s">
        <v>1980</v>
      </c>
      <c r="D2333" s="74" t="s">
        <v>7</v>
      </c>
      <c r="E2333" s="78">
        <v>1</v>
      </c>
      <c r="F2333" s="64">
        <f>TRUNC(100.69,2)</f>
        <v>100.69</v>
      </c>
      <c r="G2333" s="64">
        <f t="shared" si="128"/>
        <v>100.69</v>
      </c>
      <c r="H2333" s="64"/>
      <c r="I2333" s="78"/>
    </row>
    <row r="2334" spans="1:9" s="169" customFormat="1" ht="15.75">
      <c r="A2334" s="256"/>
      <c r="B2334" s="257" t="s">
        <v>1981</v>
      </c>
      <c r="C2334" s="258" t="s">
        <v>1982</v>
      </c>
      <c r="D2334" s="256" t="s">
        <v>7</v>
      </c>
      <c r="E2334" s="259"/>
      <c r="F2334" s="260">
        <f>TRUNC(15.1,2)</f>
        <v>15.1</v>
      </c>
      <c r="G2334" s="260">
        <f t="shared" si="128"/>
        <v>0</v>
      </c>
      <c r="H2334" s="260"/>
      <c r="I2334" s="259"/>
    </row>
    <row r="2335" spans="1:9" ht="15">
      <c r="A2335" s="74"/>
      <c r="B2335" s="80" t="s">
        <v>125</v>
      </c>
      <c r="C2335" s="81" t="s">
        <v>126</v>
      </c>
      <c r="D2335" s="74" t="s">
        <v>51</v>
      </c>
      <c r="E2335" s="78">
        <v>0.55179999999999996</v>
      </c>
      <c r="F2335" s="64">
        <f>TRUNC(29.83,2)</f>
        <v>29.83</v>
      </c>
      <c r="G2335" s="64">
        <f t="shared" si="128"/>
        <v>16.46</v>
      </c>
      <c r="H2335" s="64"/>
      <c r="I2335" s="78"/>
    </row>
    <row r="2336" spans="1:9" ht="15">
      <c r="A2336" s="74"/>
      <c r="B2336" s="80" t="s">
        <v>910</v>
      </c>
      <c r="C2336" s="81" t="s">
        <v>911</v>
      </c>
      <c r="D2336" s="74" t="s">
        <v>51</v>
      </c>
      <c r="E2336" s="78">
        <v>0.22989999999999999</v>
      </c>
      <c r="F2336" s="64">
        <f>TRUNC(24.54,2)</f>
        <v>24.54</v>
      </c>
      <c r="G2336" s="64">
        <f t="shared" si="128"/>
        <v>5.64</v>
      </c>
      <c r="H2336" s="64"/>
      <c r="I2336" s="78"/>
    </row>
    <row r="2337" spans="1:9" s="169" customFormat="1" ht="15.75">
      <c r="A2337" s="256"/>
      <c r="B2337" s="257" t="s">
        <v>1620</v>
      </c>
      <c r="C2337" s="258" t="s">
        <v>2062</v>
      </c>
      <c r="D2337" s="256" t="s">
        <v>7</v>
      </c>
      <c r="E2337" s="259">
        <v>1</v>
      </c>
      <c r="F2337" s="260">
        <v>7.9</v>
      </c>
      <c r="G2337" s="260">
        <f t="shared" si="128"/>
        <v>7.9</v>
      </c>
      <c r="H2337" s="260"/>
      <c r="I2337" s="259"/>
    </row>
    <row r="2338" spans="1:9" ht="15">
      <c r="A2338" s="74"/>
      <c r="B2338" s="80"/>
      <c r="C2338" s="81"/>
      <c r="D2338" s="74"/>
      <c r="E2338" s="78" t="s">
        <v>33</v>
      </c>
      <c r="F2338" s="64"/>
      <c r="G2338" s="64">
        <f>TRUNC(SUM(G2333:G2337),2)</f>
        <v>130.69</v>
      </c>
      <c r="H2338" s="64"/>
      <c r="I2338" s="78"/>
    </row>
    <row r="2339" spans="1:9" s="169" customFormat="1" ht="15.75">
      <c r="A2339" s="240" t="s">
        <v>18</v>
      </c>
      <c r="B2339" s="241"/>
      <c r="C2339" s="242"/>
      <c r="D2339" s="240"/>
      <c r="E2339" s="243"/>
      <c r="F2339" s="244"/>
      <c r="G2339" s="335" t="s">
        <v>681</v>
      </c>
      <c r="H2339" s="336"/>
      <c r="I2339" s="244">
        <f>I2077+I2086+I2095+I2100+I2105+I2110+I2115+I2120+I2125+I2130+I2135+I2142+I2149+I2156+I2163+I2170+I2177+I2183+I2189+I2195+I2201+I2207+I2213+I2219+I2226+I2233+I2240+I2247+I2254+I2261+I2267+I2273+I2280+I2287+I2293+I2299+I2322+I2331</f>
        <v>62304.489999999991</v>
      </c>
    </row>
    <row r="2340" spans="1:9" ht="14.25" customHeight="1">
      <c r="A2340" s="53" t="s">
        <v>679</v>
      </c>
      <c r="B2340" s="54"/>
      <c r="C2340" s="334" t="s">
        <v>680</v>
      </c>
      <c r="D2340" s="334"/>
      <c r="E2340" s="334"/>
      <c r="F2340" s="334"/>
      <c r="G2340" s="334"/>
      <c r="H2340" s="334"/>
      <c r="I2340" s="334"/>
    </row>
    <row r="2341" spans="1:9" ht="76.5">
      <c r="A2341" s="68" t="s">
        <v>682</v>
      </c>
      <c r="B2341" s="98" t="s">
        <v>2064</v>
      </c>
      <c r="C2341" s="23" t="s">
        <v>2096</v>
      </c>
      <c r="D2341" s="68" t="s">
        <v>17</v>
      </c>
      <c r="E2341" s="24">
        <v>386</v>
      </c>
      <c r="F2341" s="24">
        <f>TRUNC(F2342,2)</f>
        <v>142.9</v>
      </c>
      <c r="G2341" s="24">
        <f>TRUNC(F2341*1.2882,2)</f>
        <v>184.08</v>
      </c>
      <c r="H2341" s="24">
        <f>TRUNC(F2341*E2341,2)</f>
        <v>55159.4</v>
      </c>
      <c r="I2341" s="24">
        <f>TRUNC(E2341*G2341,2)</f>
        <v>71054.880000000005</v>
      </c>
    </row>
    <row r="2342" spans="1:9" ht="60">
      <c r="A2342" s="74"/>
      <c r="B2342" s="80" t="s">
        <v>683</v>
      </c>
      <c r="C2342" s="81" t="s">
        <v>684</v>
      </c>
      <c r="D2342" s="74" t="s">
        <v>17</v>
      </c>
      <c r="E2342" s="78">
        <v>1</v>
      </c>
      <c r="F2342" s="64">
        <f>G2352</f>
        <v>142.9</v>
      </c>
      <c r="G2342" s="64">
        <f t="shared" ref="G2342:G2351" si="129">TRUNC(E2342*F2342,2)</f>
        <v>142.9</v>
      </c>
      <c r="H2342" s="64"/>
      <c r="I2342" s="78"/>
    </row>
    <row r="2343" spans="1:9" ht="30">
      <c r="A2343" s="74"/>
      <c r="B2343" s="80" t="s">
        <v>685</v>
      </c>
      <c r="C2343" s="81" t="s">
        <v>686</v>
      </c>
      <c r="D2343" s="74" t="s">
        <v>17</v>
      </c>
      <c r="E2343" s="78">
        <v>1</v>
      </c>
      <c r="F2343" s="64">
        <f>TRUNC(132.27,2)</f>
        <v>132.27000000000001</v>
      </c>
      <c r="G2343" s="64">
        <f t="shared" si="129"/>
        <v>132.27000000000001</v>
      </c>
      <c r="H2343" s="64"/>
      <c r="I2343" s="78"/>
    </row>
    <row r="2344" spans="1:9" s="169" customFormat="1" ht="31.5">
      <c r="A2344" s="256"/>
      <c r="B2344" s="257" t="s">
        <v>687</v>
      </c>
      <c r="C2344" s="258" t="s">
        <v>688</v>
      </c>
      <c r="D2344" s="256" t="s">
        <v>7</v>
      </c>
      <c r="E2344" s="259"/>
      <c r="F2344" s="260">
        <f>TRUNC(65.4468,2)</f>
        <v>65.44</v>
      </c>
      <c r="G2344" s="260">
        <f t="shared" si="129"/>
        <v>0</v>
      </c>
      <c r="H2344" s="260"/>
      <c r="I2344" s="259"/>
    </row>
    <row r="2345" spans="1:9" ht="30">
      <c r="A2345" s="74"/>
      <c r="B2345" s="80" t="s">
        <v>689</v>
      </c>
      <c r="C2345" s="81" t="s">
        <v>690</v>
      </c>
      <c r="D2345" s="74" t="s">
        <v>7</v>
      </c>
      <c r="E2345" s="78">
        <v>1.9870000000000001</v>
      </c>
      <c r="F2345" s="64">
        <f>TRUNC(2.35,2)</f>
        <v>2.35</v>
      </c>
      <c r="G2345" s="64">
        <f t="shared" si="129"/>
        <v>4.66</v>
      </c>
      <c r="H2345" s="64"/>
      <c r="I2345" s="78"/>
    </row>
    <row r="2346" spans="1:9" ht="15">
      <c r="A2346" s="74"/>
      <c r="B2346" s="80" t="s">
        <v>691</v>
      </c>
      <c r="C2346" s="81" t="s">
        <v>692</v>
      </c>
      <c r="D2346" s="74" t="s">
        <v>7</v>
      </c>
      <c r="E2346" s="78">
        <v>1.9870000000000001</v>
      </c>
      <c r="F2346" s="64">
        <f>TRUNC(0.39,2)</f>
        <v>0.39</v>
      </c>
      <c r="G2346" s="64">
        <f t="shared" si="129"/>
        <v>0.77</v>
      </c>
      <c r="H2346" s="64"/>
      <c r="I2346" s="78"/>
    </row>
    <row r="2347" spans="1:9" ht="15">
      <c r="A2347" s="74"/>
      <c r="B2347" s="80" t="s">
        <v>693</v>
      </c>
      <c r="C2347" s="81" t="s">
        <v>694</v>
      </c>
      <c r="D2347" s="74" t="s">
        <v>7</v>
      </c>
      <c r="E2347" s="78">
        <v>0.60599999999999998</v>
      </c>
      <c r="F2347" s="64">
        <f>TRUNC(0.9749,2)</f>
        <v>0.97</v>
      </c>
      <c r="G2347" s="64">
        <f t="shared" si="129"/>
        <v>0.57999999999999996</v>
      </c>
      <c r="H2347" s="64"/>
      <c r="I2347" s="78"/>
    </row>
    <row r="2348" spans="1:9" s="169" customFormat="1" ht="31.5">
      <c r="A2348" s="256"/>
      <c r="B2348" s="257" t="s">
        <v>695</v>
      </c>
      <c r="C2348" s="258" t="s">
        <v>696</v>
      </c>
      <c r="D2348" s="256" t="s">
        <v>23</v>
      </c>
      <c r="E2348" s="259"/>
      <c r="F2348" s="260">
        <f>TRUNC(160.6027,2)</f>
        <v>160.6</v>
      </c>
      <c r="G2348" s="260">
        <f t="shared" si="129"/>
        <v>0</v>
      </c>
      <c r="H2348" s="260"/>
      <c r="I2348" s="259"/>
    </row>
    <row r="2349" spans="1:9" s="169" customFormat="1" ht="31.5">
      <c r="A2349" s="256"/>
      <c r="B2349" s="257" t="s">
        <v>697</v>
      </c>
      <c r="C2349" s="258" t="s">
        <v>698</v>
      </c>
      <c r="D2349" s="256" t="s">
        <v>23</v>
      </c>
      <c r="E2349" s="259"/>
      <c r="F2349" s="260">
        <f>TRUNC(86.11,2)</f>
        <v>86.11</v>
      </c>
      <c r="G2349" s="260">
        <f t="shared" si="129"/>
        <v>0</v>
      </c>
      <c r="H2349" s="260"/>
      <c r="I2349" s="259"/>
    </row>
    <row r="2350" spans="1:9" ht="30">
      <c r="A2350" s="74"/>
      <c r="B2350" s="80" t="s">
        <v>699</v>
      </c>
      <c r="C2350" s="81" t="s">
        <v>700</v>
      </c>
      <c r="D2350" s="74" t="s">
        <v>51</v>
      </c>
      <c r="E2350" s="78">
        <v>0.12875</v>
      </c>
      <c r="F2350" s="64">
        <f>TRUNC(22.6,2)</f>
        <v>22.6</v>
      </c>
      <c r="G2350" s="64">
        <f t="shared" si="129"/>
        <v>2.9</v>
      </c>
      <c r="H2350" s="64"/>
      <c r="I2350" s="78"/>
    </row>
    <row r="2351" spans="1:9" ht="30">
      <c r="A2351" s="74"/>
      <c r="B2351" s="80" t="s">
        <v>701</v>
      </c>
      <c r="C2351" s="81" t="s">
        <v>702</v>
      </c>
      <c r="D2351" s="74" t="s">
        <v>51</v>
      </c>
      <c r="E2351" s="78">
        <v>0.1133</v>
      </c>
      <c r="F2351" s="64">
        <f>TRUNC(15.2,2)</f>
        <v>15.2</v>
      </c>
      <c r="G2351" s="64">
        <f t="shared" si="129"/>
        <v>1.72</v>
      </c>
      <c r="H2351" s="64"/>
      <c r="I2351" s="78"/>
    </row>
    <row r="2352" spans="1:9" ht="15">
      <c r="A2352" s="74"/>
      <c r="B2352" s="80"/>
      <c r="C2352" s="81"/>
      <c r="D2352" s="74"/>
      <c r="E2352" s="78" t="s">
        <v>33</v>
      </c>
      <c r="F2352" s="64"/>
      <c r="G2352" s="64">
        <f>TRUNC(SUM(G2343:G2351),2)</f>
        <v>142.9</v>
      </c>
      <c r="H2352" s="64"/>
      <c r="I2352" s="78"/>
    </row>
    <row r="2353" spans="1:9" ht="30">
      <c r="A2353" s="68" t="s">
        <v>703</v>
      </c>
      <c r="B2353" s="98" t="s">
        <v>1580</v>
      </c>
      <c r="C2353" s="23" t="s">
        <v>1956</v>
      </c>
      <c r="D2353" s="68" t="s">
        <v>46</v>
      </c>
      <c r="E2353" s="24">
        <f>2036.74+360.8+520.22</f>
        <v>2917.76</v>
      </c>
      <c r="F2353" s="24">
        <f>TRUNC(F2354,2)</f>
        <v>13.36</v>
      </c>
      <c r="G2353" s="24">
        <f>TRUNC(F2353*1.2882,2)</f>
        <v>17.21</v>
      </c>
      <c r="H2353" s="24">
        <f>TRUNC(F2353*E2353,2)</f>
        <v>38981.269999999997</v>
      </c>
      <c r="I2353" s="24">
        <f>TRUNC(E2353*G2353,2)</f>
        <v>50214.64</v>
      </c>
    </row>
    <row r="2354" spans="1:9" ht="45">
      <c r="A2354" s="74"/>
      <c r="B2354" s="80" t="s">
        <v>1580</v>
      </c>
      <c r="C2354" s="81" t="s">
        <v>1581</v>
      </c>
      <c r="D2354" s="74" t="s">
        <v>46</v>
      </c>
      <c r="E2354" s="78">
        <f>2036.74+360.8+520.22</f>
        <v>2917.76</v>
      </c>
      <c r="F2354" s="64">
        <f>G2363</f>
        <v>13.36</v>
      </c>
      <c r="G2354" s="64">
        <f t="shared" ref="G2354:G2362" si="130">TRUNC(E2354*F2354,2)</f>
        <v>38981.269999999997</v>
      </c>
      <c r="H2354" s="64"/>
      <c r="I2354" s="78"/>
    </row>
    <row r="2355" spans="1:9" ht="30">
      <c r="A2355" s="74"/>
      <c r="B2355" s="80" t="s">
        <v>1582</v>
      </c>
      <c r="C2355" s="81" t="s">
        <v>1583</v>
      </c>
      <c r="D2355" s="74" t="s">
        <v>46</v>
      </c>
      <c r="E2355" s="78">
        <v>0.70520000000000005</v>
      </c>
      <c r="F2355" s="64">
        <v>10.48</v>
      </c>
      <c r="G2355" s="64">
        <f t="shared" si="130"/>
        <v>7.39</v>
      </c>
      <c r="H2355" s="64"/>
      <c r="I2355" s="78"/>
    </row>
    <row r="2356" spans="1:9" ht="30">
      <c r="A2356" s="74"/>
      <c r="B2356" s="80" t="s">
        <v>704</v>
      </c>
      <c r="C2356" s="81" t="s">
        <v>705</v>
      </c>
      <c r="D2356" s="74" t="s">
        <v>7</v>
      </c>
      <c r="E2356" s="78">
        <v>9.1200000000000003E-2</v>
      </c>
      <c r="F2356" s="64">
        <v>3.8</v>
      </c>
      <c r="G2356" s="64">
        <f t="shared" si="130"/>
        <v>0.34</v>
      </c>
      <c r="H2356" s="64"/>
      <c r="I2356" s="78"/>
    </row>
    <row r="2357" spans="1:9" ht="15">
      <c r="A2357" s="74"/>
      <c r="B2357" s="80" t="s">
        <v>1584</v>
      </c>
      <c r="C2357" s="81" t="s">
        <v>1585</v>
      </c>
      <c r="D2357" s="74" t="s">
        <v>46</v>
      </c>
      <c r="E2357" s="78">
        <v>2.8999999999999998E-3</v>
      </c>
      <c r="F2357" s="64">
        <v>46.45</v>
      </c>
      <c r="G2357" s="64">
        <f t="shared" si="130"/>
        <v>0.13</v>
      </c>
      <c r="H2357" s="64"/>
      <c r="I2357" s="78"/>
    </row>
    <row r="2358" spans="1:9" ht="30">
      <c r="A2358" s="74"/>
      <c r="B2358" s="80" t="s">
        <v>1586</v>
      </c>
      <c r="C2358" s="81" t="s">
        <v>1587</v>
      </c>
      <c r="D2358" s="74" t="s">
        <v>46</v>
      </c>
      <c r="E2358" s="78">
        <v>0.29480000000000001</v>
      </c>
      <c r="F2358" s="64">
        <v>9.9499999999999993</v>
      </c>
      <c r="G2358" s="64">
        <f t="shared" si="130"/>
        <v>2.93</v>
      </c>
      <c r="H2358" s="64"/>
      <c r="I2358" s="78"/>
    </row>
    <row r="2359" spans="1:9" ht="15">
      <c r="A2359" s="74"/>
      <c r="B2359" s="80" t="s">
        <v>56</v>
      </c>
      <c r="C2359" s="81" t="s">
        <v>57</v>
      </c>
      <c r="D2359" s="74" t="s">
        <v>51</v>
      </c>
      <c r="E2359" s="78">
        <v>1.9699999999999999E-2</v>
      </c>
      <c r="F2359" s="64">
        <f>TRUNC(22.72,2)</f>
        <v>22.72</v>
      </c>
      <c r="G2359" s="64">
        <f t="shared" si="130"/>
        <v>0.44</v>
      </c>
      <c r="H2359" s="64"/>
      <c r="I2359" s="78"/>
    </row>
    <row r="2360" spans="1:9" ht="15">
      <c r="A2360" s="74"/>
      <c r="B2360" s="80" t="s">
        <v>706</v>
      </c>
      <c r="C2360" s="81" t="s">
        <v>707</v>
      </c>
      <c r="D2360" s="74" t="s">
        <v>51</v>
      </c>
      <c r="E2360" s="78">
        <v>5.8700000000000002E-2</v>
      </c>
      <c r="F2360" s="64">
        <f>TRUNC(29.18,2)</f>
        <v>29.18</v>
      </c>
      <c r="G2360" s="64">
        <f t="shared" si="130"/>
        <v>1.71</v>
      </c>
      <c r="H2360" s="64"/>
      <c r="I2360" s="78"/>
    </row>
    <row r="2361" spans="1:9" ht="30">
      <c r="A2361" s="74"/>
      <c r="B2361" s="80" t="s">
        <v>708</v>
      </c>
      <c r="C2361" s="81" t="s">
        <v>1653</v>
      </c>
      <c r="D2361" s="74" t="s">
        <v>94</v>
      </c>
      <c r="E2361" s="78">
        <v>1.1000000000000001E-3</v>
      </c>
      <c r="F2361" s="64">
        <f>TRUNC(157.37,2)</f>
        <v>157.37</v>
      </c>
      <c r="G2361" s="64">
        <f t="shared" si="130"/>
        <v>0.17</v>
      </c>
      <c r="H2361" s="64"/>
      <c r="I2361" s="78"/>
    </row>
    <row r="2362" spans="1:9" ht="30">
      <c r="A2362" s="74"/>
      <c r="B2362" s="80" t="s">
        <v>709</v>
      </c>
      <c r="C2362" s="81" t="s">
        <v>1654</v>
      </c>
      <c r="D2362" s="74" t="s">
        <v>97</v>
      </c>
      <c r="E2362" s="78">
        <v>8.0000000000000004E-4</v>
      </c>
      <c r="F2362" s="64">
        <f>TRUNC(323.46,2)</f>
        <v>323.45999999999998</v>
      </c>
      <c r="G2362" s="64">
        <f t="shared" si="130"/>
        <v>0.25</v>
      </c>
      <c r="H2362" s="64"/>
      <c r="I2362" s="78"/>
    </row>
    <row r="2363" spans="1:9" ht="15">
      <c r="A2363" s="74"/>
      <c r="B2363" s="80"/>
      <c r="C2363" s="81"/>
      <c r="D2363" s="74"/>
      <c r="E2363" s="78" t="s">
        <v>33</v>
      </c>
      <c r="F2363" s="64"/>
      <c r="G2363" s="64">
        <f>TRUNC(SUM(G2355:G2362),2)</f>
        <v>13.36</v>
      </c>
      <c r="H2363" s="64"/>
      <c r="I2363" s="78"/>
    </row>
    <row r="2364" spans="1:9" ht="30">
      <c r="A2364" s="68" t="s">
        <v>710</v>
      </c>
      <c r="B2364" s="98" t="s">
        <v>2098</v>
      </c>
      <c r="C2364" s="23" t="s">
        <v>1808</v>
      </c>
      <c r="D2364" s="68" t="s">
        <v>23</v>
      </c>
      <c r="E2364" s="24">
        <v>39.200000000000003</v>
      </c>
      <c r="F2364" s="24">
        <f>TRUNC(G2365,2)</f>
        <v>178.15</v>
      </c>
      <c r="G2364" s="24">
        <f>TRUNC(F2364*1.2882,2)</f>
        <v>229.49</v>
      </c>
      <c r="H2364" s="24">
        <f>TRUNC(F2364*E2364,2)</f>
        <v>6983.48</v>
      </c>
      <c r="I2364" s="24">
        <f>TRUNC(E2364*G2364,2)</f>
        <v>8996</v>
      </c>
    </row>
    <row r="2365" spans="1:9" ht="30">
      <c r="A2365" s="74"/>
      <c r="B2365" s="80" t="s">
        <v>726</v>
      </c>
      <c r="C2365" s="81" t="s">
        <v>727</v>
      </c>
      <c r="D2365" s="74" t="s">
        <v>23</v>
      </c>
      <c r="E2365" s="78">
        <f>0.8/0.75</f>
        <v>1.0666666666666667</v>
      </c>
      <c r="F2365" s="64">
        <f>G2375</f>
        <v>167.02</v>
      </c>
      <c r="G2365" s="260">
        <f t="shared" ref="G2365:G2374" si="131">TRUNC(E2365*F2365,2)</f>
        <v>178.15</v>
      </c>
      <c r="H2365" s="64"/>
      <c r="I2365" s="78"/>
    </row>
    <row r="2366" spans="1:9" ht="15">
      <c r="A2366" s="74"/>
      <c r="B2366" s="80" t="s">
        <v>728</v>
      </c>
      <c r="C2366" s="81" t="s">
        <v>729</v>
      </c>
      <c r="D2366" s="74" t="s">
        <v>7</v>
      </c>
      <c r="E2366" s="78">
        <v>5</v>
      </c>
      <c r="F2366" s="64">
        <f>TRUNC(0.06,2)</f>
        <v>0.06</v>
      </c>
      <c r="G2366" s="64">
        <f t="shared" si="131"/>
        <v>0.3</v>
      </c>
      <c r="H2366" s="64"/>
      <c r="I2366" s="78"/>
    </row>
    <row r="2367" spans="1:9" ht="15">
      <c r="A2367" s="74"/>
      <c r="B2367" s="80" t="s">
        <v>730</v>
      </c>
      <c r="C2367" s="81" t="s">
        <v>731</v>
      </c>
      <c r="D2367" s="74" t="s">
        <v>7</v>
      </c>
      <c r="E2367" s="78">
        <v>2</v>
      </c>
      <c r="F2367" s="64">
        <f>TRUNC(0.0518,2)</f>
        <v>0.05</v>
      </c>
      <c r="G2367" s="64">
        <f t="shared" si="131"/>
        <v>0.1</v>
      </c>
      <c r="H2367" s="64"/>
      <c r="I2367" s="78"/>
    </row>
    <row r="2368" spans="1:9" ht="30">
      <c r="A2368" s="74"/>
      <c r="B2368" s="80" t="s">
        <v>732</v>
      </c>
      <c r="C2368" s="81" t="s">
        <v>733</v>
      </c>
      <c r="D2368" s="74" t="s">
        <v>7</v>
      </c>
      <c r="E2368" s="78">
        <v>1</v>
      </c>
      <c r="F2368" s="64">
        <f>TRUNC(10.68,2)</f>
        <v>10.68</v>
      </c>
      <c r="G2368" s="64">
        <f t="shared" si="131"/>
        <v>10.68</v>
      </c>
      <c r="H2368" s="64"/>
      <c r="I2368" s="78"/>
    </row>
    <row r="2369" spans="1:9" ht="30">
      <c r="A2369" s="74"/>
      <c r="B2369" s="80" t="s">
        <v>44</v>
      </c>
      <c r="C2369" s="81" t="s">
        <v>45</v>
      </c>
      <c r="D2369" s="74" t="s">
        <v>46</v>
      </c>
      <c r="E2369" s="78">
        <v>0.1</v>
      </c>
      <c r="F2369" s="64">
        <f>TRUNC(18.81,2)</f>
        <v>18.809999999999999</v>
      </c>
      <c r="G2369" s="64">
        <f t="shared" si="131"/>
        <v>1.88</v>
      </c>
      <c r="H2369" s="64"/>
      <c r="I2369" s="78"/>
    </row>
    <row r="2370" spans="1:9" ht="15">
      <c r="A2370" s="74"/>
      <c r="B2370" s="80" t="s">
        <v>734</v>
      </c>
      <c r="C2370" s="81" t="s">
        <v>735</v>
      </c>
      <c r="D2370" s="74" t="s">
        <v>46</v>
      </c>
      <c r="E2370" s="78">
        <v>0.09</v>
      </c>
      <c r="F2370" s="64">
        <f>TRUNC(175.09,2)</f>
        <v>175.09</v>
      </c>
      <c r="G2370" s="64">
        <f t="shared" si="131"/>
        <v>15.75</v>
      </c>
      <c r="H2370" s="64"/>
      <c r="I2370" s="78"/>
    </row>
    <row r="2371" spans="1:9" ht="30">
      <c r="A2371" s="74"/>
      <c r="B2371" s="80" t="s">
        <v>736</v>
      </c>
      <c r="C2371" s="81" t="s">
        <v>737</v>
      </c>
      <c r="D2371" s="74" t="s">
        <v>46</v>
      </c>
      <c r="E2371" s="78">
        <v>3.1</v>
      </c>
      <c r="F2371" s="64">
        <f>TRUNC(22.0895,2)</f>
        <v>22.08</v>
      </c>
      <c r="G2371" s="64">
        <f t="shared" si="131"/>
        <v>68.44</v>
      </c>
      <c r="H2371" s="64"/>
      <c r="I2371" s="78"/>
    </row>
    <row r="2372" spans="1:9" ht="30">
      <c r="A2372" s="74"/>
      <c r="B2372" s="80" t="s">
        <v>49</v>
      </c>
      <c r="C2372" s="81" t="s">
        <v>50</v>
      </c>
      <c r="D2372" s="74" t="s">
        <v>51</v>
      </c>
      <c r="E2372" s="78">
        <v>1.7509999999999999</v>
      </c>
      <c r="F2372" s="64">
        <f>TRUNC(15.2,2)</f>
        <v>15.2</v>
      </c>
      <c r="G2372" s="64">
        <f t="shared" si="131"/>
        <v>26.61</v>
      </c>
      <c r="H2372" s="64"/>
      <c r="I2372" s="78"/>
    </row>
    <row r="2373" spans="1:9" ht="15">
      <c r="A2373" s="74"/>
      <c r="B2373" s="80" t="s">
        <v>76</v>
      </c>
      <c r="C2373" s="81" t="s">
        <v>77</v>
      </c>
      <c r="D2373" s="74" t="s">
        <v>51</v>
      </c>
      <c r="E2373" s="78">
        <v>1.03</v>
      </c>
      <c r="F2373" s="64">
        <f>TRUNC(21,2)</f>
        <v>21</v>
      </c>
      <c r="G2373" s="64">
        <f t="shared" si="131"/>
        <v>21.63</v>
      </c>
      <c r="H2373" s="64"/>
      <c r="I2373" s="78"/>
    </row>
    <row r="2374" spans="1:9" ht="30">
      <c r="A2374" s="74"/>
      <c r="B2374" s="80" t="s">
        <v>82</v>
      </c>
      <c r="C2374" s="81" t="s">
        <v>83</v>
      </c>
      <c r="D2374" s="74" t="s">
        <v>51</v>
      </c>
      <c r="E2374" s="78">
        <v>1.03</v>
      </c>
      <c r="F2374" s="64">
        <f>TRUNC(21,2)</f>
        <v>21</v>
      </c>
      <c r="G2374" s="64">
        <f t="shared" si="131"/>
        <v>21.63</v>
      </c>
      <c r="H2374" s="64"/>
      <c r="I2374" s="78"/>
    </row>
    <row r="2375" spans="1:9" ht="15">
      <c r="A2375" s="74"/>
      <c r="B2375" s="80"/>
      <c r="C2375" s="81"/>
      <c r="D2375" s="74"/>
      <c r="E2375" s="78" t="s">
        <v>33</v>
      </c>
      <c r="F2375" s="64"/>
      <c r="G2375" s="64">
        <f>TRUNC(SUM(G2366:G2374),2)</f>
        <v>167.02</v>
      </c>
      <c r="H2375" s="64"/>
      <c r="I2375" s="78"/>
    </row>
    <row r="2376" spans="1:9" ht="45">
      <c r="A2376" s="68" t="s">
        <v>738</v>
      </c>
      <c r="B2376" s="98" t="s">
        <v>739</v>
      </c>
      <c r="C2376" s="23" t="s">
        <v>740</v>
      </c>
      <c r="D2376" s="68" t="s">
        <v>23</v>
      </c>
      <c r="E2376" s="24">
        <v>19.2</v>
      </c>
      <c r="F2376" s="24">
        <f>TRUNC(F2377,2)</f>
        <v>120.62</v>
      </c>
      <c r="G2376" s="24">
        <f>TRUNC(F2376*1.2882,2)</f>
        <v>155.38</v>
      </c>
      <c r="H2376" s="24">
        <f>TRUNC(F2376*E2376,2)</f>
        <v>2315.9</v>
      </c>
      <c r="I2376" s="24">
        <f>TRUNC(E2376*G2376,2)</f>
        <v>2983.29</v>
      </c>
    </row>
    <row r="2377" spans="1:9" ht="45">
      <c r="A2377" s="74"/>
      <c r="B2377" s="80" t="s">
        <v>739</v>
      </c>
      <c r="C2377" s="81" t="s">
        <v>740</v>
      </c>
      <c r="D2377" s="74" t="s">
        <v>23</v>
      </c>
      <c r="E2377" s="78">
        <v>1</v>
      </c>
      <c r="F2377" s="64">
        <f>G2381</f>
        <v>120.62</v>
      </c>
      <c r="G2377" s="64">
        <f>TRUNC(E2377*F2377,2)</f>
        <v>120.62</v>
      </c>
      <c r="H2377" s="64"/>
      <c r="I2377" s="78"/>
    </row>
    <row r="2378" spans="1:9" ht="30">
      <c r="A2378" s="74"/>
      <c r="B2378" s="80" t="s">
        <v>736</v>
      </c>
      <c r="C2378" s="81" t="s">
        <v>737</v>
      </c>
      <c r="D2378" s="74" t="s">
        <v>46</v>
      </c>
      <c r="E2378" s="78">
        <v>4.9572000000000003</v>
      </c>
      <c r="F2378" s="64">
        <f>TRUNC(22.0895,2)</f>
        <v>22.08</v>
      </c>
      <c r="G2378" s="64">
        <f>TRUNC(E2378*F2378,2)</f>
        <v>109.45</v>
      </c>
      <c r="H2378" s="64"/>
      <c r="I2378" s="78"/>
    </row>
    <row r="2379" spans="1:9" ht="30">
      <c r="A2379" s="74"/>
      <c r="B2379" s="80" t="s">
        <v>49</v>
      </c>
      <c r="C2379" s="81" t="s">
        <v>50</v>
      </c>
      <c r="D2379" s="74" t="s">
        <v>51</v>
      </c>
      <c r="E2379" s="78">
        <v>0.309</v>
      </c>
      <c r="F2379" s="64">
        <f>TRUNC(15.2,2)</f>
        <v>15.2</v>
      </c>
      <c r="G2379" s="64">
        <f>TRUNC(E2379*F2379,2)</f>
        <v>4.6900000000000004</v>
      </c>
      <c r="H2379" s="64"/>
      <c r="I2379" s="78"/>
    </row>
    <row r="2380" spans="1:9" ht="30">
      <c r="A2380" s="74"/>
      <c r="B2380" s="80" t="s">
        <v>138</v>
      </c>
      <c r="C2380" s="81" t="s">
        <v>139</v>
      </c>
      <c r="D2380" s="74" t="s">
        <v>51</v>
      </c>
      <c r="E2380" s="78">
        <v>0.309</v>
      </c>
      <c r="F2380" s="64">
        <f>TRUNC(21,2)</f>
        <v>21</v>
      </c>
      <c r="G2380" s="64">
        <f>TRUNC(E2380*F2380,2)</f>
        <v>6.48</v>
      </c>
      <c r="H2380" s="64"/>
      <c r="I2380" s="78"/>
    </row>
    <row r="2381" spans="1:9" ht="15">
      <c r="A2381" s="74"/>
      <c r="B2381" s="80"/>
      <c r="C2381" s="81"/>
      <c r="D2381" s="74"/>
      <c r="E2381" s="78" t="s">
        <v>33</v>
      </c>
      <c r="F2381" s="64"/>
      <c r="G2381" s="64">
        <f>TRUNC(SUM(G2378:G2380),2)</f>
        <v>120.62</v>
      </c>
      <c r="H2381" s="64"/>
      <c r="I2381" s="78"/>
    </row>
    <row r="2382" spans="1:9" ht="30">
      <c r="A2382" s="68" t="s">
        <v>741</v>
      </c>
      <c r="B2382" s="98" t="s">
        <v>747</v>
      </c>
      <c r="C2382" s="23" t="s">
        <v>745</v>
      </c>
      <c r="D2382" s="68" t="s">
        <v>23</v>
      </c>
      <c r="E2382" s="24">
        <v>14.2</v>
      </c>
      <c r="F2382" s="24">
        <f>TRUNC(F2383,2)</f>
        <v>69.11</v>
      </c>
      <c r="G2382" s="24">
        <f>TRUNC(F2382*1.2882,2)</f>
        <v>89.02</v>
      </c>
      <c r="H2382" s="24">
        <f>TRUNC(F2382*E2382,2)</f>
        <v>981.36</v>
      </c>
      <c r="I2382" s="24">
        <f>TRUNC(E2382*G2382,2)</f>
        <v>1264.08</v>
      </c>
    </row>
    <row r="2383" spans="1:9" ht="30">
      <c r="A2383" s="74"/>
      <c r="B2383" s="80" t="s">
        <v>747</v>
      </c>
      <c r="C2383" s="81" t="s">
        <v>745</v>
      </c>
      <c r="D2383" s="74" t="s">
        <v>23</v>
      </c>
      <c r="E2383" s="78">
        <v>1</v>
      </c>
      <c r="F2383" s="64">
        <f>G2393</f>
        <v>69.11</v>
      </c>
      <c r="G2383" s="64">
        <f t="shared" ref="G2383:G2392" si="132">TRUNC(E2383*F2383,2)</f>
        <v>69.11</v>
      </c>
      <c r="H2383" s="64"/>
      <c r="I2383" s="78"/>
    </row>
    <row r="2384" spans="1:9" ht="15">
      <c r="A2384" s="74"/>
      <c r="B2384" s="80" t="s">
        <v>711</v>
      </c>
      <c r="C2384" s="81" t="s">
        <v>712</v>
      </c>
      <c r="D2384" s="74" t="s">
        <v>46</v>
      </c>
      <c r="E2384" s="78">
        <v>5.8999999999999997E-2</v>
      </c>
      <c r="F2384" s="64">
        <f>TRUNC(226.04,2)</f>
        <v>226.04</v>
      </c>
      <c r="G2384" s="64">
        <f t="shared" si="132"/>
        <v>13.33</v>
      </c>
      <c r="H2384" s="64"/>
      <c r="I2384" s="78"/>
    </row>
    <row r="2385" spans="1:9" ht="15">
      <c r="A2385" s="74"/>
      <c r="B2385" s="80" t="s">
        <v>713</v>
      </c>
      <c r="C2385" s="81" t="s">
        <v>714</v>
      </c>
      <c r="D2385" s="74" t="s">
        <v>46</v>
      </c>
      <c r="E2385" s="78">
        <v>1.6000000000000001E-3</v>
      </c>
      <c r="F2385" s="64">
        <f>TRUNC(67.02,2)</f>
        <v>67.02</v>
      </c>
      <c r="G2385" s="64">
        <f t="shared" si="132"/>
        <v>0.1</v>
      </c>
      <c r="H2385" s="64"/>
      <c r="I2385" s="78"/>
    </row>
    <row r="2386" spans="1:9" ht="15">
      <c r="A2386" s="74"/>
      <c r="B2386" s="80" t="s">
        <v>715</v>
      </c>
      <c r="C2386" s="81" t="s">
        <v>716</v>
      </c>
      <c r="D2386" s="74" t="s">
        <v>46</v>
      </c>
      <c r="E2386" s="78">
        <v>8.0000000000000002E-3</v>
      </c>
      <c r="F2386" s="64">
        <f>TRUNC(26.2,2)</f>
        <v>26.2</v>
      </c>
      <c r="G2386" s="64">
        <f t="shared" si="132"/>
        <v>0.2</v>
      </c>
      <c r="H2386" s="64"/>
      <c r="I2386" s="78"/>
    </row>
    <row r="2387" spans="1:9" ht="30">
      <c r="A2387" s="74"/>
      <c r="B2387" s="80" t="s">
        <v>748</v>
      </c>
      <c r="C2387" s="81" t="s">
        <v>746</v>
      </c>
      <c r="D2387" s="74" t="s">
        <v>23</v>
      </c>
      <c r="E2387" s="78">
        <v>1.05</v>
      </c>
      <c r="F2387" s="64">
        <f>TRUNC(36.55,2)</f>
        <v>36.549999999999997</v>
      </c>
      <c r="G2387" s="64">
        <f t="shared" si="132"/>
        <v>38.369999999999997</v>
      </c>
      <c r="H2387" s="64"/>
      <c r="I2387" s="78"/>
    </row>
    <row r="2388" spans="1:9" ht="30">
      <c r="A2388" s="74"/>
      <c r="B2388" s="80" t="s">
        <v>717</v>
      </c>
      <c r="C2388" s="81" t="s">
        <v>718</v>
      </c>
      <c r="D2388" s="74" t="s">
        <v>719</v>
      </c>
      <c r="E2388" s="78">
        <v>0.21099999999999999</v>
      </c>
      <c r="F2388" s="64">
        <f>TRUNC(30.59,2)</f>
        <v>30.59</v>
      </c>
      <c r="G2388" s="64">
        <f t="shared" si="132"/>
        <v>6.45</v>
      </c>
      <c r="H2388" s="64"/>
      <c r="I2388" s="78"/>
    </row>
    <row r="2389" spans="1:9" ht="15">
      <c r="A2389" s="74"/>
      <c r="B2389" s="80" t="s">
        <v>720</v>
      </c>
      <c r="C2389" s="81" t="s">
        <v>721</v>
      </c>
      <c r="D2389" s="74" t="s">
        <v>51</v>
      </c>
      <c r="E2389" s="78">
        <v>0.14499999999999999</v>
      </c>
      <c r="F2389" s="64">
        <f>TRUNC(29.02,2)</f>
        <v>29.02</v>
      </c>
      <c r="G2389" s="64">
        <f t="shared" si="132"/>
        <v>4.2</v>
      </c>
      <c r="H2389" s="64"/>
      <c r="I2389" s="78"/>
    </row>
    <row r="2390" spans="1:9" ht="15">
      <c r="A2390" s="74"/>
      <c r="B2390" s="80" t="s">
        <v>56</v>
      </c>
      <c r="C2390" s="81" t="s">
        <v>57</v>
      </c>
      <c r="D2390" s="74" t="s">
        <v>51</v>
      </c>
      <c r="E2390" s="78">
        <v>0.23899999999999999</v>
      </c>
      <c r="F2390" s="64">
        <f>TRUNC(22.72,2)</f>
        <v>22.72</v>
      </c>
      <c r="G2390" s="64">
        <f t="shared" si="132"/>
        <v>5.43</v>
      </c>
      <c r="H2390" s="64"/>
      <c r="I2390" s="78"/>
    </row>
    <row r="2391" spans="1:9" ht="30">
      <c r="A2391" s="74"/>
      <c r="B2391" s="80" t="s">
        <v>722</v>
      </c>
      <c r="C2391" s="81" t="s">
        <v>723</v>
      </c>
      <c r="D2391" s="74" t="s">
        <v>94</v>
      </c>
      <c r="E2391" s="78">
        <v>1.83E-2</v>
      </c>
      <c r="F2391" s="64">
        <f>TRUNC(32.41,2)</f>
        <v>32.409999999999997</v>
      </c>
      <c r="G2391" s="64">
        <f t="shared" si="132"/>
        <v>0.59</v>
      </c>
      <c r="H2391" s="64"/>
      <c r="I2391" s="78"/>
    </row>
    <row r="2392" spans="1:9" ht="30">
      <c r="A2392" s="74"/>
      <c r="B2392" s="80" t="s">
        <v>724</v>
      </c>
      <c r="C2392" s="81" t="s">
        <v>725</v>
      </c>
      <c r="D2392" s="74" t="s">
        <v>97</v>
      </c>
      <c r="E2392" s="78">
        <v>1.32E-2</v>
      </c>
      <c r="F2392" s="64">
        <f>TRUNC(33.52,2)</f>
        <v>33.520000000000003</v>
      </c>
      <c r="G2392" s="64">
        <f t="shared" si="132"/>
        <v>0.44</v>
      </c>
      <c r="H2392" s="64"/>
      <c r="I2392" s="78"/>
    </row>
    <row r="2393" spans="1:9" ht="15">
      <c r="A2393" s="74"/>
      <c r="B2393" s="80"/>
      <c r="C2393" s="81"/>
      <c r="D2393" s="74"/>
      <c r="E2393" s="78" t="s">
        <v>33</v>
      </c>
      <c r="F2393" s="64"/>
      <c r="G2393" s="64">
        <f>TRUNC(SUM(G2384:G2392),2)</f>
        <v>69.11</v>
      </c>
      <c r="H2393" s="64"/>
      <c r="I2393" s="78"/>
    </row>
    <row r="2394" spans="1:9" ht="30">
      <c r="A2394" s="68" t="s">
        <v>743</v>
      </c>
      <c r="B2394" s="98" t="s">
        <v>749</v>
      </c>
      <c r="C2394" s="23" t="s">
        <v>750</v>
      </c>
      <c r="D2394" s="68" t="s">
        <v>23</v>
      </c>
      <c r="E2394" s="24">
        <v>39.700000000000003</v>
      </c>
      <c r="F2394" s="24">
        <f>TRUNC(F2395,2)</f>
        <v>110.44</v>
      </c>
      <c r="G2394" s="24">
        <f>TRUNC(F2394*1.2882,2)</f>
        <v>142.26</v>
      </c>
      <c r="H2394" s="24">
        <f>TRUNC(F2394*E2394,2)</f>
        <v>4384.46</v>
      </c>
      <c r="I2394" s="24">
        <f>TRUNC(E2394*G2394,2)</f>
        <v>5647.72</v>
      </c>
    </row>
    <row r="2395" spans="1:9" ht="30">
      <c r="A2395" s="74"/>
      <c r="B2395" s="80" t="s">
        <v>749</v>
      </c>
      <c r="C2395" s="81" t="s">
        <v>750</v>
      </c>
      <c r="D2395" s="74" t="s">
        <v>23</v>
      </c>
      <c r="E2395" s="78">
        <v>1</v>
      </c>
      <c r="F2395" s="64">
        <f>G2402</f>
        <v>110.44</v>
      </c>
      <c r="G2395" s="64">
        <f t="shared" ref="G2395:G2401" si="133">TRUNC(E2395*F2395,2)</f>
        <v>110.44</v>
      </c>
      <c r="H2395" s="64"/>
      <c r="I2395" s="78"/>
    </row>
    <row r="2396" spans="1:9" ht="15">
      <c r="A2396" s="74"/>
      <c r="B2396" s="80" t="s">
        <v>751</v>
      </c>
      <c r="C2396" s="81" t="s">
        <v>752</v>
      </c>
      <c r="D2396" s="74" t="s">
        <v>7</v>
      </c>
      <c r="E2396" s="78">
        <v>0.67</v>
      </c>
      <c r="F2396" s="64">
        <f>TRUNC(3.54,2)</f>
        <v>3.54</v>
      </c>
      <c r="G2396" s="64">
        <f t="shared" si="133"/>
        <v>2.37</v>
      </c>
      <c r="H2396" s="64"/>
      <c r="I2396" s="78"/>
    </row>
    <row r="2397" spans="1:9" ht="15">
      <c r="A2397" s="74"/>
      <c r="B2397" s="80" t="s">
        <v>753</v>
      </c>
      <c r="C2397" s="81" t="s">
        <v>754</v>
      </c>
      <c r="D2397" s="74" t="s">
        <v>7</v>
      </c>
      <c r="E2397" s="78">
        <v>0.33</v>
      </c>
      <c r="F2397" s="64">
        <f>TRUNC(20,2)</f>
        <v>20</v>
      </c>
      <c r="G2397" s="64">
        <f t="shared" si="133"/>
        <v>6.6</v>
      </c>
      <c r="H2397" s="64"/>
      <c r="I2397" s="78"/>
    </row>
    <row r="2398" spans="1:9" ht="30">
      <c r="A2398" s="74"/>
      <c r="B2398" s="80" t="s">
        <v>755</v>
      </c>
      <c r="C2398" s="81" t="s">
        <v>756</v>
      </c>
      <c r="D2398" s="74" t="s">
        <v>7</v>
      </c>
      <c r="E2398" s="78">
        <v>0.17499999999999999</v>
      </c>
      <c r="F2398" s="64">
        <f>TRUNC(100.39,2)</f>
        <v>100.39</v>
      </c>
      <c r="G2398" s="64">
        <f t="shared" si="133"/>
        <v>17.559999999999999</v>
      </c>
      <c r="H2398" s="64"/>
      <c r="I2398" s="78"/>
    </row>
    <row r="2399" spans="1:9" ht="30">
      <c r="A2399" s="74"/>
      <c r="B2399" s="80" t="s">
        <v>49</v>
      </c>
      <c r="C2399" s="81" t="s">
        <v>50</v>
      </c>
      <c r="D2399" s="74" t="s">
        <v>51</v>
      </c>
      <c r="E2399" s="78">
        <v>1.4419999999999999</v>
      </c>
      <c r="F2399" s="64">
        <f>TRUNC(15.2,2)</f>
        <v>15.2</v>
      </c>
      <c r="G2399" s="64">
        <f t="shared" si="133"/>
        <v>21.91</v>
      </c>
      <c r="H2399" s="64"/>
      <c r="I2399" s="78"/>
    </row>
    <row r="2400" spans="1:9" ht="30">
      <c r="A2400" s="74"/>
      <c r="B2400" s="80" t="s">
        <v>82</v>
      </c>
      <c r="C2400" s="81" t="s">
        <v>83</v>
      </c>
      <c r="D2400" s="74" t="s">
        <v>51</v>
      </c>
      <c r="E2400" s="78">
        <v>0.51500000000000001</v>
      </c>
      <c r="F2400" s="64">
        <f>TRUNC(21,2)</f>
        <v>21</v>
      </c>
      <c r="G2400" s="64">
        <f t="shared" si="133"/>
        <v>10.81</v>
      </c>
      <c r="H2400" s="64"/>
      <c r="I2400" s="78"/>
    </row>
    <row r="2401" spans="1:9" ht="15">
      <c r="A2401" s="74"/>
      <c r="B2401" s="80" t="s">
        <v>757</v>
      </c>
      <c r="C2401" s="81" t="s">
        <v>758</v>
      </c>
      <c r="D2401" s="74" t="s">
        <v>7</v>
      </c>
      <c r="E2401" s="78">
        <v>0.7</v>
      </c>
      <c r="F2401" s="64">
        <f>TRUNC(73.142,2)</f>
        <v>73.14</v>
      </c>
      <c r="G2401" s="64">
        <f t="shared" si="133"/>
        <v>51.19</v>
      </c>
      <c r="H2401" s="64"/>
      <c r="I2401" s="78"/>
    </row>
    <row r="2402" spans="1:9" ht="15">
      <c r="A2402" s="74"/>
      <c r="B2402" s="80"/>
      <c r="C2402" s="81"/>
      <c r="D2402" s="74"/>
      <c r="E2402" s="78" t="s">
        <v>33</v>
      </c>
      <c r="F2402" s="64"/>
      <c r="G2402" s="64">
        <f>TRUNC(SUM(G2396:G2401),2)</f>
        <v>110.44</v>
      </c>
      <c r="H2402" s="64"/>
      <c r="I2402" s="78"/>
    </row>
    <row r="2403" spans="1:9" ht="30">
      <c r="A2403" s="68" t="s">
        <v>744</v>
      </c>
      <c r="B2403" s="98" t="s">
        <v>759</v>
      </c>
      <c r="C2403" s="23" t="s">
        <v>760</v>
      </c>
      <c r="D2403" s="68" t="s">
        <v>23</v>
      </c>
      <c r="E2403" s="24">
        <v>20.5</v>
      </c>
      <c r="F2403" s="24">
        <f>TRUNC(F2404,2)</f>
        <v>71.040000000000006</v>
      </c>
      <c r="G2403" s="24">
        <f>TRUNC(F2403*1.2882,2)</f>
        <v>91.51</v>
      </c>
      <c r="H2403" s="24">
        <f>TRUNC(F2403*E2403,2)</f>
        <v>1456.32</v>
      </c>
      <c r="I2403" s="24">
        <f>TRUNC(E2403*G2403,2)</f>
        <v>1875.95</v>
      </c>
    </row>
    <row r="2404" spans="1:9" ht="30">
      <c r="A2404" s="74"/>
      <c r="B2404" s="80" t="s">
        <v>759</v>
      </c>
      <c r="C2404" s="81" t="s">
        <v>760</v>
      </c>
      <c r="D2404" s="74" t="s">
        <v>23</v>
      </c>
      <c r="E2404" s="78">
        <v>1</v>
      </c>
      <c r="F2404" s="64">
        <f>G2411</f>
        <v>71.040000000000006</v>
      </c>
      <c r="G2404" s="64">
        <f t="shared" ref="G2404:G2410" si="134">TRUNC(E2404*F2404,2)</f>
        <v>71.040000000000006</v>
      </c>
      <c r="H2404" s="64"/>
      <c r="I2404" s="78"/>
    </row>
    <row r="2405" spans="1:9" ht="15">
      <c r="A2405" s="74"/>
      <c r="B2405" s="80" t="s">
        <v>761</v>
      </c>
      <c r="C2405" s="81" t="s">
        <v>762</v>
      </c>
      <c r="D2405" s="74" t="s">
        <v>7</v>
      </c>
      <c r="E2405" s="78">
        <v>0.67</v>
      </c>
      <c r="F2405" s="64">
        <f>TRUNC(2.85,2)</f>
        <v>2.85</v>
      </c>
      <c r="G2405" s="64">
        <f t="shared" si="134"/>
        <v>1.9</v>
      </c>
      <c r="H2405" s="64"/>
      <c r="I2405" s="78"/>
    </row>
    <row r="2406" spans="1:9" ht="15">
      <c r="A2406" s="74"/>
      <c r="B2406" s="80" t="s">
        <v>763</v>
      </c>
      <c r="C2406" s="81" t="s">
        <v>764</v>
      </c>
      <c r="D2406" s="74" t="s">
        <v>7</v>
      </c>
      <c r="E2406" s="78">
        <v>0.33</v>
      </c>
      <c r="F2406" s="64">
        <f>TRUNC(20.21,2)</f>
        <v>20.21</v>
      </c>
      <c r="G2406" s="64">
        <f t="shared" si="134"/>
        <v>6.66</v>
      </c>
      <c r="H2406" s="64"/>
      <c r="I2406" s="78"/>
    </row>
    <row r="2407" spans="1:9" ht="30">
      <c r="A2407" s="74"/>
      <c r="B2407" s="80" t="s">
        <v>765</v>
      </c>
      <c r="C2407" s="81" t="s">
        <v>766</v>
      </c>
      <c r="D2407" s="74" t="s">
        <v>7</v>
      </c>
      <c r="E2407" s="78">
        <v>0.17499999999999999</v>
      </c>
      <c r="F2407" s="64">
        <f>TRUNC(92.87,2)</f>
        <v>92.87</v>
      </c>
      <c r="G2407" s="64">
        <f t="shared" si="134"/>
        <v>16.25</v>
      </c>
      <c r="H2407" s="64"/>
      <c r="I2407" s="78"/>
    </row>
    <row r="2408" spans="1:9" ht="30">
      <c r="A2408" s="74"/>
      <c r="B2408" s="80" t="s">
        <v>49</v>
      </c>
      <c r="C2408" s="81" t="s">
        <v>50</v>
      </c>
      <c r="D2408" s="74" t="s">
        <v>51</v>
      </c>
      <c r="E2408" s="78">
        <v>0.46350000000000002</v>
      </c>
      <c r="F2408" s="64">
        <f>TRUNC(15.2,2)</f>
        <v>15.2</v>
      </c>
      <c r="G2408" s="64">
        <f t="shared" si="134"/>
        <v>7.04</v>
      </c>
      <c r="H2408" s="64"/>
      <c r="I2408" s="78"/>
    </row>
    <row r="2409" spans="1:9" ht="30">
      <c r="A2409" s="74"/>
      <c r="B2409" s="80" t="s">
        <v>82</v>
      </c>
      <c r="C2409" s="81" t="s">
        <v>83</v>
      </c>
      <c r="D2409" s="74" t="s">
        <v>51</v>
      </c>
      <c r="E2409" s="78">
        <v>0.17510000000000001</v>
      </c>
      <c r="F2409" s="64">
        <f>TRUNC(21,2)</f>
        <v>21</v>
      </c>
      <c r="G2409" s="64">
        <f t="shared" si="134"/>
        <v>3.67</v>
      </c>
      <c r="H2409" s="64"/>
      <c r="I2409" s="78"/>
    </row>
    <row r="2410" spans="1:9" ht="15">
      <c r="A2410" s="74"/>
      <c r="B2410" s="80" t="s">
        <v>767</v>
      </c>
      <c r="C2410" s="81" t="s">
        <v>768</v>
      </c>
      <c r="D2410" s="74" t="s">
        <v>7</v>
      </c>
      <c r="E2410" s="78">
        <v>0.7</v>
      </c>
      <c r="F2410" s="64">
        <f>TRUNC(50.7551,2)</f>
        <v>50.75</v>
      </c>
      <c r="G2410" s="64">
        <f t="shared" si="134"/>
        <v>35.520000000000003</v>
      </c>
      <c r="H2410" s="64"/>
      <c r="I2410" s="78"/>
    </row>
    <row r="2411" spans="1:9" ht="15">
      <c r="A2411" s="74"/>
      <c r="B2411" s="80"/>
      <c r="C2411" s="81"/>
      <c r="D2411" s="74"/>
      <c r="E2411" s="78" t="s">
        <v>33</v>
      </c>
      <c r="F2411" s="64"/>
      <c r="G2411" s="64">
        <f>TRUNC(SUM(G2405:G2410),2)</f>
        <v>71.040000000000006</v>
      </c>
      <c r="H2411" s="64"/>
      <c r="I2411" s="78"/>
    </row>
    <row r="2412" spans="1:9" ht="30">
      <c r="A2412" s="68" t="s">
        <v>2097</v>
      </c>
      <c r="B2412" s="98" t="s">
        <v>2099</v>
      </c>
      <c r="C2412" s="23" t="s">
        <v>2100</v>
      </c>
      <c r="D2412" s="68" t="s">
        <v>23</v>
      </c>
      <c r="E2412" s="24">
        <v>9</v>
      </c>
      <c r="F2412" s="24">
        <f>TRUNC(F2413,2)</f>
        <v>127.9</v>
      </c>
      <c r="G2412" s="24">
        <f>TRUNC(F2412*1.2882,2)</f>
        <v>164.76</v>
      </c>
      <c r="H2412" s="24">
        <f>TRUNC(F2412*E2412,2)</f>
        <v>1151.0999999999999</v>
      </c>
      <c r="I2412" s="24">
        <f>TRUNC(E2412*G2412,2)</f>
        <v>1482.84</v>
      </c>
    </row>
    <row r="2413" spans="1:9" ht="30">
      <c r="A2413" s="74"/>
      <c r="B2413" s="80" t="s">
        <v>2099</v>
      </c>
      <c r="C2413" s="81" t="s">
        <v>2100</v>
      </c>
      <c r="D2413" s="74" t="s">
        <v>23</v>
      </c>
      <c r="E2413" s="78">
        <v>1</v>
      </c>
      <c r="F2413" s="64">
        <f>G2423</f>
        <v>127.9</v>
      </c>
      <c r="G2413" s="64">
        <f>TRUNC(E2413*F2413,2)</f>
        <v>127.9</v>
      </c>
      <c r="H2413" s="64"/>
      <c r="I2413" s="78"/>
    </row>
    <row r="2414" spans="1:9" ht="15">
      <c r="A2414" s="74"/>
      <c r="B2414" s="80" t="s">
        <v>728</v>
      </c>
      <c r="C2414" s="81" t="s">
        <v>729</v>
      </c>
      <c r="D2414" s="74" t="s">
        <v>7</v>
      </c>
      <c r="E2414" s="78">
        <v>5</v>
      </c>
      <c r="F2414" s="64">
        <f>TRUNC(0.06,2)</f>
        <v>0.06</v>
      </c>
      <c r="G2414" s="64">
        <f>TRUNC(E2414*F2414,2)</f>
        <v>0.3</v>
      </c>
      <c r="H2414" s="64"/>
      <c r="I2414" s="78"/>
    </row>
    <row r="2415" spans="1:9" ht="15">
      <c r="A2415" s="74"/>
      <c r="B2415" s="80" t="s">
        <v>730</v>
      </c>
      <c r="C2415" s="81" t="s">
        <v>731</v>
      </c>
      <c r="D2415" s="74" t="s">
        <v>7</v>
      </c>
      <c r="E2415" s="78">
        <v>2</v>
      </c>
      <c r="F2415" s="64">
        <f>TRUNC(0.0518,2)</f>
        <v>0.05</v>
      </c>
      <c r="G2415" s="64">
        <f>TRUNC(E2415*F2415,2)</f>
        <v>0.1</v>
      </c>
      <c r="H2415" s="64"/>
      <c r="I2415" s="78"/>
    </row>
    <row r="2416" spans="1:9" ht="30">
      <c r="A2416" s="74"/>
      <c r="B2416" s="80" t="s">
        <v>732</v>
      </c>
      <c r="C2416" s="81" t="s">
        <v>733</v>
      </c>
      <c r="D2416" s="74" t="s">
        <v>7</v>
      </c>
      <c r="E2416" s="78">
        <v>1</v>
      </c>
      <c r="F2416" s="64">
        <f>TRUNC(10.68,2)</f>
        <v>10.68</v>
      </c>
      <c r="G2416" s="64">
        <f>TRUNC(E2416*F2416,2)</f>
        <v>10.68</v>
      </c>
      <c r="H2416" s="64"/>
      <c r="I2416" s="78"/>
    </row>
    <row r="2417" spans="1:9" ht="30">
      <c r="A2417" s="74"/>
      <c r="B2417" s="80" t="s">
        <v>44</v>
      </c>
      <c r="C2417" s="81" t="s">
        <v>45</v>
      </c>
      <c r="D2417" s="74" t="s">
        <v>46</v>
      </c>
      <c r="E2417" s="78">
        <v>0.1</v>
      </c>
      <c r="F2417" s="64">
        <f>TRUNC(18.81,2)</f>
        <v>18.809999999999999</v>
      </c>
      <c r="G2417" s="64">
        <f>TRUNC(E2417*F2417,2)</f>
        <v>1.88</v>
      </c>
      <c r="H2417" s="64"/>
      <c r="I2417" s="78"/>
    </row>
    <row r="2418" spans="1:9" ht="15">
      <c r="A2418" s="74"/>
      <c r="B2418" s="80" t="s">
        <v>734</v>
      </c>
      <c r="C2418" s="81" t="s">
        <v>735</v>
      </c>
      <c r="D2418" s="74" t="s">
        <v>46</v>
      </c>
      <c r="E2418" s="78">
        <v>0.06</v>
      </c>
      <c r="F2418" s="64">
        <f>TRUNC(175.09,2)</f>
        <v>175.09</v>
      </c>
      <c r="G2418" s="64">
        <f>TRUNC(E2418*F2418,2)</f>
        <v>10.5</v>
      </c>
      <c r="H2418" s="64"/>
      <c r="I2418" s="78"/>
    </row>
    <row r="2419" spans="1:9" ht="30">
      <c r="A2419" s="74"/>
      <c r="B2419" s="80" t="s">
        <v>736</v>
      </c>
      <c r="C2419" s="81" t="s">
        <v>737</v>
      </c>
      <c r="D2419" s="74" t="s">
        <v>46</v>
      </c>
      <c r="E2419" s="78">
        <v>2.1</v>
      </c>
      <c r="F2419" s="64">
        <f>TRUNC(22.0895,2)</f>
        <v>22.08</v>
      </c>
      <c r="G2419" s="64">
        <f>TRUNC(E2419*F2419,2)</f>
        <v>46.36</v>
      </c>
      <c r="H2419" s="64"/>
      <c r="I2419" s="78"/>
    </row>
    <row r="2420" spans="1:9" ht="30">
      <c r="A2420" s="74"/>
      <c r="B2420" s="80" t="s">
        <v>49</v>
      </c>
      <c r="C2420" s="81" t="s">
        <v>50</v>
      </c>
      <c r="D2420" s="74" t="s">
        <v>51</v>
      </c>
      <c r="E2420" s="78">
        <v>1.5449999999999999</v>
      </c>
      <c r="F2420" s="64">
        <f>TRUNC(15.2,2)</f>
        <v>15.2</v>
      </c>
      <c r="G2420" s="64">
        <f>TRUNC(E2420*F2420,2)</f>
        <v>23.48</v>
      </c>
      <c r="H2420" s="64"/>
      <c r="I2420" s="78"/>
    </row>
    <row r="2421" spans="1:9" ht="15">
      <c r="A2421" s="74"/>
      <c r="B2421" s="80" t="s">
        <v>76</v>
      </c>
      <c r="C2421" s="81" t="s">
        <v>77</v>
      </c>
      <c r="D2421" s="74" t="s">
        <v>51</v>
      </c>
      <c r="E2421" s="78">
        <v>0.82400000000000007</v>
      </c>
      <c r="F2421" s="64">
        <f>TRUNC(21,2)</f>
        <v>21</v>
      </c>
      <c r="G2421" s="64">
        <f>TRUNC(E2421*F2421,2)</f>
        <v>17.3</v>
      </c>
      <c r="H2421" s="64"/>
      <c r="I2421" s="78"/>
    </row>
    <row r="2422" spans="1:9" ht="30">
      <c r="A2422" s="74"/>
      <c r="B2422" s="80" t="s">
        <v>82</v>
      </c>
      <c r="C2422" s="81" t="s">
        <v>83</v>
      </c>
      <c r="D2422" s="74" t="s">
        <v>51</v>
      </c>
      <c r="E2422" s="78">
        <v>0.82400000000000007</v>
      </c>
      <c r="F2422" s="64">
        <f>TRUNC(21,2)</f>
        <v>21</v>
      </c>
      <c r="G2422" s="64">
        <f>TRUNC(E2422*F2422,2)</f>
        <v>17.3</v>
      </c>
      <c r="H2422" s="64"/>
      <c r="I2422" s="78"/>
    </row>
    <row r="2423" spans="1:9" ht="15">
      <c r="A2423" s="74"/>
      <c r="B2423" s="80"/>
      <c r="C2423" s="81"/>
      <c r="D2423" s="74"/>
      <c r="E2423" s="78" t="s">
        <v>33</v>
      </c>
      <c r="F2423" s="64"/>
      <c r="G2423" s="64">
        <f>TRUNC(SUM(G2414:G2422),2)</f>
        <v>127.9</v>
      </c>
      <c r="H2423" s="64"/>
      <c r="I2423" s="78"/>
    </row>
    <row r="2424" spans="1:9" s="169" customFormat="1" ht="15.75">
      <c r="A2424" s="240" t="s">
        <v>18</v>
      </c>
      <c r="B2424" s="241"/>
      <c r="C2424" s="242"/>
      <c r="D2424" s="240"/>
      <c r="E2424" s="243"/>
      <c r="F2424" s="244"/>
      <c r="G2424" s="335" t="s">
        <v>770</v>
      </c>
      <c r="H2424" s="336"/>
      <c r="I2424" s="244">
        <f>I2341+I2353+I2364+I2376+I2382+I2394+I2403+I2412</f>
        <v>143519.4</v>
      </c>
    </row>
    <row r="2425" spans="1:9" ht="14.25" customHeight="1">
      <c r="A2425" s="53" t="s">
        <v>769</v>
      </c>
      <c r="B2425" s="54"/>
      <c r="C2425" s="334" t="s">
        <v>21</v>
      </c>
      <c r="D2425" s="334"/>
      <c r="E2425" s="334"/>
      <c r="F2425" s="334"/>
      <c r="G2425" s="334"/>
      <c r="H2425" s="334"/>
      <c r="I2425" s="334"/>
    </row>
    <row r="2426" spans="1:9" ht="90.75">
      <c r="A2426" s="68" t="s">
        <v>771</v>
      </c>
      <c r="B2426" s="98" t="s">
        <v>772</v>
      </c>
      <c r="C2426" s="23" t="s">
        <v>785</v>
      </c>
      <c r="D2426" s="68" t="s">
        <v>17</v>
      </c>
      <c r="E2426" s="24">
        <v>587.41999999999996</v>
      </c>
      <c r="F2426" s="24">
        <f>TRUNC(F2427,2)</f>
        <v>30.37</v>
      </c>
      <c r="G2426" s="24">
        <f>TRUNC(F2426*1.2882,2)</f>
        <v>39.119999999999997</v>
      </c>
      <c r="H2426" s="24">
        <f>TRUNC(F2426*E2426,2)</f>
        <v>17839.939999999999</v>
      </c>
      <c r="I2426" s="24">
        <f>TRUNC(E2426*G2426,2)</f>
        <v>22979.87</v>
      </c>
    </row>
    <row r="2427" spans="1:9" ht="90">
      <c r="A2427" s="74"/>
      <c r="B2427" s="80" t="s">
        <v>772</v>
      </c>
      <c r="C2427" s="81" t="s">
        <v>773</v>
      </c>
      <c r="D2427" s="74" t="s">
        <v>17</v>
      </c>
      <c r="E2427" s="78">
        <v>1</v>
      </c>
      <c r="F2427" s="64">
        <f>G2434</f>
        <v>30.37</v>
      </c>
      <c r="G2427" s="64">
        <f t="shared" ref="G2427:G2433" si="135">TRUNC(E2427*F2427,2)</f>
        <v>30.37</v>
      </c>
      <c r="H2427" s="64"/>
      <c r="I2427" s="78"/>
    </row>
    <row r="2428" spans="1:9" ht="15">
      <c r="A2428" s="74"/>
      <c r="B2428" s="80" t="s">
        <v>774</v>
      </c>
      <c r="C2428" s="81" t="s">
        <v>775</v>
      </c>
      <c r="D2428" s="74" t="s">
        <v>7</v>
      </c>
      <c r="E2428" s="78">
        <v>1.5</v>
      </c>
      <c r="F2428" s="64">
        <v>1.1200000000000001</v>
      </c>
      <c r="G2428" s="64">
        <f t="shared" si="135"/>
        <v>1.68</v>
      </c>
      <c r="H2428" s="64"/>
      <c r="I2428" s="78"/>
    </row>
    <row r="2429" spans="1:9" ht="30">
      <c r="A2429" s="74"/>
      <c r="B2429" s="80" t="s">
        <v>776</v>
      </c>
      <c r="C2429" s="81" t="s">
        <v>777</v>
      </c>
      <c r="D2429" s="74" t="s">
        <v>477</v>
      </c>
      <c r="E2429" s="78">
        <v>0.04</v>
      </c>
      <c r="F2429" s="64">
        <v>23.18</v>
      </c>
      <c r="G2429" s="64">
        <f t="shared" si="135"/>
        <v>0.92</v>
      </c>
      <c r="H2429" s="64"/>
      <c r="I2429" s="78"/>
    </row>
    <row r="2430" spans="1:9" ht="30">
      <c r="A2430" s="74"/>
      <c r="B2430" s="80" t="s">
        <v>778</v>
      </c>
      <c r="C2430" s="81" t="s">
        <v>779</v>
      </c>
      <c r="D2430" s="74" t="s">
        <v>7</v>
      </c>
      <c r="E2430" s="78">
        <v>1.2E-2</v>
      </c>
      <c r="F2430" s="64">
        <v>353.92</v>
      </c>
      <c r="G2430" s="64">
        <f t="shared" si="135"/>
        <v>4.24</v>
      </c>
      <c r="H2430" s="64"/>
      <c r="I2430" s="78"/>
    </row>
    <row r="2431" spans="1:9" ht="15">
      <c r="A2431" s="74"/>
      <c r="B2431" s="80" t="s">
        <v>780</v>
      </c>
      <c r="C2431" s="81" t="s">
        <v>781</v>
      </c>
      <c r="D2431" s="74" t="s">
        <v>7</v>
      </c>
      <c r="E2431" s="78">
        <v>2.7E-2</v>
      </c>
      <c r="F2431" s="64">
        <v>108.35</v>
      </c>
      <c r="G2431" s="64">
        <f t="shared" si="135"/>
        <v>2.92</v>
      </c>
      <c r="H2431" s="64"/>
      <c r="I2431" s="78"/>
    </row>
    <row r="2432" spans="1:9" ht="30">
      <c r="A2432" s="74"/>
      <c r="B2432" s="80" t="s">
        <v>49</v>
      </c>
      <c r="C2432" s="81" t="s">
        <v>50</v>
      </c>
      <c r="D2432" s="74" t="s">
        <v>51</v>
      </c>
      <c r="E2432" s="78">
        <v>0.36049999999999999</v>
      </c>
      <c r="F2432" s="64">
        <v>15.2</v>
      </c>
      <c r="G2432" s="64">
        <f t="shared" si="135"/>
        <v>5.47</v>
      </c>
      <c r="H2432" s="64"/>
      <c r="I2432" s="78"/>
    </row>
    <row r="2433" spans="1:9" ht="15">
      <c r="A2433" s="74"/>
      <c r="B2433" s="80" t="s">
        <v>782</v>
      </c>
      <c r="C2433" s="81" t="s">
        <v>783</v>
      </c>
      <c r="D2433" s="74" t="s">
        <v>51</v>
      </c>
      <c r="E2433" s="78">
        <v>0.72099999999999997</v>
      </c>
      <c r="F2433" s="64">
        <v>21</v>
      </c>
      <c r="G2433" s="64">
        <f t="shared" si="135"/>
        <v>15.14</v>
      </c>
      <c r="H2433" s="64"/>
      <c r="I2433" s="78"/>
    </row>
    <row r="2434" spans="1:9" ht="15">
      <c r="A2434" s="74"/>
      <c r="B2434" s="80"/>
      <c r="C2434" s="81"/>
      <c r="D2434" s="74"/>
      <c r="E2434" s="78" t="s">
        <v>33</v>
      </c>
      <c r="F2434" s="64"/>
      <c r="G2434" s="64">
        <f>TRUNC(SUM(G2428:G2433),2)</f>
        <v>30.37</v>
      </c>
      <c r="H2434" s="64"/>
      <c r="I2434" s="78"/>
    </row>
    <row r="2435" spans="1:9" ht="90.75">
      <c r="A2435" s="68" t="s">
        <v>784</v>
      </c>
      <c r="B2435" s="98" t="s">
        <v>772</v>
      </c>
      <c r="C2435" s="23" t="s">
        <v>1964</v>
      </c>
      <c r="D2435" s="68" t="s">
        <v>17</v>
      </c>
      <c r="E2435" s="24">
        <v>762.08</v>
      </c>
      <c r="F2435" s="24">
        <f>TRUNC(F2436,2)</f>
        <v>30.37</v>
      </c>
      <c r="G2435" s="24">
        <f>TRUNC(F2435*1.2882,2)</f>
        <v>39.119999999999997</v>
      </c>
      <c r="H2435" s="24">
        <f>TRUNC(F2435*E2435,2)</f>
        <v>23144.36</v>
      </c>
      <c r="I2435" s="24">
        <f>TRUNC(E2435*G2435,2)</f>
        <v>29812.560000000001</v>
      </c>
    </row>
    <row r="2436" spans="1:9" ht="90">
      <c r="A2436" s="74"/>
      <c r="B2436" s="80" t="s">
        <v>772</v>
      </c>
      <c r="C2436" s="81" t="s">
        <v>773</v>
      </c>
      <c r="D2436" s="74" t="s">
        <v>17</v>
      </c>
      <c r="E2436" s="78">
        <v>1</v>
      </c>
      <c r="F2436" s="64">
        <f>G2443</f>
        <v>30.37</v>
      </c>
      <c r="G2436" s="64">
        <f t="shared" ref="G2436:G2442" si="136">TRUNC(E2436*F2436,2)</f>
        <v>30.37</v>
      </c>
      <c r="H2436" s="64"/>
      <c r="I2436" s="78"/>
    </row>
    <row r="2437" spans="1:9" ht="15">
      <c r="A2437" s="74"/>
      <c r="B2437" s="80" t="s">
        <v>774</v>
      </c>
      <c r="C2437" s="81" t="s">
        <v>775</v>
      </c>
      <c r="D2437" s="74" t="s">
        <v>7</v>
      </c>
      <c r="E2437" s="78">
        <v>1.5</v>
      </c>
      <c r="F2437" s="64">
        <v>1.1200000000000001</v>
      </c>
      <c r="G2437" s="64">
        <f t="shared" si="136"/>
        <v>1.68</v>
      </c>
      <c r="H2437" s="64"/>
      <c r="I2437" s="78"/>
    </row>
    <row r="2438" spans="1:9" ht="30">
      <c r="A2438" s="74"/>
      <c r="B2438" s="80" t="s">
        <v>776</v>
      </c>
      <c r="C2438" s="81" t="s">
        <v>777</v>
      </c>
      <c r="D2438" s="74" t="s">
        <v>477</v>
      </c>
      <c r="E2438" s="78">
        <v>0.04</v>
      </c>
      <c r="F2438" s="64">
        <v>23.18</v>
      </c>
      <c r="G2438" s="64">
        <f t="shared" si="136"/>
        <v>0.92</v>
      </c>
      <c r="H2438" s="64"/>
      <c r="I2438" s="78"/>
    </row>
    <row r="2439" spans="1:9" ht="30">
      <c r="A2439" s="74"/>
      <c r="B2439" s="80" t="s">
        <v>778</v>
      </c>
      <c r="C2439" s="81" t="s">
        <v>779</v>
      </c>
      <c r="D2439" s="74" t="s">
        <v>7</v>
      </c>
      <c r="E2439" s="78">
        <v>1.2E-2</v>
      </c>
      <c r="F2439" s="64">
        <v>353.92</v>
      </c>
      <c r="G2439" s="64">
        <f t="shared" si="136"/>
        <v>4.24</v>
      </c>
      <c r="H2439" s="64"/>
      <c r="I2439" s="78"/>
    </row>
    <row r="2440" spans="1:9" ht="15">
      <c r="A2440" s="74"/>
      <c r="B2440" s="80" t="s">
        <v>780</v>
      </c>
      <c r="C2440" s="81" t="s">
        <v>781</v>
      </c>
      <c r="D2440" s="74" t="s">
        <v>7</v>
      </c>
      <c r="E2440" s="78">
        <v>2.7E-2</v>
      </c>
      <c r="F2440" s="64">
        <v>108.35</v>
      </c>
      <c r="G2440" s="64">
        <f t="shared" si="136"/>
        <v>2.92</v>
      </c>
      <c r="H2440" s="64"/>
      <c r="I2440" s="78"/>
    </row>
    <row r="2441" spans="1:9" ht="30">
      <c r="A2441" s="74"/>
      <c r="B2441" s="80" t="s">
        <v>49</v>
      </c>
      <c r="C2441" s="81" t="s">
        <v>50</v>
      </c>
      <c r="D2441" s="74" t="s">
        <v>51</v>
      </c>
      <c r="E2441" s="78">
        <v>0.36049999999999999</v>
      </c>
      <c r="F2441" s="64">
        <f>TRUNC(15.2,2)</f>
        <v>15.2</v>
      </c>
      <c r="G2441" s="64">
        <f t="shared" si="136"/>
        <v>5.47</v>
      </c>
      <c r="H2441" s="64"/>
      <c r="I2441" s="78"/>
    </row>
    <row r="2442" spans="1:9" ht="15">
      <c r="A2442" s="74"/>
      <c r="B2442" s="80" t="s">
        <v>782</v>
      </c>
      <c r="C2442" s="81" t="s">
        <v>783</v>
      </c>
      <c r="D2442" s="74" t="s">
        <v>51</v>
      </c>
      <c r="E2442" s="78">
        <v>0.72099999999999997</v>
      </c>
      <c r="F2442" s="64">
        <f>TRUNC(21,2)</f>
        <v>21</v>
      </c>
      <c r="G2442" s="64">
        <f t="shared" si="136"/>
        <v>15.14</v>
      </c>
      <c r="H2442" s="64"/>
      <c r="I2442" s="78"/>
    </row>
    <row r="2443" spans="1:9" ht="15">
      <c r="A2443" s="74"/>
      <c r="B2443" s="80"/>
      <c r="C2443" s="81"/>
      <c r="D2443" s="74"/>
      <c r="E2443" s="78" t="s">
        <v>33</v>
      </c>
      <c r="F2443" s="64"/>
      <c r="G2443" s="64">
        <f>TRUNC(SUM(G2437:G2442),2)</f>
        <v>30.37</v>
      </c>
      <c r="H2443" s="64"/>
      <c r="I2443" s="78"/>
    </row>
    <row r="2444" spans="1:9" ht="45.75">
      <c r="A2444" s="68" t="s">
        <v>786</v>
      </c>
      <c r="B2444" s="98" t="s">
        <v>787</v>
      </c>
      <c r="C2444" s="23" t="s">
        <v>1965</v>
      </c>
      <c r="D2444" s="68" t="s">
        <v>17</v>
      </c>
      <c r="E2444" s="24">
        <v>390.2</v>
      </c>
      <c r="F2444" s="24">
        <f>TRUNC(F2445,2)</f>
        <v>14.61</v>
      </c>
      <c r="G2444" s="24">
        <f>TRUNC(F2444*1.2882,2)</f>
        <v>18.82</v>
      </c>
      <c r="H2444" s="24">
        <f>TRUNC(F2444*E2444,2)</f>
        <v>5700.82</v>
      </c>
      <c r="I2444" s="24">
        <f>TRUNC(E2444*G2444,2)</f>
        <v>7343.56</v>
      </c>
    </row>
    <row r="2445" spans="1:9" ht="45">
      <c r="A2445" s="74"/>
      <c r="B2445" s="80" t="s">
        <v>787</v>
      </c>
      <c r="C2445" s="81" t="s">
        <v>788</v>
      </c>
      <c r="D2445" s="74" t="s">
        <v>17</v>
      </c>
      <c r="E2445" s="78">
        <v>1</v>
      </c>
      <c r="F2445" s="64">
        <f>G2451</f>
        <v>14.61</v>
      </c>
      <c r="G2445" s="64">
        <f t="shared" ref="G2445:G2450" si="137">TRUNC(E2445*F2445,2)</f>
        <v>14.61</v>
      </c>
      <c r="H2445" s="64"/>
      <c r="I2445" s="78"/>
    </row>
    <row r="2446" spans="1:9" ht="15">
      <c r="A2446" s="74"/>
      <c r="B2446" s="80" t="s">
        <v>774</v>
      </c>
      <c r="C2446" s="81" t="s">
        <v>775</v>
      </c>
      <c r="D2446" s="74" t="s">
        <v>7</v>
      </c>
      <c r="E2446" s="78">
        <v>0.5</v>
      </c>
      <c r="F2446" s="64">
        <v>1.1200000000000001</v>
      </c>
      <c r="G2446" s="64">
        <f t="shared" si="137"/>
        <v>0.56000000000000005</v>
      </c>
      <c r="H2446" s="64"/>
      <c r="I2446" s="78"/>
    </row>
    <row r="2447" spans="1:9" ht="30">
      <c r="A2447" s="74"/>
      <c r="B2447" s="80" t="s">
        <v>789</v>
      </c>
      <c r="C2447" s="81" t="s">
        <v>790</v>
      </c>
      <c r="D2447" s="74" t="s">
        <v>7</v>
      </c>
      <c r="E2447" s="78">
        <v>1.2E-2</v>
      </c>
      <c r="F2447" s="64">
        <v>255.32</v>
      </c>
      <c r="G2447" s="64">
        <f t="shared" si="137"/>
        <v>3.06</v>
      </c>
      <c r="H2447" s="64"/>
      <c r="I2447" s="78"/>
    </row>
    <row r="2448" spans="1:9" ht="30">
      <c r="A2448" s="74"/>
      <c r="B2448" s="80" t="s">
        <v>776</v>
      </c>
      <c r="C2448" s="81" t="s">
        <v>777</v>
      </c>
      <c r="D2448" s="74" t="s">
        <v>477</v>
      </c>
      <c r="E2448" s="78">
        <v>0.03</v>
      </c>
      <c r="F2448" s="64">
        <v>23.18</v>
      </c>
      <c r="G2448" s="64">
        <f t="shared" si="137"/>
        <v>0.69</v>
      </c>
      <c r="H2448" s="64"/>
      <c r="I2448" s="78"/>
    </row>
    <row r="2449" spans="1:9" ht="30">
      <c r="A2449" s="74"/>
      <c r="B2449" s="80" t="s">
        <v>49</v>
      </c>
      <c r="C2449" s="81" t="s">
        <v>50</v>
      </c>
      <c r="D2449" s="74" t="s">
        <v>51</v>
      </c>
      <c r="E2449" s="78">
        <v>0.18024999999999999</v>
      </c>
      <c r="F2449" s="64">
        <f>TRUNC(15.2,2)</f>
        <v>15.2</v>
      </c>
      <c r="G2449" s="64">
        <f t="shared" si="137"/>
        <v>2.73</v>
      </c>
      <c r="H2449" s="64"/>
      <c r="I2449" s="78"/>
    </row>
    <row r="2450" spans="1:9" ht="15">
      <c r="A2450" s="74"/>
      <c r="B2450" s="80" t="s">
        <v>782</v>
      </c>
      <c r="C2450" s="81" t="s">
        <v>783</v>
      </c>
      <c r="D2450" s="74" t="s">
        <v>51</v>
      </c>
      <c r="E2450" s="78">
        <v>0.36049999999999999</v>
      </c>
      <c r="F2450" s="64">
        <f>TRUNC(21,2)</f>
        <v>21</v>
      </c>
      <c r="G2450" s="64">
        <f t="shared" si="137"/>
        <v>7.57</v>
      </c>
      <c r="H2450" s="64"/>
      <c r="I2450" s="78"/>
    </row>
    <row r="2451" spans="1:9" ht="15">
      <c r="A2451" s="74"/>
      <c r="B2451" s="80"/>
      <c r="C2451" s="81"/>
      <c r="D2451" s="74"/>
      <c r="E2451" s="78" t="s">
        <v>33</v>
      </c>
      <c r="F2451" s="64"/>
      <c r="G2451" s="64">
        <f>TRUNC(SUM(G2446:G2450),2)</f>
        <v>14.61</v>
      </c>
      <c r="H2451" s="64"/>
      <c r="I2451" s="78"/>
    </row>
    <row r="2452" spans="1:9" ht="60">
      <c r="A2452" s="68" t="s">
        <v>791</v>
      </c>
      <c r="B2452" s="98" t="s">
        <v>798</v>
      </c>
      <c r="C2452" s="23" t="s">
        <v>799</v>
      </c>
      <c r="D2452" s="68" t="s">
        <v>17</v>
      </c>
      <c r="E2452" s="24">
        <v>85.68</v>
      </c>
      <c r="F2452" s="24">
        <f>TRUNC(F2453,2)</f>
        <v>8.7899999999999991</v>
      </c>
      <c r="G2452" s="24">
        <f>TRUNC(F2452*1.2882,2)</f>
        <v>11.32</v>
      </c>
      <c r="H2452" s="24">
        <f>TRUNC(F2452*E2452,2)</f>
        <v>753.12</v>
      </c>
      <c r="I2452" s="24">
        <f>TRUNC(E2452*G2452,2)</f>
        <v>969.89</v>
      </c>
    </row>
    <row r="2453" spans="1:9" ht="60">
      <c r="A2453" s="74"/>
      <c r="B2453" s="80" t="s">
        <v>798</v>
      </c>
      <c r="C2453" s="81" t="s">
        <v>799</v>
      </c>
      <c r="D2453" s="74" t="s">
        <v>17</v>
      </c>
      <c r="E2453" s="78">
        <v>1</v>
      </c>
      <c r="F2453" s="64">
        <f>G2457</f>
        <v>8.7899999999999991</v>
      </c>
      <c r="G2453" s="64">
        <f>TRUNC(E2453*F2453,2)</f>
        <v>8.7899999999999991</v>
      </c>
      <c r="H2453" s="64"/>
      <c r="I2453" s="78"/>
    </row>
    <row r="2454" spans="1:9" ht="15">
      <c r="A2454" s="74"/>
      <c r="B2454" s="80" t="s">
        <v>796</v>
      </c>
      <c r="C2454" s="81" t="s">
        <v>797</v>
      </c>
      <c r="D2454" s="74" t="s">
        <v>477</v>
      </c>
      <c r="E2454" s="78">
        <v>0.05</v>
      </c>
      <c r="F2454" s="64">
        <v>101.03</v>
      </c>
      <c r="G2454" s="64">
        <f>TRUNC(E2454*F2454,2)</f>
        <v>5.05</v>
      </c>
      <c r="H2454" s="64"/>
      <c r="I2454" s="78"/>
    </row>
    <row r="2455" spans="1:9" ht="30">
      <c r="A2455" s="74"/>
      <c r="B2455" s="80" t="s">
        <v>49</v>
      </c>
      <c r="C2455" s="81" t="s">
        <v>50</v>
      </c>
      <c r="D2455" s="74" t="s">
        <v>51</v>
      </c>
      <c r="E2455" s="78">
        <v>6.1800000000000001E-2</v>
      </c>
      <c r="F2455" s="64">
        <f>TRUNC(15.2,2)</f>
        <v>15.2</v>
      </c>
      <c r="G2455" s="64">
        <f>TRUNC(E2455*F2455,2)</f>
        <v>0.93</v>
      </c>
      <c r="H2455" s="64"/>
      <c r="I2455" s="78"/>
    </row>
    <row r="2456" spans="1:9" ht="15">
      <c r="A2456" s="74"/>
      <c r="B2456" s="80" t="s">
        <v>782</v>
      </c>
      <c r="C2456" s="81" t="s">
        <v>783</v>
      </c>
      <c r="D2456" s="74" t="s">
        <v>51</v>
      </c>
      <c r="E2456" s="78">
        <v>0.13390000000000002</v>
      </c>
      <c r="F2456" s="64">
        <f>TRUNC(21,2)</f>
        <v>21</v>
      </c>
      <c r="G2456" s="64">
        <f>TRUNC(E2456*F2456,2)</f>
        <v>2.81</v>
      </c>
      <c r="H2456" s="64"/>
      <c r="I2456" s="78"/>
    </row>
    <row r="2457" spans="1:9" ht="15">
      <c r="A2457" s="74"/>
      <c r="B2457" s="80"/>
      <c r="C2457" s="81"/>
      <c r="D2457" s="74"/>
      <c r="E2457" s="78" t="s">
        <v>33</v>
      </c>
      <c r="F2457" s="64"/>
      <c r="G2457" s="64">
        <f>TRUNC(SUM(G2454:G2456),2)</f>
        <v>8.7899999999999991</v>
      </c>
      <c r="H2457" s="64"/>
      <c r="I2457" s="78"/>
    </row>
    <row r="2458" spans="1:9" ht="60">
      <c r="A2458" s="68" t="s">
        <v>810</v>
      </c>
      <c r="B2458" s="98" t="s">
        <v>800</v>
      </c>
      <c r="C2458" s="23" t="s">
        <v>801</v>
      </c>
      <c r="D2458" s="68" t="s">
        <v>17</v>
      </c>
      <c r="E2458" s="24">
        <v>85.68</v>
      </c>
      <c r="F2458" s="24">
        <f>TRUNC(F2459,2)</f>
        <v>43.59</v>
      </c>
      <c r="G2458" s="24">
        <f>TRUNC(F2458*1.2882,2)</f>
        <v>56.15</v>
      </c>
      <c r="H2458" s="24">
        <f>TRUNC(F2458*E2458,2)</f>
        <v>3734.79</v>
      </c>
      <c r="I2458" s="24">
        <f>TRUNC(E2458*G2458,2)</f>
        <v>4810.93</v>
      </c>
    </row>
    <row r="2459" spans="1:9" ht="60">
      <c r="A2459" s="74"/>
      <c r="B2459" s="80" t="s">
        <v>800</v>
      </c>
      <c r="C2459" s="81" t="s">
        <v>801</v>
      </c>
      <c r="D2459" s="74" t="s">
        <v>17</v>
      </c>
      <c r="E2459" s="78">
        <v>1</v>
      </c>
      <c r="F2459" s="64">
        <f>G2466</f>
        <v>43.59</v>
      </c>
      <c r="G2459" s="64">
        <f t="shared" ref="G2459:G2465" si="138">TRUNC(E2459*F2459,2)</f>
        <v>43.59</v>
      </c>
      <c r="H2459" s="64"/>
      <c r="I2459" s="78"/>
    </row>
    <row r="2460" spans="1:9" ht="15">
      <c r="A2460" s="74"/>
      <c r="B2460" s="80" t="s">
        <v>802</v>
      </c>
      <c r="C2460" s="81" t="s">
        <v>803</v>
      </c>
      <c r="D2460" s="74" t="s">
        <v>477</v>
      </c>
      <c r="E2460" s="78">
        <v>0.04</v>
      </c>
      <c r="F2460" s="64">
        <v>98.52</v>
      </c>
      <c r="G2460" s="64">
        <f t="shared" si="138"/>
        <v>3.94</v>
      </c>
      <c r="H2460" s="64"/>
      <c r="I2460" s="78"/>
    </row>
    <row r="2461" spans="1:9" ht="15">
      <c r="A2461" s="74"/>
      <c r="B2461" s="80" t="s">
        <v>804</v>
      </c>
      <c r="C2461" s="81" t="s">
        <v>805</v>
      </c>
      <c r="D2461" s="74" t="s">
        <v>477</v>
      </c>
      <c r="E2461" s="78">
        <v>0.23</v>
      </c>
      <c r="F2461" s="64">
        <v>55.76</v>
      </c>
      <c r="G2461" s="64">
        <f t="shared" si="138"/>
        <v>12.82</v>
      </c>
      <c r="H2461" s="64"/>
      <c r="I2461" s="78"/>
    </row>
    <row r="2462" spans="1:9" ht="15">
      <c r="A2462" s="74"/>
      <c r="B2462" s="80" t="s">
        <v>806</v>
      </c>
      <c r="C2462" s="81" t="s">
        <v>807</v>
      </c>
      <c r="D2462" s="74" t="s">
        <v>7</v>
      </c>
      <c r="E2462" s="78">
        <v>1</v>
      </c>
      <c r="F2462" s="64">
        <v>0.85</v>
      </c>
      <c r="G2462" s="64">
        <f t="shared" si="138"/>
        <v>0.85</v>
      </c>
      <c r="H2462" s="64"/>
      <c r="I2462" s="78"/>
    </row>
    <row r="2463" spans="1:9" ht="15">
      <c r="A2463" s="74"/>
      <c r="B2463" s="80" t="s">
        <v>808</v>
      </c>
      <c r="C2463" s="81" t="s">
        <v>809</v>
      </c>
      <c r="D2463" s="74" t="s">
        <v>477</v>
      </c>
      <c r="E2463" s="78">
        <v>0.03</v>
      </c>
      <c r="F2463" s="64">
        <v>80.83</v>
      </c>
      <c r="G2463" s="64">
        <f t="shared" si="138"/>
        <v>2.42</v>
      </c>
      <c r="H2463" s="64"/>
      <c r="I2463" s="78"/>
    </row>
    <row r="2464" spans="1:9" ht="30">
      <c r="A2464" s="74"/>
      <c r="B2464" s="80" t="s">
        <v>49</v>
      </c>
      <c r="C2464" s="81" t="s">
        <v>50</v>
      </c>
      <c r="D2464" s="74" t="s">
        <v>51</v>
      </c>
      <c r="E2464" s="78">
        <v>0.41200000000000003</v>
      </c>
      <c r="F2464" s="64">
        <f>TRUNC(15.2,2)</f>
        <v>15.2</v>
      </c>
      <c r="G2464" s="64">
        <f t="shared" si="138"/>
        <v>6.26</v>
      </c>
      <c r="H2464" s="64"/>
      <c r="I2464" s="78"/>
    </row>
    <row r="2465" spans="1:9" ht="15">
      <c r="A2465" s="74"/>
      <c r="B2465" s="80" t="s">
        <v>782</v>
      </c>
      <c r="C2465" s="81" t="s">
        <v>783</v>
      </c>
      <c r="D2465" s="74" t="s">
        <v>51</v>
      </c>
      <c r="E2465" s="78">
        <v>0.82400000000000007</v>
      </c>
      <c r="F2465" s="64">
        <f>TRUNC(21,2)</f>
        <v>21</v>
      </c>
      <c r="G2465" s="64">
        <f t="shared" si="138"/>
        <v>17.3</v>
      </c>
      <c r="H2465" s="64"/>
      <c r="I2465" s="78"/>
    </row>
    <row r="2466" spans="1:9" ht="15">
      <c r="A2466" s="74"/>
      <c r="B2466" s="80"/>
      <c r="C2466" s="81"/>
      <c r="D2466" s="74"/>
      <c r="E2466" s="78" t="s">
        <v>33</v>
      </c>
      <c r="F2466" s="64"/>
      <c r="G2466" s="64">
        <f>TRUNC(SUM(G2460:G2465),2)</f>
        <v>43.59</v>
      </c>
      <c r="H2466" s="64"/>
      <c r="I2466" s="78"/>
    </row>
    <row r="2467" spans="1:9" ht="75">
      <c r="A2467" s="68" t="s">
        <v>811</v>
      </c>
      <c r="B2467" s="98" t="s">
        <v>792</v>
      </c>
      <c r="C2467" s="23" t="s">
        <v>793</v>
      </c>
      <c r="D2467" s="68" t="s">
        <v>17</v>
      </c>
      <c r="E2467" s="24">
        <v>41.2</v>
      </c>
      <c r="F2467" s="24">
        <f>TRUNC(F2468,2)</f>
        <v>19.059999999999999</v>
      </c>
      <c r="G2467" s="24">
        <f>TRUNC(F2467*1.2882,2)</f>
        <v>24.55</v>
      </c>
      <c r="H2467" s="24">
        <f>TRUNC(F2467*E2467,2)</f>
        <v>785.27</v>
      </c>
      <c r="I2467" s="24">
        <f>TRUNC(E2467*G2467,2)</f>
        <v>1011.46</v>
      </c>
    </row>
    <row r="2468" spans="1:9" ht="75">
      <c r="A2468" s="74"/>
      <c r="B2468" s="80" t="s">
        <v>792</v>
      </c>
      <c r="C2468" s="81" t="s">
        <v>793</v>
      </c>
      <c r="D2468" s="74" t="s">
        <v>17</v>
      </c>
      <c r="E2468" s="78">
        <v>1</v>
      </c>
      <c r="F2468" s="64">
        <f>G2474</f>
        <v>19.059999999999999</v>
      </c>
      <c r="G2468" s="64">
        <f t="shared" ref="G2468:G2473" si="139">TRUNC(E2468*F2468,2)</f>
        <v>19.059999999999999</v>
      </c>
      <c r="H2468" s="64"/>
      <c r="I2468" s="78"/>
    </row>
    <row r="2469" spans="1:9" ht="15">
      <c r="A2469" s="74"/>
      <c r="B2469" s="80" t="s">
        <v>794</v>
      </c>
      <c r="C2469" s="81" t="s">
        <v>795</v>
      </c>
      <c r="D2469" s="74" t="s">
        <v>477</v>
      </c>
      <c r="E2469" s="78">
        <v>0.03</v>
      </c>
      <c r="F2469" s="64">
        <v>63.73</v>
      </c>
      <c r="G2469" s="64">
        <f t="shared" si="139"/>
        <v>1.91</v>
      </c>
      <c r="H2469" s="64"/>
      <c r="I2469" s="78"/>
    </row>
    <row r="2470" spans="1:9" ht="15">
      <c r="A2470" s="74"/>
      <c r="B2470" s="80" t="s">
        <v>650</v>
      </c>
      <c r="C2470" s="81" t="s">
        <v>651</v>
      </c>
      <c r="D2470" s="74" t="s">
        <v>7</v>
      </c>
      <c r="E2470" s="78">
        <v>0.5</v>
      </c>
      <c r="F2470" s="64">
        <v>1.85</v>
      </c>
      <c r="G2470" s="64">
        <f t="shared" si="139"/>
        <v>0.92</v>
      </c>
      <c r="H2470" s="64"/>
      <c r="I2470" s="78"/>
    </row>
    <row r="2471" spans="1:9" ht="15">
      <c r="A2471" s="74"/>
      <c r="B2471" s="80" t="s">
        <v>796</v>
      </c>
      <c r="C2471" s="81" t="s">
        <v>797</v>
      </c>
      <c r="D2471" s="74" t="s">
        <v>477</v>
      </c>
      <c r="E2471" s="78">
        <v>0.05</v>
      </c>
      <c r="F2471" s="64">
        <v>101.03</v>
      </c>
      <c r="G2471" s="64">
        <f t="shared" si="139"/>
        <v>5.05</v>
      </c>
      <c r="H2471" s="64"/>
      <c r="I2471" s="78"/>
    </row>
    <row r="2472" spans="1:9" ht="30">
      <c r="A2472" s="74"/>
      <c r="B2472" s="80" t="s">
        <v>49</v>
      </c>
      <c r="C2472" s="81" t="s">
        <v>50</v>
      </c>
      <c r="D2472" s="74" t="s">
        <v>51</v>
      </c>
      <c r="E2472" s="78">
        <v>0.19570000000000001</v>
      </c>
      <c r="F2472" s="64">
        <f>TRUNC(15.2,2)</f>
        <v>15.2</v>
      </c>
      <c r="G2472" s="64">
        <f t="shared" si="139"/>
        <v>2.97</v>
      </c>
      <c r="H2472" s="64"/>
      <c r="I2472" s="78"/>
    </row>
    <row r="2473" spans="1:9" ht="15">
      <c r="A2473" s="74"/>
      <c r="B2473" s="80" t="s">
        <v>782</v>
      </c>
      <c r="C2473" s="81" t="s">
        <v>783</v>
      </c>
      <c r="D2473" s="74" t="s">
        <v>51</v>
      </c>
      <c r="E2473" s="78">
        <v>0.39140000000000003</v>
      </c>
      <c r="F2473" s="64">
        <f>TRUNC(21,2)</f>
        <v>21</v>
      </c>
      <c r="G2473" s="64">
        <f t="shared" si="139"/>
        <v>8.2100000000000009</v>
      </c>
      <c r="H2473" s="64"/>
      <c r="I2473" s="78"/>
    </row>
    <row r="2474" spans="1:9" ht="15">
      <c r="A2474" s="74"/>
      <c r="B2474" s="80"/>
      <c r="C2474" s="81"/>
      <c r="D2474" s="74"/>
      <c r="E2474" s="78" t="s">
        <v>33</v>
      </c>
      <c r="F2474" s="64"/>
      <c r="G2474" s="64">
        <f>TRUNC(SUM(G2469:G2473),2)</f>
        <v>19.059999999999999</v>
      </c>
      <c r="H2474" s="64"/>
      <c r="I2474" s="78"/>
    </row>
    <row r="2475" spans="1:9" ht="60">
      <c r="A2475" s="68" t="s">
        <v>1957</v>
      </c>
      <c r="B2475" s="98" t="s">
        <v>1958</v>
      </c>
      <c r="C2475" s="23" t="s">
        <v>1959</v>
      </c>
      <c r="D2475" s="68" t="s">
        <v>17</v>
      </c>
      <c r="E2475" s="24">
        <v>222</v>
      </c>
      <c r="F2475" s="24">
        <f>TRUNC(F2476,2)</f>
        <v>21.98</v>
      </c>
      <c r="G2475" s="24">
        <f>TRUNC(F2475*1.2882,2)</f>
        <v>28.31</v>
      </c>
      <c r="H2475" s="24">
        <f>TRUNC(F2475*E2475,2)</f>
        <v>4879.5600000000004</v>
      </c>
      <c r="I2475" s="24">
        <f>TRUNC(E2475*G2475,2)</f>
        <v>6284.82</v>
      </c>
    </row>
    <row r="2476" spans="1:9" ht="60">
      <c r="A2476" s="74"/>
      <c r="B2476" s="80" t="s">
        <v>1958</v>
      </c>
      <c r="C2476" s="81" t="s">
        <v>1959</v>
      </c>
      <c r="D2476" s="74" t="s">
        <v>17</v>
      </c>
      <c r="E2476" s="78">
        <v>1</v>
      </c>
      <c r="F2476" s="64">
        <f>G2482</f>
        <v>21.98</v>
      </c>
      <c r="G2476" s="64">
        <f t="shared" ref="G2476:G2481" si="140">TRUNC(E2476*F2476,2)</f>
        <v>21.98</v>
      </c>
      <c r="H2476" s="64"/>
      <c r="I2476" s="78"/>
    </row>
    <row r="2477" spans="1:9" ht="15">
      <c r="A2477" s="74"/>
      <c r="B2477" s="80" t="s">
        <v>1960</v>
      </c>
      <c r="C2477" s="81" t="s">
        <v>1961</v>
      </c>
      <c r="D2477" s="74" t="s">
        <v>477</v>
      </c>
      <c r="E2477" s="78">
        <v>3.5000000000000003E-2</v>
      </c>
      <c r="F2477" s="64">
        <f>TRUNC(260.81,2)</f>
        <v>260.81</v>
      </c>
      <c r="G2477" s="64">
        <f t="shared" si="140"/>
        <v>9.1199999999999992</v>
      </c>
      <c r="H2477" s="64"/>
      <c r="I2477" s="78"/>
    </row>
    <row r="2478" spans="1:9" ht="15">
      <c r="A2478" s="74"/>
      <c r="B2478" s="80" t="s">
        <v>1962</v>
      </c>
      <c r="C2478" s="81" t="s">
        <v>1963</v>
      </c>
      <c r="D2478" s="74" t="s">
        <v>46</v>
      </c>
      <c r="E2478" s="78">
        <v>2.5000000000000001E-2</v>
      </c>
      <c r="F2478" s="64">
        <f>TRUNC(18.44,2)</f>
        <v>18.440000000000001</v>
      </c>
      <c r="G2478" s="64">
        <f t="shared" si="140"/>
        <v>0.46</v>
      </c>
      <c r="H2478" s="64"/>
      <c r="I2478" s="78"/>
    </row>
    <row r="2479" spans="1:9" ht="15">
      <c r="A2479" s="74"/>
      <c r="B2479" s="80" t="s">
        <v>796</v>
      </c>
      <c r="C2479" s="81" t="s">
        <v>797</v>
      </c>
      <c r="D2479" s="74" t="s">
        <v>477</v>
      </c>
      <c r="E2479" s="78">
        <v>0.05</v>
      </c>
      <c r="F2479" s="64">
        <f>TRUNC(101.03,2)</f>
        <v>101.03</v>
      </c>
      <c r="G2479" s="64">
        <f t="shared" si="140"/>
        <v>5.05</v>
      </c>
      <c r="H2479" s="64"/>
      <c r="I2479" s="78"/>
    </row>
    <row r="2480" spans="1:9" ht="30">
      <c r="A2480" s="74"/>
      <c r="B2480" s="80" t="s">
        <v>49</v>
      </c>
      <c r="C2480" s="81" t="s">
        <v>50</v>
      </c>
      <c r="D2480" s="74" t="s">
        <v>51</v>
      </c>
      <c r="E2480" s="78">
        <v>0.12875</v>
      </c>
      <c r="F2480" s="64">
        <f>TRUNC(15.2,2)</f>
        <v>15.2</v>
      </c>
      <c r="G2480" s="64">
        <f t="shared" si="140"/>
        <v>1.95</v>
      </c>
      <c r="H2480" s="64"/>
      <c r="I2480" s="78"/>
    </row>
    <row r="2481" spans="1:9" ht="15">
      <c r="A2481" s="74"/>
      <c r="B2481" s="80" t="s">
        <v>782</v>
      </c>
      <c r="C2481" s="81" t="s">
        <v>783</v>
      </c>
      <c r="D2481" s="74" t="s">
        <v>51</v>
      </c>
      <c r="E2481" s="78">
        <v>0.25750000000000001</v>
      </c>
      <c r="F2481" s="64">
        <f>TRUNC(21,2)</f>
        <v>21</v>
      </c>
      <c r="G2481" s="64">
        <f t="shared" si="140"/>
        <v>5.4</v>
      </c>
      <c r="H2481" s="64"/>
      <c r="I2481" s="78"/>
    </row>
    <row r="2482" spans="1:9" ht="15">
      <c r="A2482" s="74"/>
      <c r="B2482" s="80"/>
      <c r="C2482" s="81"/>
      <c r="D2482" s="74"/>
      <c r="E2482" s="78" t="s">
        <v>33</v>
      </c>
      <c r="F2482" s="64"/>
      <c r="G2482" s="64">
        <f>TRUNC(SUM(G2477:G2481),2)</f>
        <v>21.98</v>
      </c>
      <c r="H2482" s="64"/>
      <c r="I2482" s="78"/>
    </row>
    <row r="2483" spans="1:9" s="169" customFormat="1" ht="15.75">
      <c r="A2483" s="240" t="s">
        <v>18</v>
      </c>
      <c r="B2483" s="241"/>
      <c r="C2483" s="242"/>
      <c r="D2483" s="240"/>
      <c r="E2483" s="243"/>
      <c r="F2483" s="244"/>
      <c r="G2483" s="335" t="s">
        <v>819</v>
      </c>
      <c r="H2483" s="336"/>
      <c r="I2483" s="244">
        <f>I2426+I2435+I2444+I2452+I2458+I2467+I2475</f>
        <v>73213.09</v>
      </c>
    </row>
    <row r="2484" spans="1:9" ht="14.25" customHeight="1">
      <c r="A2484" s="53" t="s">
        <v>820</v>
      </c>
      <c r="B2484" s="54"/>
      <c r="C2484" s="334" t="s">
        <v>821</v>
      </c>
      <c r="D2484" s="334"/>
      <c r="E2484" s="334"/>
      <c r="F2484" s="334"/>
      <c r="G2484" s="334"/>
      <c r="H2484" s="334"/>
      <c r="I2484" s="334"/>
    </row>
    <row r="2485" spans="1:9" ht="45">
      <c r="A2485" s="68" t="s">
        <v>822</v>
      </c>
      <c r="B2485" s="98" t="s">
        <v>1816</v>
      </c>
      <c r="C2485" s="23" t="s">
        <v>1817</v>
      </c>
      <c r="D2485" s="68" t="s">
        <v>23</v>
      </c>
      <c r="E2485" s="24">
        <v>36.25</v>
      </c>
      <c r="F2485" s="24">
        <f>TRUNC(F2486,2)</f>
        <v>17.22</v>
      </c>
      <c r="G2485" s="24">
        <f>TRUNC(F2485*1.2882,2)</f>
        <v>22.18</v>
      </c>
      <c r="H2485" s="24">
        <f>TRUNC(F2485*E2485,2)</f>
        <v>624.22</v>
      </c>
      <c r="I2485" s="24">
        <f>TRUNC(E2485*G2485,2)</f>
        <v>804.02</v>
      </c>
    </row>
    <row r="2486" spans="1:9" ht="45">
      <c r="A2486" s="74"/>
      <c r="B2486" s="80" t="s">
        <v>1816</v>
      </c>
      <c r="C2486" s="81" t="s">
        <v>1817</v>
      </c>
      <c r="D2486" s="74" t="s">
        <v>23</v>
      </c>
      <c r="E2486" s="78">
        <v>1</v>
      </c>
      <c r="F2486" s="64">
        <f>G2488</f>
        <v>17.22</v>
      </c>
      <c r="G2486" s="64">
        <f>TRUNC(E2486*F2486,2)</f>
        <v>17.22</v>
      </c>
      <c r="H2486" s="64"/>
      <c r="I2486" s="78"/>
    </row>
    <row r="2487" spans="1:9" ht="30">
      <c r="A2487" s="74"/>
      <c r="B2487" s="80" t="s">
        <v>49</v>
      </c>
      <c r="C2487" s="81" t="s">
        <v>50</v>
      </c>
      <c r="D2487" s="74" t="s">
        <v>51</v>
      </c>
      <c r="E2487" s="78">
        <v>1.1330000000000002</v>
      </c>
      <c r="F2487" s="64">
        <f>TRUNC(15.2,2)</f>
        <v>15.2</v>
      </c>
      <c r="G2487" s="64">
        <f>TRUNC(E2487*F2487,2)</f>
        <v>17.22</v>
      </c>
      <c r="H2487" s="64"/>
      <c r="I2487" s="78"/>
    </row>
    <row r="2488" spans="1:9" ht="15">
      <c r="A2488" s="74"/>
      <c r="B2488" s="80"/>
      <c r="C2488" s="81"/>
      <c r="D2488" s="74"/>
      <c r="E2488" s="78" t="s">
        <v>33</v>
      </c>
      <c r="F2488" s="64"/>
      <c r="G2488" s="64">
        <f>TRUNC(SUM(G2487:G2487),2)</f>
        <v>17.22</v>
      </c>
      <c r="H2488" s="64"/>
      <c r="I2488" s="78"/>
    </row>
    <row r="2489" spans="1:9" ht="60">
      <c r="A2489" s="68" t="s">
        <v>824</v>
      </c>
      <c r="B2489" s="98" t="s">
        <v>1967</v>
      </c>
      <c r="C2489" s="23" t="s">
        <v>1968</v>
      </c>
      <c r="D2489" s="68" t="s">
        <v>23</v>
      </c>
      <c r="E2489" s="24">
        <v>36.25</v>
      </c>
      <c r="F2489" s="24">
        <f>TRUNC(F2490,2)</f>
        <v>67.14</v>
      </c>
      <c r="G2489" s="24">
        <f>TRUNC(F2489*1.2882,2)</f>
        <v>86.48</v>
      </c>
      <c r="H2489" s="24">
        <f>TRUNC(F2489*E2489,2)</f>
        <v>2433.8200000000002</v>
      </c>
      <c r="I2489" s="24">
        <f>TRUNC(E2489*G2489,2)</f>
        <v>3134.9</v>
      </c>
    </row>
    <row r="2490" spans="1:9" ht="60">
      <c r="A2490" s="74"/>
      <c r="B2490" s="80" t="s">
        <v>1967</v>
      </c>
      <c r="C2490" s="81" t="s">
        <v>1968</v>
      </c>
      <c r="D2490" s="74" t="s">
        <v>23</v>
      </c>
      <c r="E2490" s="78">
        <v>1</v>
      </c>
      <c r="F2490" s="64">
        <f>G2498</f>
        <v>67.14</v>
      </c>
      <c r="G2490" s="64">
        <f t="shared" ref="G2490:G2497" si="141">TRUNC(E2490*F2490,2)</f>
        <v>67.14</v>
      </c>
      <c r="H2490" s="64"/>
      <c r="I2490" s="78"/>
    </row>
    <row r="2491" spans="1:9" ht="30">
      <c r="A2491" s="74"/>
      <c r="B2491" s="80" t="s">
        <v>49</v>
      </c>
      <c r="C2491" s="81" t="s">
        <v>50</v>
      </c>
      <c r="D2491" s="74" t="s">
        <v>51</v>
      </c>
      <c r="E2491" s="78">
        <v>1.3729899999999999</v>
      </c>
      <c r="F2491" s="64">
        <f>TRUNC(15.2,2)</f>
        <v>15.2</v>
      </c>
      <c r="G2491" s="64">
        <f t="shared" si="141"/>
        <v>20.86</v>
      </c>
      <c r="H2491" s="64"/>
      <c r="I2491" s="78"/>
    </row>
    <row r="2492" spans="1:9" ht="15">
      <c r="A2492" s="74"/>
      <c r="B2492" s="80" t="s">
        <v>1810</v>
      </c>
      <c r="C2492" s="81" t="s">
        <v>1811</v>
      </c>
      <c r="D2492" s="74" t="s">
        <v>51</v>
      </c>
      <c r="E2492" s="78">
        <v>0.17201000000000002</v>
      </c>
      <c r="F2492" s="64">
        <f>TRUNC(21,2)</f>
        <v>21</v>
      </c>
      <c r="G2492" s="64">
        <f t="shared" si="141"/>
        <v>3.61</v>
      </c>
      <c r="H2492" s="64"/>
      <c r="I2492" s="78"/>
    </row>
    <row r="2493" spans="1:9" ht="15">
      <c r="A2493" s="74"/>
      <c r="B2493" s="80" t="s">
        <v>1969</v>
      </c>
      <c r="C2493" s="81" t="s">
        <v>1970</v>
      </c>
      <c r="D2493" s="74" t="s">
        <v>17</v>
      </c>
      <c r="E2493" s="78">
        <v>0.62</v>
      </c>
      <c r="F2493" s="64">
        <f>TRUNC(33.0599,2)</f>
        <v>33.049999999999997</v>
      </c>
      <c r="G2493" s="64">
        <f t="shared" si="141"/>
        <v>20.49</v>
      </c>
      <c r="H2493" s="64"/>
      <c r="I2493" s="78"/>
    </row>
    <row r="2494" spans="1:9" ht="15">
      <c r="A2494" s="74"/>
      <c r="B2494" s="80" t="s">
        <v>1061</v>
      </c>
      <c r="C2494" s="81" t="s">
        <v>1062</v>
      </c>
      <c r="D2494" s="74" t="s">
        <v>55</v>
      </c>
      <c r="E2494" s="78">
        <v>4.2000000000000003E-2</v>
      </c>
      <c r="F2494" s="64">
        <f>TRUNC(68.661,2)</f>
        <v>68.66</v>
      </c>
      <c r="G2494" s="64">
        <f t="shared" si="141"/>
        <v>2.88</v>
      </c>
      <c r="H2494" s="64"/>
      <c r="I2494" s="78"/>
    </row>
    <row r="2495" spans="1:9" ht="15">
      <c r="A2495" s="74"/>
      <c r="B2495" s="80" t="s">
        <v>1971</v>
      </c>
      <c r="C2495" s="81" t="s">
        <v>1972</v>
      </c>
      <c r="D2495" s="74" t="s">
        <v>55</v>
      </c>
      <c r="E2495" s="78">
        <v>4.2000000000000003E-2</v>
      </c>
      <c r="F2495" s="64">
        <f>TRUNC(62.7318,2)</f>
        <v>62.73</v>
      </c>
      <c r="G2495" s="64">
        <f t="shared" si="141"/>
        <v>2.63</v>
      </c>
      <c r="H2495" s="64"/>
      <c r="I2495" s="78"/>
    </row>
    <row r="2496" spans="1:9" ht="15">
      <c r="A2496" s="74"/>
      <c r="B2496" s="80" t="s">
        <v>461</v>
      </c>
      <c r="C2496" s="81" t="s">
        <v>462</v>
      </c>
      <c r="D2496" s="74" t="s">
        <v>55</v>
      </c>
      <c r="E2496" s="78">
        <v>4.2000000000000003E-2</v>
      </c>
      <c r="F2496" s="64">
        <f>TRUNC(371.5672,2)</f>
        <v>371.56</v>
      </c>
      <c r="G2496" s="64">
        <f t="shared" si="141"/>
        <v>15.6</v>
      </c>
      <c r="H2496" s="64"/>
      <c r="I2496" s="78"/>
    </row>
    <row r="2497" spans="1:9" ht="15">
      <c r="A2497" s="74"/>
      <c r="B2497" s="80" t="s">
        <v>213</v>
      </c>
      <c r="C2497" s="81" t="s">
        <v>214</v>
      </c>
      <c r="D2497" s="74" t="s">
        <v>55</v>
      </c>
      <c r="E2497" s="78">
        <v>2.5000000000000001E-3</v>
      </c>
      <c r="F2497" s="64">
        <f>TRUNC(428.8008,2)</f>
        <v>428.8</v>
      </c>
      <c r="G2497" s="64">
        <f t="shared" si="141"/>
        <v>1.07</v>
      </c>
      <c r="H2497" s="64"/>
      <c r="I2497" s="78"/>
    </row>
    <row r="2498" spans="1:9" ht="15">
      <c r="A2498" s="74"/>
      <c r="B2498" s="80"/>
      <c r="C2498" s="81"/>
      <c r="D2498" s="74"/>
      <c r="E2498" s="78" t="s">
        <v>33</v>
      </c>
      <c r="F2498" s="64"/>
      <c r="G2498" s="64">
        <f>TRUNC(SUM(G2491:G2497),2)</f>
        <v>67.14</v>
      </c>
      <c r="H2498" s="64"/>
      <c r="I2498" s="78"/>
    </row>
    <row r="2499" spans="1:9" ht="45">
      <c r="A2499" s="68" t="s">
        <v>825</v>
      </c>
      <c r="B2499" s="98" t="s">
        <v>1818</v>
      </c>
      <c r="C2499" s="23" t="s">
        <v>1819</v>
      </c>
      <c r="D2499" s="68" t="s">
        <v>17</v>
      </c>
      <c r="E2499" s="24">
        <f>24.09+87.73</f>
        <v>111.82000000000001</v>
      </c>
      <c r="F2499" s="24">
        <f>TRUNC(F2500,2)</f>
        <v>111.17</v>
      </c>
      <c r="G2499" s="24">
        <f>TRUNC(F2499*1.2882,2)</f>
        <v>143.19999999999999</v>
      </c>
      <c r="H2499" s="24">
        <f>TRUNC(F2499*E2499,2)</f>
        <v>12431.02</v>
      </c>
      <c r="I2499" s="24">
        <f>TRUNC(E2499*G2499,2)</f>
        <v>16012.62</v>
      </c>
    </row>
    <row r="2500" spans="1:9" ht="45">
      <c r="A2500" s="74"/>
      <c r="B2500" s="80" t="s">
        <v>1818</v>
      </c>
      <c r="C2500" s="81" t="s">
        <v>1819</v>
      </c>
      <c r="D2500" s="74" t="s">
        <v>17</v>
      </c>
      <c r="E2500" s="78">
        <v>111.82</v>
      </c>
      <c r="F2500" s="64">
        <f>TRUNC(111.174371,2)</f>
        <v>111.17</v>
      </c>
      <c r="G2500" s="64">
        <f t="shared" ref="G2500:G2508" si="142">TRUNC(E2500*F2500,2)</f>
        <v>12431.02</v>
      </c>
      <c r="H2500" s="64"/>
      <c r="I2500" s="78"/>
    </row>
    <row r="2501" spans="1:9" ht="30">
      <c r="A2501" s="74"/>
      <c r="B2501" s="80" t="s">
        <v>232</v>
      </c>
      <c r="C2501" s="81" t="s">
        <v>233</v>
      </c>
      <c r="D2501" s="74" t="s">
        <v>17</v>
      </c>
      <c r="E2501" s="78">
        <v>1.1224000000000001</v>
      </c>
      <c r="F2501" s="64">
        <f>TRUNC(38.42,2)</f>
        <v>38.42</v>
      </c>
      <c r="G2501" s="64">
        <f t="shared" si="142"/>
        <v>43.12</v>
      </c>
      <c r="H2501" s="64"/>
      <c r="I2501" s="78"/>
    </row>
    <row r="2502" spans="1:9" ht="15">
      <c r="A2502" s="74"/>
      <c r="B2502" s="80" t="s">
        <v>234</v>
      </c>
      <c r="C2502" s="81" t="s">
        <v>235</v>
      </c>
      <c r="D2502" s="74" t="s">
        <v>23</v>
      </c>
      <c r="E2502" s="78">
        <v>0.2</v>
      </c>
      <c r="F2502" s="64">
        <f>TRUNC(3.02,2)</f>
        <v>3.02</v>
      </c>
      <c r="G2502" s="64">
        <f t="shared" si="142"/>
        <v>0.6</v>
      </c>
      <c r="H2502" s="64"/>
      <c r="I2502" s="78"/>
    </row>
    <row r="2503" spans="1:9" ht="30">
      <c r="A2503" s="74"/>
      <c r="B2503" s="80" t="s">
        <v>236</v>
      </c>
      <c r="C2503" s="81" t="s">
        <v>237</v>
      </c>
      <c r="D2503" s="74" t="s">
        <v>23</v>
      </c>
      <c r="E2503" s="78">
        <v>0.25</v>
      </c>
      <c r="F2503" s="64">
        <f>TRUNC(12.7,2)</f>
        <v>12.7</v>
      </c>
      <c r="G2503" s="64">
        <f t="shared" si="142"/>
        <v>3.17</v>
      </c>
      <c r="H2503" s="64"/>
      <c r="I2503" s="78"/>
    </row>
    <row r="2504" spans="1:9" ht="15">
      <c r="A2504" s="74"/>
      <c r="B2504" s="80" t="s">
        <v>238</v>
      </c>
      <c r="C2504" s="81" t="s">
        <v>239</v>
      </c>
      <c r="D2504" s="74" t="s">
        <v>17</v>
      </c>
      <c r="E2504" s="78">
        <v>1.1279999999999999</v>
      </c>
      <c r="F2504" s="64">
        <f>TRUNC(0.75,2)</f>
        <v>0.75</v>
      </c>
      <c r="G2504" s="64">
        <f t="shared" si="142"/>
        <v>0.84</v>
      </c>
      <c r="H2504" s="64"/>
      <c r="I2504" s="78"/>
    </row>
    <row r="2505" spans="1:9" ht="15">
      <c r="A2505" s="74"/>
      <c r="B2505" s="80" t="s">
        <v>56</v>
      </c>
      <c r="C2505" s="81" t="s">
        <v>57</v>
      </c>
      <c r="D2505" s="74" t="s">
        <v>51</v>
      </c>
      <c r="E2505" s="78">
        <v>0.4572</v>
      </c>
      <c r="F2505" s="64">
        <f>TRUNC(22.72,2)</f>
        <v>22.72</v>
      </c>
      <c r="G2505" s="64">
        <f t="shared" si="142"/>
        <v>10.38</v>
      </c>
      <c r="H2505" s="64"/>
      <c r="I2505" s="78"/>
    </row>
    <row r="2506" spans="1:9" ht="15">
      <c r="A2506" s="74"/>
      <c r="B2506" s="80" t="s">
        <v>58</v>
      </c>
      <c r="C2506" s="81" t="s">
        <v>59</v>
      </c>
      <c r="D2506" s="74" t="s">
        <v>51</v>
      </c>
      <c r="E2506" s="78">
        <v>0.2767</v>
      </c>
      <c r="F2506" s="64">
        <f>TRUNC(29.57,2)</f>
        <v>29.57</v>
      </c>
      <c r="G2506" s="64">
        <f t="shared" si="142"/>
        <v>8.18</v>
      </c>
      <c r="H2506" s="64"/>
      <c r="I2506" s="78"/>
    </row>
    <row r="2507" spans="1:9" ht="15">
      <c r="A2507" s="74"/>
      <c r="B2507" s="80" t="s">
        <v>240</v>
      </c>
      <c r="C2507" s="81" t="s">
        <v>241</v>
      </c>
      <c r="D2507" s="74" t="s">
        <v>51</v>
      </c>
      <c r="E2507" s="78">
        <v>0.18049999999999999</v>
      </c>
      <c r="F2507" s="64">
        <f>TRUNC(29.28,2)</f>
        <v>29.28</v>
      </c>
      <c r="G2507" s="64">
        <f t="shared" si="142"/>
        <v>5.28</v>
      </c>
      <c r="H2507" s="64"/>
      <c r="I2507" s="78"/>
    </row>
    <row r="2508" spans="1:9" ht="45">
      <c r="A2508" s="74"/>
      <c r="B2508" s="80" t="s">
        <v>823</v>
      </c>
      <c r="C2508" s="81" t="s">
        <v>1820</v>
      </c>
      <c r="D2508" s="74" t="s">
        <v>55</v>
      </c>
      <c r="E2508" s="78">
        <v>9.7000000000000003E-2</v>
      </c>
      <c r="F2508" s="64">
        <f>TRUNC(407.96,2)</f>
        <v>407.96</v>
      </c>
      <c r="G2508" s="64">
        <f t="shared" si="142"/>
        <v>39.57</v>
      </c>
      <c r="H2508" s="64"/>
      <c r="I2508" s="78"/>
    </row>
    <row r="2509" spans="1:9" ht="15">
      <c r="A2509" s="74"/>
      <c r="B2509" s="80"/>
      <c r="C2509" s="81"/>
      <c r="D2509" s="74"/>
      <c r="E2509" s="78" t="s">
        <v>33</v>
      </c>
      <c r="F2509" s="64"/>
      <c r="G2509" s="64">
        <f>TRUNC(SUM(G2501:G2508),2)</f>
        <v>111.14</v>
      </c>
      <c r="H2509" s="64"/>
      <c r="I2509" s="78"/>
    </row>
    <row r="2510" spans="1:9" ht="60">
      <c r="A2510" s="68" t="s">
        <v>826</v>
      </c>
      <c r="B2510" s="98" t="s">
        <v>351</v>
      </c>
      <c r="C2510" s="23" t="s">
        <v>352</v>
      </c>
      <c r="D2510" s="68" t="s">
        <v>17</v>
      </c>
      <c r="E2510" s="24">
        <v>8.75</v>
      </c>
      <c r="F2510" s="24">
        <f>TRUNC(F2511,2)</f>
        <v>145.30000000000001</v>
      </c>
      <c r="G2510" s="24">
        <f>TRUNC(F2510*1.2882,2)</f>
        <v>187.17</v>
      </c>
      <c r="H2510" s="24">
        <f>TRUNC(F2510*E2510,2)</f>
        <v>1271.3699999999999</v>
      </c>
      <c r="I2510" s="24">
        <f>TRUNC(E2510*G2510,2)</f>
        <v>1637.73</v>
      </c>
    </row>
    <row r="2511" spans="1:9" ht="60">
      <c r="A2511" s="74"/>
      <c r="B2511" s="80" t="s">
        <v>351</v>
      </c>
      <c r="C2511" s="81" t="s">
        <v>352</v>
      </c>
      <c r="D2511" s="74" t="s">
        <v>17</v>
      </c>
      <c r="E2511" s="78">
        <v>1</v>
      </c>
      <c r="F2511" s="64">
        <f>G2519</f>
        <v>145.30000000000001</v>
      </c>
      <c r="G2511" s="64">
        <f t="shared" ref="G2511:G2518" si="143">TRUNC(E2511*F2511,2)</f>
        <v>145.30000000000001</v>
      </c>
      <c r="H2511" s="64"/>
      <c r="I2511" s="78"/>
    </row>
    <row r="2512" spans="1:9" ht="30">
      <c r="A2512" s="74"/>
      <c r="B2512" s="80" t="s">
        <v>353</v>
      </c>
      <c r="C2512" s="81" t="s">
        <v>354</v>
      </c>
      <c r="D2512" s="74" t="s">
        <v>17</v>
      </c>
      <c r="E2512" s="78">
        <v>1.05</v>
      </c>
      <c r="F2512" s="64">
        <v>77.150000000000006</v>
      </c>
      <c r="G2512" s="64">
        <f t="shared" si="143"/>
        <v>81</v>
      </c>
      <c r="H2512" s="64"/>
      <c r="I2512" s="78"/>
    </row>
    <row r="2513" spans="1:9" ht="15">
      <c r="A2513" s="74"/>
      <c r="B2513" s="80" t="s">
        <v>296</v>
      </c>
      <c r="C2513" s="81" t="s">
        <v>297</v>
      </c>
      <c r="D2513" s="74" t="s">
        <v>46</v>
      </c>
      <c r="E2513" s="78">
        <v>0.1</v>
      </c>
      <c r="F2513" s="64">
        <v>36.049999999999997</v>
      </c>
      <c r="G2513" s="64">
        <f t="shared" si="143"/>
        <v>3.6</v>
      </c>
      <c r="H2513" s="64"/>
      <c r="I2513" s="78"/>
    </row>
    <row r="2514" spans="1:9" ht="15">
      <c r="A2514" s="74"/>
      <c r="B2514" s="80" t="s">
        <v>298</v>
      </c>
      <c r="C2514" s="81" t="s">
        <v>299</v>
      </c>
      <c r="D2514" s="74" t="s">
        <v>46</v>
      </c>
      <c r="E2514" s="78">
        <v>0.1</v>
      </c>
      <c r="F2514" s="64">
        <v>1.82</v>
      </c>
      <c r="G2514" s="64">
        <f t="shared" si="143"/>
        <v>0.18</v>
      </c>
      <c r="H2514" s="64"/>
      <c r="I2514" s="78"/>
    </row>
    <row r="2515" spans="1:9" ht="30">
      <c r="A2515" s="74"/>
      <c r="B2515" s="80" t="s">
        <v>49</v>
      </c>
      <c r="C2515" s="81" t="s">
        <v>50</v>
      </c>
      <c r="D2515" s="74" t="s">
        <v>51</v>
      </c>
      <c r="E2515" s="78">
        <v>1.1330000000000002</v>
      </c>
      <c r="F2515" s="64">
        <v>15.2</v>
      </c>
      <c r="G2515" s="64">
        <f t="shared" si="143"/>
        <v>17.22</v>
      </c>
      <c r="H2515" s="64"/>
      <c r="I2515" s="78"/>
    </row>
    <row r="2516" spans="1:9" ht="15">
      <c r="A2516" s="74"/>
      <c r="B2516" s="80" t="s">
        <v>277</v>
      </c>
      <c r="C2516" s="81" t="s">
        <v>278</v>
      </c>
      <c r="D2516" s="74" t="s">
        <v>51</v>
      </c>
      <c r="E2516" s="78">
        <v>1.1330000000000002</v>
      </c>
      <c r="F2516" s="64">
        <v>22.6</v>
      </c>
      <c r="G2516" s="64">
        <f t="shared" si="143"/>
        <v>25.6</v>
      </c>
      <c r="H2516" s="64"/>
      <c r="I2516" s="78"/>
    </row>
    <row r="2517" spans="1:9" ht="15">
      <c r="A2517" s="74"/>
      <c r="B2517" s="80" t="s">
        <v>336</v>
      </c>
      <c r="C2517" s="81" t="s">
        <v>337</v>
      </c>
      <c r="D2517" s="74" t="s">
        <v>55</v>
      </c>
      <c r="E2517" s="78">
        <v>3.5000000000000003E-2</v>
      </c>
      <c r="F2517" s="64">
        <v>456.48849999999999</v>
      </c>
      <c r="G2517" s="64">
        <f t="shared" si="143"/>
        <v>15.97</v>
      </c>
      <c r="H2517" s="64"/>
      <c r="I2517" s="78"/>
    </row>
    <row r="2518" spans="1:9" ht="15">
      <c r="A2518" s="74"/>
      <c r="B2518" s="80" t="s">
        <v>300</v>
      </c>
      <c r="C2518" s="81" t="s">
        <v>301</v>
      </c>
      <c r="D2518" s="74" t="s">
        <v>55</v>
      </c>
      <c r="E2518" s="78">
        <v>2E-3</v>
      </c>
      <c r="F2518" s="64">
        <v>865.904</v>
      </c>
      <c r="G2518" s="64">
        <f t="shared" si="143"/>
        <v>1.73</v>
      </c>
      <c r="H2518" s="64"/>
      <c r="I2518" s="78"/>
    </row>
    <row r="2519" spans="1:9" ht="15">
      <c r="A2519" s="74"/>
      <c r="B2519" s="80"/>
      <c r="C2519" s="81"/>
      <c r="D2519" s="74"/>
      <c r="E2519" s="78" t="s">
        <v>33</v>
      </c>
      <c r="F2519" s="64"/>
      <c r="G2519" s="64">
        <f>TRUNC(SUM(G2512:G2518),2)</f>
        <v>145.30000000000001</v>
      </c>
      <c r="H2519" s="64"/>
      <c r="I2519" s="78"/>
    </row>
    <row r="2520" spans="1:9" ht="45">
      <c r="A2520" s="68" t="s">
        <v>1821</v>
      </c>
      <c r="B2520" s="98" t="s">
        <v>1822</v>
      </c>
      <c r="C2520" s="23" t="s">
        <v>1823</v>
      </c>
      <c r="D2520" s="68" t="s">
        <v>17</v>
      </c>
      <c r="E2520" s="24">
        <v>5.75</v>
      </c>
      <c r="F2520" s="24">
        <f>TRUNC(F2521,2)</f>
        <v>145.30000000000001</v>
      </c>
      <c r="G2520" s="24">
        <f>TRUNC(F2520*1.2882,2)</f>
        <v>187.17</v>
      </c>
      <c r="H2520" s="24">
        <f>TRUNC(F2520*E2520,2)</f>
        <v>835.47</v>
      </c>
      <c r="I2520" s="24">
        <f>TRUNC(E2520*G2520,2)</f>
        <v>1076.22</v>
      </c>
    </row>
    <row r="2521" spans="1:9" ht="45">
      <c r="A2521" s="74"/>
      <c r="B2521" s="80" t="s">
        <v>1822</v>
      </c>
      <c r="C2521" s="81" t="s">
        <v>1823</v>
      </c>
      <c r="D2521" s="74" t="s">
        <v>17</v>
      </c>
      <c r="E2521" s="78">
        <v>1</v>
      </c>
      <c r="F2521" s="64">
        <f>G2529</f>
        <v>145.30000000000001</v>
      </c>
      <c r="G2521" s="64">
        <f t="shared" ref="G2521:G2528" si="144">TRUNC(E2521*F2521,2)</f>
        <v>145.30000000000001</v>
      </c>
      <c r="H2521" s="64"/>
      <c r="I2521" s="78"/>
    </row>
    <row r="2522" spans="1:9" ht="30">
      <c r="A2522" s="74"/>
      <c r="B2522" s="80" t="s">
        <v>1824</v>
      </c>
      <c r="C2522" s="81" t="s">
        <v>1825</v>
      </c>
      <c r="D2522" s="74" t="s">
        <v>17</v>
      </c>
      <c r="E2522" s="78">
        <v>1.05</v>
      </c>
      <c r="F2522" s="64">
        <f>TRUNC(77.15,2)</f>
        <v>77.150000000000006</v>
      </c>
      <c r="G2522" s="64">
        <f t="shared" si="144"/>
        <v>81</v>
      </c>
      <c r="H2522" s="64"/>
      <c r="I2522" s="78"/>
    </row>
    <row r="2523" spans="1:9" ht="15">
      <c r="A2523" s="74"/>
      <c r="B2523" s="80" t="s">
        <v>296</v>
      </c>
      <c r="C2523" s="81" t="s">
        <v>297</v>
      </c>
      <c r="D2523" s="74" t="s">
        <v>46</v>
      </c>
      <c r="E2523" s="78">
        <v>0.1</v>
      </c>
      <c r="F2523" s="64">
        <f>TRUNC(36.05,2)</f>
        <v>36.049999999999997</v>
      </c>
      <c r="G2523" s="64">
        <f t="shared" si="144"/>
        <v>3.6</v>
      </c>
      <c r="H2523" s="64"/>
      <c r="I2523" s="78"/>
    </row>
    <row r="2524" spans="1:9" ht="15">
      <c r="A2524" s="74"/>
      <c r="B2524" s="80" t="s">
        <v>298</v>
      </c>
      <c r="C2524" s="81" t="s">
        <v>299</v>
      </c>
      <c r="D2524" s="74" t="s">
        <v>46</v>
      </c>
      <c r="E2524" s="78">
        <v>0.1</v>
      </c>
      <c r="F2524" s="64">
        <f>TRUNC(1.82,2)</f>
        <v>1.82</v>
      </c>
      <c r="G2524" s="64">
        <f t="shared" si="144"/>
        <v>0.18</v>
      </c>
      <c r="H2524" s="64"/>
      <c r="I2524" s="78"/>
    </row>
    <row r="2525" spans="1:9" ht="30">
      <c r="A2525" s="74"/>
      <c r="B2525" s="80" t="s">
        <v>49</v>
      </c>
      <c r="C2525" s="81" t="s">
        <v>50</v>
      </c>
      <c r="D2525" s="74" t="s">
        <v>51</v>
      </c>
      <c r="E2525" s="78">
        <v>1.1330000000000002</v>
      </c>
      <c r="F2525" s="64">
        <f>TRUNC(15.2,2)</f>
        <v>15.2</v>
      </c>
      <c r="G2525" s="64">
        <f t="shared" si="144"/>
        <v>17.22</v>
      </c>
      <c r="H2525" s="64"/>
      <c r="I2525" s="78"/>
    </row>
    <row r="2526" spans="1:9" ht="15">
      <c r="A2526" s="74"/>
      <c r="B2526" s="80" t="s">
        <v>277</v>
      </c>
      <c r="C2526" s="81" t="s">
        <v>278</v>
      </c>
      <c r="D2526" s="74" t="s">
        <v>51</v>
      </c>
      <c r="E2526" s="78">
        <v>1.1330000000000002</v>
      </c>
      <c r="F2526" s="64">
        <f>TRUNC(22.6,2)</f>
        <v>22.6</v>
      </c>
      <c r="G2526" s="64">
        <f t="shared" si="144"/>
        <v>25.6</v>
      </c>
      <c r="H2526" s="64"/>
      <c r="I2526" s="78"/>
    </row>
    <row r="2527" spans="1:9" ht="15">
      <c r="A2527" s="74"/>
      <c r="B2527" s="80" t="s">
        <v>336</v>
      </c>
      <c r="C2527" s="81" t="s">
        <v>337</v>
      </c>
      <c r="D2527" s="74" t="s">
        <v>55</v>
      </c>
      <c r="E2527" s="78">
        <v>3.5000000000000003E-2</v>
      </c>
      <c r="F2527" s="64">
        <f>TRUNC(456.4885,2)</f>
        <v>456.48</v>
      </c>
      <c r="G2527" s="64">
        <f t="shared" si="144"/>
        <v>15.97</v>
      </c>
      <c r="H2527" s="64"/>
      <c r="I2527" s="78"/>
    </row>
    <row r="2528" spans="1:9" ht="15">
      <c r="A2528" s="74"/>
      <c r="B2528" s="80" t="s">
        <v>300</v>
      </c>
      <c r="C2528" s="81" t="s">
        <v>301</v>
      </c>
      <c r="D2528" s="74" t="s">
        <v>55</v>
      </c>
      <c r="E2528" s="78">
        <v>2E-3</v>
      </c>
      <c r="F2528" s="64">
        <f>TRUNC(865.904,2)</f>
        <v>865.9</v>
      </c>
      <c r="G2528" s="64">
        <f t="shared" si="144"/>
        <v>1.73</v>
      </c>
      <c r="H2528" s="64"/>
      <c r="I2528" s="78"/>
    </row>
    <row r="2529" spans="1:9" ht="15">
      <c r="A2529" s="74"/>
      <c r="B2529" s="80"/>
      <c r="C2529" s="81"/>
      <c r="D2529" s="74"/>
      <c r="E2529" s="78" t="s">
        <v>33</v>
      </c>
      <c r="F2529" s="64"/>
      <c r="G2529" s="64">
        <f>TRUNC(SUM(G2522:G2528),2)</f>
        <v>145.30000000000001</v>
      </c>
      <c r="H2529" s="64"/>
      <c r="I2529" s="78"/>
    </row>
    <row r="2530" spans="1:9" ht="45">
      <c r="A2530" s="68" t="s">
        <v>1826</v>
      </c>
      <c r="B2530" s="98" t="s">
        <v>787</v>
      </c>
      <c r="C2530" s="23" t="s">
        <v>788</v>
      </c>
      <c r="D2530" s="68" t="s">
        <v>17</v>
      </c>
      <c r="E2530" s="24">
        <v>52</v>
      </c>
      <c r="F2530" s="24">
        <f>TRUNC(F2531,2)</f>
        <v>14.61</v>
      </c>
      <c r="G2530" s="24">
        <f>TRUNC(F2530*1.2882,2)</f>
        <v>18.82</v>
      </c>
      <c r="H2530" s="24">
        <f>TRUNC(F2530*E2530,2)</f>
        <v>759.72</v>
      </c>
      <c r="I2530" s="24">
        <f>TRUNC(E2530*G2530,2)</f>
        <v>978.64</v>
      </c>
    </row>
    <row r="2531" spans="1:9" ht="45">
      <c r="A2531" s="74"/>
      <c r="B2531" s="80" t="s">
        <v>787</v>
      </c>
      <c r="C2531" s="81" t="s">
        <v>788</v>
      </c>
      <c r="D2531" s="74" t="s">
        <v>17</v>
      </c>
      <c r="E2531" s="78">
        <v>1</v>
      </c>
      <c r="F2531" s="64">
        <f>TRUNC(14.61954,2)</f>
        <v>14.61</v>
      </c>
      <c r="G2531" s="64">
        <f t="shared" ref="G2531:G2536" si="145">TRUNC(E2531*F2531,2)</f>
        <v>14.61</v>
      </c>
      <c r="H2531" s="64"/>
      <c r="I2531" s="78"/>
    </row>
    <row r="2532" spans="1:9" ht="15">
      <c r="A2532" s="74"/>
      <c r="B2532" s="80" t="s">
        <v>774</v>
      </c>
      <c r="C2532" s="81" t="s">
        <v>775</v>
      </c>
      <c r="D2532" s="74" t="s">
        <v>7</v>
      </c>
      <c r="E2532" s="78">
        <v>0.5</v>
      </c>
      <c r="F2532" s="64">
        <v>1.1200000000000001</v>
      </c>
      <c r="G2532" s="64">
        <f t="shared" si="145"/>
        <v>0.56000000000000005</v>
      </c>
      <c r="H2532" s="64"/>
      <c r="I2532" s="78"/>
    </row>
    <row r="2533" spans="1:9" ht="30">
      <c r="A2533" s="74"/>
      <c r="B2533" s="80" t="s">
        <v>789</v>
      </c>
      <c r="C2533" s="81" t="s">
        <v>790</v>
      </c>
      <c r="D2533" s="74" t="s">
        <v>7</v>
      </c>
      <c r="E2533" s="78">
        <v>1.2E-2</v>
      </c>
      <c r="F2533" s="64">
        <v>255.32</v>
      </c>
      <c r="G2533" s="64">
        <f t="shared" si="145"/>
        <v>3.06</v>
      </c>
      <c r="H2533" s="64"/>
      <c r="I2533" s="78"/>
    </row>
    <row r="2534" spans="1:9" ht="30">
      <c r="A2534" s="74"/>
      <c r="B2534" s="80" t="s">
        <v>776</v>
      </c>
      <c r="C2534" s="81" t="s">
        <v>777</v>
      </c>
      <c r="D2534" s="74" t="s">
        <v>477</v>
      </c>
      <c r="E2534" s="78">
        <v>0.03</v>
      </c>
      <c r="F2534" s="64">
        <v>23.18</v>
      </c>
      <c r="G2534" s="64">
        <f t="shared" si="145"/>
        <v>0.69</v>
      </c>
      <c r="H2534" s="64"/>
      <c r="I2534" s="78"/>
    </row>
    <row r="2535" spans="1:9" ht="30">
      <c r="A2535" s="74"/>
      <c r="B2535" s="80" t="s">
        <v>49</v>
      </c>
      <c r="C2535" s="81" t="s">
        <v>50</v>
      </c>
      <c r="D2535" s="74" t="s">
        <v>51</v>
      </c>
      <c r="E2535" s="78">
        <v>0.18024999999999999</v>
      </c>
      <c r="F2535" s="64">
        <f>TRUNC(15.2,2)</f>
        <v>15.2</v>
      </c>
      <c r="G2535" s="64">
        <f t="shared" si="145"/>
        <v>2.73</v>
      </c>
      <c r="H2535" s="64"/>
      <c r="I2535" s="78"/>
    </row>
    <row r="2536" spans="1:9" ht="15">
      <c r="A2536" s="74"/>
      <c r="B2536" s="80" t="s">
        <v>782</v>
      </c>
      <c r="C2536" s="81" t="s">
        <v>783</v>
      </c>
      <c r="D2536" s="74" t="s">
        <v>51</v>
      </c>
      <c r="E2536" s="78">
        <v>0.36049999999999999</v>
      </c>
      <c r="F2536" s="64">
        <f>TRUNC(21,2)</f>
        <v>21</v>
      </c>
      <c r="G2536" s="64">
        <f t="shared" si="145"/>
        <v>7.57</v>
      </c>
      <c r="H2536" s="64"/>
      <c r="I2536" s="78"/>
    </row>
    <row r="2537" spans="1:9" ht="15">
      <c r="A2537" s="74"/>
      <c r="B2537" s="80"/>
      <c r="C2537" s="81"/>
      <c r="D2537" s="74"/>
      <c r="E2537" s="78" t="s">
        <v>33</v>
      </c>
      <c r="F2537" s="64"/>
      <c r="G2537" s="64">
        <f>TRUNC(SUM(G2532:G2536),2)</f>
        <v>14.61</v>
      </c>
      <c r="H2537" s="64"/>
      <c r="I2537" s="78"/>
    </row>
    <row r="2538" spans="1:9" ht="30">
      <c r="A2538" s="68" t="s">
        <v>1827</v>
      </c>
      <c r="B2538" s="98" t="s">
        <v>1828</v>
      </c>
      <c r="C2538" s="23" t="s">
        <v>1829</v>
      </c>
      <c r="D2538" s="68" t="s">
        <v>23</v>
      </c>
      <c r="E2538" s="24">
        <v>8.8000000000000007</v>
      </c>
      <c r="F2538" s="24">
        <f>TRUNC(F2539,2)</f>
        <v>50.43</v>
      </c>
      <c r="G2538" s="24">
        <f>TRUNC(F2538*1.2882,2)</f>
        <v>64.959999999999994</v>
      </c>
      <c r="H2538" s="24">
        <f>TRUNC(F2538*E2538,2)</f>
        <v>443.78</v>
      </c>
      <c r="I2538" s="24">
        <f>TRUNC(E2538*G2538,2)</f>
        <v>571.64</v>
      </c>
    </row>
    <row r="2539" spans="1:9" ht="30">
      <c r="A2539" s="74"/>
      <c r="B2539" s="80" t="s">
        <v>1828</v>
      </c>
      <c r="C2539" s="81" t="s">
        <v>1829</v>
      </c>
      <c r="D2539" s="74" t="s">
        <v>23</v>
      </c>
      <c r="E2539" s="78">
        <v>1</v>
      </c>
      <c r="F2539" s="64">
        <f>G2546</f>
        <v>50.43</v>
      </c>
      <c r="G2539" s="64">
        <f t="shared" ref="G2539:G2545" si="146">TRUNC(E2539*F2539,2)</f>
        <v>50.43</v>
      </c>
      <c r="H2539" s="64"/>
      <c r="I2539" s="78"/>
    </row>
    <row r="2540" spans="1:9" ht="30">
      <c r="A2540" s="74"/>
      <c r="B2540" s="80" t="s">
        <v>49</v>
      </c>
      <c r="C2540" s="81" t="s">
        <v>50</v>
      </c>
      <c r="D2540" s="74" t="s">
        <v>51</v>
      </c>
      <c r="E2540" s="78">
        <v>9.2700000000000005E-2</v>
      </c>
      <c r="F2540" s="64">
        <f>TRUNC(15.2,2)</f>
        <v>15.2</v>
      </c>
      <c r="G2540" s="64">
        <f t="shared" si="146"/>
        <v>1.4</v>
      </c>
      <c r="H2540" s="64"/>
      <c r="I2540" s="78"/>
    </row>
    <row r="2541" spans="1:9" ht="15">
      <c r="A2541" s="74"/>
      <c r="B2541" s="80" t="s">
        <v>1812</v>
      </c>
      <c r="C2541" s="81" t="s">
        <v>1813</v>
      </c>
      <c r="D2541" s="74" t="s">
        <v>17</v>
      </c>
      <c r="E2541" s="78">
        <v>0.5</v>
      </c>
      <c r="F2541" s="64">
        <f>TRUNC(71.4921,2)</f>
        <v>71.489999999999995</v>
      </c>
      <c r="G2541" s="64">
        <f t="shared" si="146"/>
        <v>35.74</v>
      </c>
      <c r="H2541" s="64"/>
      <c r="I2541" s="78"/>
    </row>
    <row r="2542" spans="1:9" ht="15">
      <c r="A2542" s="74"/>
      <c r="B2542" s="80" t="s">
        <v>1814</v>
      </c>
      <c r="C2542" s="81" t="s">
        <v>1815</v>
      </c>
      <c r="D2542" s="74" t="s">
        <v>55</v>
      </c>
      <c r="E2542" s="78">
        <v>2.5000000000000001E-2</v>
      </c>
      <c r="F2542" s="64">
        <f>TRUNC(69.2768,2)</f>
        <v>69.27</v>
      </c>
      <c r="G2542" s="64">
        <f t="shared" si="146"/>
        <v>1.73</v>
      </c>
      <c r="H2542" s="64"/>
      <c r="I2542" s="78"/>
    </row>
    <row r="2543" spans="1:9" ht="15">
      <c r="A2543" s="74"/>
      <c r="B2543" s="80" t="s">
        <v>1830</v>
      </c>
      <c r="C2543" s="81" t="s">
        <v>1831</v>
      </c>
      <c r="D2543" s="74" t="s">
        <v>55</v>
      </c>
      <c r="E2543" s="78">
        <v>2.5000000000000001E-2</v>
      </c>
      <c r="F2543" s="64">
        <f>TRUNC(77.7936,2)</f>
        <v>77.790000000000006</v>
      </c>
      <c r="G2543" s="64">
        <f t="shared" si="146"/>
        <v>1.94</v>
      </c>
      <c r="H2543" s="64"/>
      <c r="I2543" s="78"/>
    </row>
    <row r="2544" spans="1:9" ht="15">
      <c r="A2544" s="74"/>
      <c r="B2544" s="80" t="s">
        <v>461</v>
      </c>
      <c r="C2544" s="81" t="s">
        <v>462</v>
      </c>
      <c r="D2544" s="74" t="s">
        <v>55</v>
      </c>
      <c r="E2544" s="78">
        <v>2.5000000000000001E-2</v>
      </c>
      <c r="F2544" s="64">
        <f>TRUNC(371.5672,2)</f>
        <v>371.56</v>
      </c>
      <c r="G2544" s="64">
        <f t="shared" si="146"/>
        <v>9.2799999999999994</v>
      </c>
      <c r="H2544" s="64"/>
      <c r="I2544" s="78"/>
    </row>
    <row r="2545" spans="1:9" ht="15">
      <c r="A2545" s="74"/>
      <c r="B2545" s="80" t="s">
        <v>213</v>
      </c>
      <c r="C2545" s="81" t="s">
        <v>214</v>
      </c>
      <c r="D2545" s="74" t="s">
        <v>55</v>
      </c>
      <c r="E2545" s="78">
        <v>8.0000000000000004E-4</v>
      </c>
      <c r="F2545" s="64">
        <f>TRUNC(428.8008,2)</f>
        <v>428.8</v>
      </c>
      <c r="G2545" s="64">
        <f t="shared" si="146"/>
        <v>0.34</v>
      </c>
      <c r="H2545" s="64"/>
      <c r="I2545" s="78"/>
    </row>
    <row r="2546" spans="1:9" ht="15">
      <c r="A2546" s="74"/>
      <c r="B2546" s="80"/>
      <c r="C2546" s="81"/>
      <c r="D2546" s="74"/>
      <c r="E2546" s="78" t="s">
        <v>33</v>
      </c>
      <c r="F2546" s="64"/>
      <c r="G2546" s="64">
        <f>TRUNC(SUM(G2540:G2545),2)</f>
        <v>50.43</v>
      </c>
      <c r="H2546" s="64"/>
      <c r="I2546" s="78"/>
    </row>
    <row r="2547" spans="1:9" ht="15">
      <c r="A2547" s="74"/>
      <c r="B2547" s="80"/>
      <c r="C2547" s="81"/>
      <c r="D2547" s="74"/>
      <c r="E2547" s="78"/>
      <c r="F2547" s="64"/>
      <c r="G2547" s="64"/>
      <c r="H2547" s="64"/>
      <c r="I2547" s="78"/>
    </row>
    <row r="2548" spans="1:9" ht="15">
      <c r="A2548" s="68" t="s">
        <v>1832</v>
      </c>
      <c r="B2548" s="98" t="s">
        <v>1835</v>
      </c>
      <c r="C2548" s="23" t="s">
        <v>1836</v>
      </c>
      <c r="D2548" s="68" t="s">
        <v>55</v>
      </c>
      <c r="E2548" s="24">
        <v>0.3</v>
      </c>
      <c r="F2548" s="24">
        <f>TRUNC(F2549,2)</f>
        <v>84.1</v>
      </c>
      <c r="G2548" s="24">
        <f>TRUNC(F2548*1.2882,2)</f>
        <v>108.33</v>
      </c>
      <c r="H2548" s="24">
        <f>TRUNC(F2548*E2548,2)</f>
        <v>25.23</v>
      </c>
      <c r="I2548" s="24">
        <f>TRUNC(E2548*G2548,2)</f>
        <v>32.49</v>
      </c>
    </row>
    <row r="2549" spans="1:9" ht="15">
      <c r="A2549" s="74"/>
      <c r="B2549" s="80" t="s">
        <v>1835</v>
      </c>
      <c r="C2549" s="81" t="s">
        <v>1836</v>
      </c>
      <c r="D2549" s="74" t="s">
        <v>55</v>
      </c>
      <c r="E2549" s="78">
        <v>1</v>
      </c>
      <c r="F2549" s="64">
        <f>G2552</f>
        <v>84.1</v>
      </c>
      <c r="G2549" s="64">
        <f>TRUNC(E2549*F2549,2)</f>
        <v>84.1</v>
      </c>
      <c r="H2549" s="64"/>
      <c r="I2549" s="78"/>
    </row>
    <row r="2550" spans="1:9" ht="15">
      <c r="A2550" s="74"/>
      <c r="B2550" s="80" t="s">
        <v>1837</v>
      </c>
      <c r="C2550" s="81" t="s">
        <v>1838</v>
      </c>
      <c r="D2550" s="74" t="s">
        <v>55</v>
      </c>
      <c r="E2550" s="78">
        <v>0.37</v>
      </c>
      <c r="F2550" s="64">
        <f>TRUNC(210,2)</f>
        <v>210</v>
      </c>
      <c r="G2550" s="64">
        <f>TRUNC(E2550*F2550,2)</f>
        <v>77.7</v>
      </c>
      <c r="H2550" s="64"/>
      <c r="I2550" s="78"/>
    </row>
    <row r="2551" spans="1:9" ht="30">
      <c r="A2551" s="74"/>
      <c r="B2551" s="80" t="s">
        <v>167</v>
      </c>
      <c r="C2551" s="81" t="s">
        <v>168</v>
      </c>
      <c r="D2551" s="74" t="s">
        <v>51</v>
      </c>
      <c r="E2551" s="78">
        <v>0.51500000000000001</v>
      </c>
      <c r="F2551" s="64">
        <f>TRUNC(12.44,2)</f>
        <v>12.44</v>
      </c>
      <c r="G2551" s="64">
        <f>TRUNC(E2551*F2551,2)</f>
        <v>6.4</v>
      </c>
      <c r="H2551" s="64"/>
      <c r="I2551" s="78"/>
    </row>
    <row r="2552" spans="1:9" ht="15">
      <c r="A2552" s="74"/>
      <c r="B2552" s="80"/>
      <c r="C2552" s="81"/>
      <c r="D2552" s="74"/>
      <c r="E2552" s="78" t="s">
        <v>33</v>
      </c>
      <c r="F2552" s="64"/>
      <c r="G2552" s="64">
        <f>TRUNC(SUM(G2550:G2551),2)</f>
        <v>84.1</v>
      </c>
      <c r="H2552" s="64"/>
      <c r="I2552" s="78"/>
    </row>
    <row r="2553" spans="1:9" ht="30">
      <c r="A2553" s="68" t="s">
        <v>1833</v>
      </c>
      <c r="B2553" s="98" t="s">
        <v>1844</v>
      </c>
      <c r="C2553" s="23" t="s">
        <v>1966</v>
      </c>
      <c r="D2553" s="68" t="s">
        <v>7</v>
      </c>
      <c r="E2553" s="24">
        <v>4</v>
      </c>
      <c r="F2553" s="24">
        <f>TRUNC(F2554,2)</f>
        <v>109.9</v>
      </c>
      <c r="G2553" s="24">
        <f>TRUNC(F2553*1.2882,2)</f>
        <v>141.57</v>
      </c>
      <c r="H2553" s="24">
        <f>TRUNC(F2553*E2553,2)</f>
        <v>439.6</v>
      </c>
      <c r="I2553" s="24">
        <f>TRUNC(E2553*G2553,2)</f>
        <v>566.28</v>
      </c>
    </row>
    <row r="2554" spans="1:9" ht="30">
      <c r="A2554" s="74"/>
      <c r="B2554" s="80" t="s">
        <v>1841</v>
      </c>
      <c r="C2554" s="81" t="s">
        <v>1842</v>
      </c>
      <c r="D2554" s="74" t="s">
        <v>7</v>
      </c>
      <c r="E2554" s="78">
        <v>1</v>
      </c>
      <c r="F2554" s="64">
        <f>G2558</f>
        <v>109.9</v>
      </c>
      <c r="G2554" s="64">
        <f>TRUNC(E2554*F2554,2)</f>
        <v>109.9</v>
      </c>
      <c r="H2554" s="64"/>
      <c r="I2554" s="78"/>
    </row>
    <row r="2555" spans="1:9" ht="15">
      <c r="A2555" s="74"/>
      <c r="B2555" s="80" t="s">
        <v>1739</v>
      </c>
      <c r="C2555" s="81" t="s">
        <v>1843</v>
      </c>
      <c r="D2555" s="74" t="s">
        <v>7</v>
      </c>
      <c r="E2555" s="78">
        <v>1</v>
      </c>
      <c r="F2555" s="64">
        <v>80</v>
      </c>
      <c r="G2555" s="64">
        <f>TRUNC(E2555*F2555,2)</f>
        <v>80</v>
      </c>
      <c r="H2555" s="64"/>
      <c r="I2555" s="78"/>
    </row>
    <row r="2556" spans="1:9" ht="15">
      <c r="A2556" s="74"/>
      <c r="B2556" s="80" t="s">
        <v>1839</v>
      </c>
      <c r="C2556" s="81" t="s">
        <v>1840</v>
      </c>
      <c r="D2556" s="74" t="s">
        <v>51</v>
      </c>
      <c r="E2556" s="78">
        <v>0.26</v>
      </c>
      <c r="F2556" s="64">
        <f>TRUNC(24.13,2)</f>
        <v>24.13</v>
      </c>
      <c r="G2556" s="64">
        <f>TRUNC(E2556*F2556,2)</f>
        <v>6.27</v>
      </c>
      <c r="H2556" s="64"/>
      <c r="I2556" s="78"/>
    </row>
    <row r="2557" spans="1:9" ht="15">
      <c r="A2557" s="74"/>
      <c r="B2557" s="80" t="s">
        <v>56</v>
      </c>
      <c r="C2557" s="81" t="s">
        <v>57</v>
      </c>
      <c r="D2557" s="74" t="s">
        <v>51</v>
      </c>
      <c r="E2557" s="78">
        <v>1.0401</v>
      </c>
      <c r="F2557" s="64">
        <f>TRUNC(22.72,2)</f>
        <v>22.72</v>
      </c>
      <c r="G2557" s="64">
        <f>TRUNC(E2557*F2557,2)</f>
        <v>23.63</v>
      </c>
      <c r="H2557" s="64"/>
      <c r="I2557" s="78"/>
    </row>
    <row r="2558" spans="1:9" ht="15">
      <c r="A2558" s="74"/>
      <c r="B2558" s="80"/>
      <c r="C2558" s="81"/>
      <c r="D2558" s="74"/>
      <c r="E2558" s="78" t="s">
        <v>33</v>
      </c>
      <c r="F2558" s="64"/>
      <c r="G2558" s="64">
        <f>TRUNC(SUM(G2555:G2557),2)</f>
        <v>109.9</v>
      </c>
      <c r="H2558" s="64"/>
      <c r="I2558" s="78"/>
    </row>
    <row r="2559" spans="1:9" ht="45">
      <c r="A2559" s="68" t="s">
        <v>1834</v>
      </c>
      <c r="B2559" s="98" t="s">
        <v>1845</v>
      </c>
      <c r="C2559" s="23" t="s">
        <v>1846</v>
      </c>
      <c r="D2559" s="68" t="s">
        <v>7</v>
      </c>
      <c r="E2559" s="24">
        <v>4</v>
      </c>
      <c r="F2559" s="24">
        <f>TRUNC(F2560,2)</f>
        <v>33.47</v>
      </c>
      <c r="G2559" s="24">
        <f>TRUNC(F2559*1.2882,2)</f>
        <v>43.11</v>
      </c>
      <c r="H2559" s="24">
        <f>TRUNC(F2559*E2559,2)</f>
        <v>133.88</v>
      </c>
      <c r="I2559" s="24">
        <f>TRUNC(E2559*G2559,2)</f>
        <v>172.44</v>
      </c>
    </row>
    <row r="2560" spans="1:9" ht="45">
      <c r="A2560" s="74"/>
      <c r="B2560" s="80" t="s">
        <v>1845</v>
      </c>
      <c r="C2560" s="81" t="s">
        <v>1846</v>
      </c>
      <c r="D2560" s="74" t="s">
        <v>7</v>
      </c>
      <c r="E2560" s="78">
        <v>1</v>
      </c>
      <c r="F2560" s="64">
        <f>G2563</f>
        <v>33.47</v>
      </c>
      <c r="G2560" s="64">
        <f>TRUNC(E2560*F2560,2)</f>
        <v>33.47</v>
      </c>
      <c r="H2560" s="64"/>
      <c r="I2560" s="78"/>
    </row>
    <row r="2561" spans="1:9" ht="30">
      <c r="A2561" s="74"/>
      <c r="B2561" s="80" t="s">
        <v>1847</v>
      </c>
      <c r="C2561" s="81" t="s">
        <v>1848</v>
      </c>
      <c r="D2561" s="74" t="s">
        <v>7</v>
      </c>
      <c r="E2561" s="78">
        <v>1</v>
      </c>
      <c r="F2561" s="64">
        <f>TRUNC(22.66,2)</f>
        <v>22.66</v>
      </c>
      <c r="G2561" s="64">
        <f>TRUNC(E2561*F2561,2)</f>
        <v>22.66</v>
      </c>
      <c r="H2561" s="64"/>
      <c r="I2561" s="78"/>
    </row>
    <row r="2562" spans="1:9" ht="15">
      <c r="A2562" s="74"/>
      <c r="B2562" s="80" t="s">
        <v>76</v>
      </c>
      <c r="C2562" s="81" t="s">
        <v>77</v>
      </c>
      <c r="D2562" s="74" t="s">
        <v>51</v>
      </c>
      <c r="E2562" s="78">
        <v>0.51500000000000001</v>
      </c>
      <c r="F2562" s="64">
        <f>TRUNC(21,2)</f>
        <v>21</v>
      </c>
      <c r="G2562" s="64">
        <f>TRUNC(E2562*F2562,2)</f>
        <v>10.81</v>
      </c>
      <c r="H2562" s="64"/>
      <c r="I2562" s="78"/>
    </row>
    <row r="2563" spans="1:9" ht="15">
      <c r="A2563" s="74"/>
      <c r="B2563" s="80"/>
      <c r="C2563" s="81"/>
      <c r="D2563" s="74"/>
      <c r="E2563" s="78" t="s">
        <v>33</v>
      </c>
      <c r="F2563" s="64"/>
      <c r="G2563" s="64">
        <f>TRUNC(SUM(G2561:G2562),2)</f>
        <v>33.47</v>
      </c>
      <c r="H2563" s="64"/>
      <c r="I2563" s="78"/>
    </row>
    <row r="2564" spans="1:9" ht="30">
      <c r="A2564" s="68" t="s">
        <v>1973</v>
      </c>
      <c r="B2564" s="98" t="s">
        <v>1620</v>
      </c>
      <c r="C2564" s="23" t="s">
        <v>1975</v>
      </c>
      <c r="D2564" s="68" t="s">
        <v>742</v>
      </c>
      <c r="E2564" s="24">
        <v>54</v>
      </c>
      <c r="F2564" s="24">
        <f>TRUNC(G2567,2)</f>
        <v>3.24</v>
      </c>
      <c r="G2564" s="24">
        <f>TRUNC(F2564*1.2882,2)</f>
        <v>4.17</v>
      </c>
      <c r="H2564" s="24">
        <f>TRUNC(F2564*E2564,2)</f>
        <v>174.96</v>
      </c>
      <c r="I2564" s="24">
        <f>TRUNC(E2564*G2564,2)</f>
        <v>225.18</v>
      </c>
    </row>
    <row r="2565" spans="1:9" ht="15">
      <c r="A2565" s="74"/>
      <c r="B2565" s="80" t="s">
        <v>1620</v>
      </c>
      <c r="C2565" s="81" t="s">
        <v>1974</v>
      </c>
      <c r="D2565" s="74" t="s">
        <v>742</v>
      </c>
      <c r="E2565" s="78">
        <v>1</v>
      </c>
      <c r="F2565" s="64">
        <v>2</v>
      </c>
      <c r="G2565" s="64">
        <f>E2565*F2565</f>
        <v>2</v>
      </c>
      <c r="H2565" s="64"/>
      <c r="I2565" s="78"/>
    </row>
    <row r="2566" spans="1:9" ht="30">
      <c r="A2566" s="74"/>
      <c r="B2566" s="80" t="s">
        <v>167</v>
      </c>
      <c r="C2566" s="81" t="s">
        <v>168</v>
      </c>
      <c r="D2566" s="74" t="s">
        <v>51</v>
      </c>
      <c r="E2566" s="78">
        <v>0.1</v>
      </c>
      <c r="F2566" s="64">
        <f>TRUNC(12.44,2)</f>
        <v>12.44</v>
      </c>
      <c r="G2566" s="64">
        <f>TRUNC(E2566*F2566,2)</f>
        <v>1.24</v>
      </c>
      <c r="H2566" s="64"/>
      <c r="I2566" s="78"/>
    </row>
    <row r="2567" spans="1:9" ht="15">
      <c r="A2567" s="74"/>
      <c r="B2567" s="80"/>
      <c r="C2567" s="81"/>
      <c r="D2567" s="74"/>
      <c r="E2567" s="78"/>
      <c r="F2567" s="64"/>
      <c r="G2567" s="64">
        <f>SUM(G2565:G2566)</f>
        <v>3.24</v>
      </c>
      <c r="H2567" s="64"/>
      <c r="I2567" s="78"/>
    </row>
    <row r="2568" spans="1:9" s="169" customFormat="1" ht="15.75">
      <c r="A2568" s="240" t="s">
        <v>18</v>
      </c>
      <c r="B2568" s="241"/>
      <c r="C2568" s="242"/>
      <c r="D2568" s="240"/>
      <c r="E2568" s="243"/>
      <c r="F2568" s="244"/>
      <c r="G2568" s="335" t="s">
        <v>827</v>
      </c>
      <c r="H2568" s="336"/>
      <c r="I2568" s="244">
        <f>I2485+I2489+I2499+I2510+I2520+I2530+I2538+I2548+I2553+I2559+I2564</f>
        <v>25212.16</v>
      </c>
    </row>
    <row r="2569" spans="1:9" ht="14.25" customHeight="1">
      <c r="A2569" s="53" t="s">
        <v>828</v>
      </c>
      <c r="B2569" s="54"/>
      <c r="C2569" s="334" t="s">
        <v>829</v>
      </c>
      <c r="D2569" s="334"/>
      <c r="E2569" s="334"/>
      <c r="F2569" s="334"/>
      <c r="G2569" s="334"/>
      <c r="H2569" s="334"/>
      <c r="I2569" s="334"/>
    </row>
    <row r="2570" spans="1:9" ht="75">
      <c r="A2570" s="68" t="s">
        <v>830</v>
      </c>
      <c r="B2570" s="98" t="s">
        <v>841</v>
      </c>
      <c r="C2570" s="23" t="s">
        <v>1849</v>
      </c>
      <c r="D2570" s="68" t="s">
        <v>832</v>
      </c>
      <c r="E2570" s="24">
        <v>320</v>
      </c>
      <c r="F2570" s="24">
        <f>TRUNC(F2571,2)</f>
        <v>14.41</v>
      </c>
      <c r="G2570" s="24">
        <f>TRUNC(F2570*1.2882,2)</f>
        <v>18.559999999999999</v>
      </c>
      <c r="H2570" s="24">
        <f>TRUNC(F2570*E2570,2)</f>
        <v>4611.2</v>
      </c>
      <c r="I2570" s="24">
        <f>TRUNC(E2570*G2570,2)</f>
        <v>5939.2</v>
      </c>
    </row>
    <row r="2571" spans="1:9" ht="75">
      <c r="A2571" s="74"/>
      <c r="B2571" s="80" t="s">
        <v>841</v>
      </c>
      <c r="C2571" s="81" t="s">
        <v>842</v>
      </c>
      <c r="D2571" s="74" t="s">
        <v>832</v>
      </c>
      <c r="E2571" s="78">
        <v>1</v>
      </c>
      <c r="F2571" s="64">
        <f>G2576</f>
        <v>14.41</v>
      </c>
      <c r="G2571" s="64">
        <f>TRUNC(E2571*F2571,2)</f>
        <v>14.41</v>
      </c>
      <c r="H2571" s="64"/>
      <c r="I2571" s="78"/>
    </row>
    <row r="2572" spans="1:9" ht="30">
      <c r="A2572" s="74"/>
      <c r="B2572" s="80" t="s">
        <v>837</v>
      </c>
      <c r="C2572" s="81" t="s">
        <v>838</v>
      </c>
      <c r="D2572" s="74" t="s">
        <v>51</v>
      </c>
      <c r="E2572" s="78">
        <v>7.0000000000000007E-2</v>
      </c>
      <c r="F2572" s="64">
        <v>87.617900000000006</v>
      </c>
      <c r="G2572" s="64">
        <f>TRUNC(E2572*F2572,2)</f>
        <v>6.13</v>
      </c>
      <c r="H2572" s="64"/>
      <c r="I2572" s="78"/>
    </row>
    <row r="2573" spans="1:9" ht="30">
      <c r="A2573" s="74"/>
      <c r="B2573" s="80" t="s">
        <v>839</v>
      </c>
      <c r="C2573" s="81" t="s">
        <v>840</v>
      </c>
      <c r="D2573" s="74" t="s">
        <v>51</v>
      </c>
      <c r="E2573" s="78">
        <v>0.02</v>
      </c>
      <c r="F2573" s="64">
        <v>281.51920000000001</v>
      </c>
      <c r="G2573" s="64">
        <f>TRUNC(E2573*F2573,2)</f>
        <v>5.63</v>
      </c>
      <c r="H2573" s="64"/>
      <c r="I2573" s="78"/>
    </row>
    <row r="2574" spans="1:9" ht="15">
      <c r="A2574" s="74"/>
      <c r="B2574" s="80" t="s">
        <v>833</v>
      </c>
      <c r="C2574" s="81" t="s">
        <v>834</v>
      </c>
      <c r="D2574" s="74" t="s">
        <v>51</v>
      </c>
      <c r="E2574" s="78">
        <v>0.02</v>
      </c>
      <c r="F2574" s="64">
        <v>57.851900000000001</v>
      </c>
      <c r="G2574" s="64">
        <f>TRUNC(E2574*F2574,2)</f>
        <v>1.1499999999999999</v>
      </c>
      <c r="H2574" s="64"/>
      <c r="I2574" s="78"/>
    </row>
    <row r="2575" spans="1:9" ht="15">
      <c r="A2575" s="74"/>
      <c r="B2575" s="80" t="s">
        <v>835</v>
      </c>
      <c r="C2575" s="81" t="s">
        <v>836</v>
      </c>
      <c r="D2575" s="74" t="s">
        <v>51</v>
      </c>
      <c r="E2575" s="78">
        <v>7.0000000000000001E-3</v>
      </c>
      <c r="F2575" s="64">
        <v>215.6617</v>
      </c>
      <c r="G2575" s="64">
        <f>TRUNC(E2575*F2575,2)</f>
        <v>1.5</v>
      </c>
      <c r="H2575" s="64"/>
      <c r="I2575" s="78"/>
    </row>
    <row r="2576" spans="1:9" ht="15">
      <c r="A2576" s="74"/>
      <c r="B2576" s="80"/>
      <c r="C2576" s="81"/>
      <c r="D2576" s="74"/>
      <c r="E2576" s="78" t="s">
        <v>33</v>
      </c>
      <c r="F2576" s="64"/>
      <c r="G2576" s="64">
        <f>TRUNC(SUM(G2572:G2575),2)</f>
        <v>14.41</v>
      </c>
      <c r="H2576" s="64"/>
      <c r="I2576" s="78"/>
    </row>
    <row r="2577" spans="1:9" ht="76.5">
      <c r="A2577" s="68" t="s">
        <v>831</v>
      </c>
      <c r="B2577" s="98" t="s">
        <v>843</v>
      </c>
      <c r="C2577" s="23" t="s">
        <v>1850</v>
      </c>
      <c r="D2577" s="68" t="s">
        <v>845</v>
      </c>
      <c r="E2577" s="24">
        <f>320*11</f>
        <v>3520</v>
      </c>
      <c r="F2577" s="24">
        <f>TRUNC(F2578,2)</f>
        <v>1.78</v>
      </c>
      <c r="G2577" s="24">
        <f>TRUNC(F2577*1.2882,2)</f>
        <v>2.29</v>
      </c>
      <c r="H2577" s="24">
        <f>TRUNC(F2577*E2577,2)</f>
        <v>6265.6</v>
      </c>
      <c r="I2577" s="24">
        <f>TRUNC(E2577*G2577,2)</f>
        <v>8060.8</v>
      </c>
    </row>
    <row r="2578" spans="1:9" ht="60">
      <c r="A2578" s="74"/>
      <c r="B2578" s="80" t="s">
        <v>843</v>
      </c>
      <c r="C2578" s="81" t="s">
        <v>844</v>
      </c>
      <c r="D2578" s="74" t="s">
        <v>845</v>
      </c>
      <c r="E2578" s="78">
        <v>1</v>
      </c>
      <c r="F2578" s="64">
        <f>G2580</f>
        <v>1.78</v>
      </c>
      <c r="G2578" s="64">
        <f>TRUNC(E2578*F2578,2)</f>
        <v>1.78</v>
      </c>
      <c r="H2578" s="64"/>
      <c r="I2578" s="78"/>
    </row>
    <row r="2579" spans="1:9" ht="15">
      <c r="A2579" s="74"/>
      <c r="B2579" s="80" t="s">
        <v>835</v>
      </c>
      <c r="C2579" s="81" t="s">
        <v>836</v>
      </c>
      <c r="D2579" s="74" t="s">
        <v>51</v>
      </c>
      <c r="E2579" s="78">
        <v>8.3000000000000001E-3</v>
      </c>
      <c r="F2579" s="64">
        <v>215.6617</v>
      </c>
      <c r="G2579" s="64">
        <f>TRUNC(E2579*F2579,2)</f>
        <v>1.78</v>
      </c>
      <c r="H2579" s="64"/>
      <c r="I2579" s="78"/>
    </row>
    <row r="2580" spans="1:9" ht="15">
      <c r="A2580" s="74"/>
      <c r="B2580" s="80"/>
      <c r="C2580" s="81"/>
      <c r="D2580" s="74"/>
      <c r="E2580" s="78" t="s">
        <v>33</v>
      </c>
      <c r="F2580" s="64"/>
      <c r="G2580" s="64">
        <f>TRUNC(SUM(G2579:G2579),2)</f>
        <v>1.78</v>
      </c>
      <c r="H2580" s="64"/>
      <c r="I2580" s="78"/>
    </row>
    <row r="2581" spans="1:9" ht="15">
      <c r="A2581" s="68" t="s">
        <v>846</v>
      </c>
      <c r="B2581" s="98" t="s">
        <v>1739</v>
      </c>
      <c r="C2581" s="23" t="s">
        <v>848</v>
      </c>
      <c r="D2581" s="68" t="s">
        <v>860</v>
      </c>
      <c r="E2581" s="24">
        <v>320</v>
      </c>
      <c r="F2581" s="24">
        <f>TRUNC(F2582,2)</f>
        <v>30</v>
      </c>
      <c r="G2581" s="24">
        <f>TRUNC(F2581*1.2285,2)</f>
        <v>36.85</v>
      </c>
      <c r="H2581" s="24">
        <f>TRUNC(F2581*E2581,2)</f>
        <v>9600</v>
      </c>
      <c r="I2581" s="24">
        <f>TRUNC(E2581*G2581,2)</f>
        <v>11792</v>
      </c>
    </row>
    <row r="2582" spans="1:9" ht="15">
      <c r="A2582" s="74"/>
      <c r="B2582" s="80" t="s">
        <v>1856</v>
      </c>
      <c r="C2582" s="81" t="s">
        <v>848</v>
      </c>
      <c r="D2582" s="74"/>
      <c r="E2582" s="78"/>
      <c r="F2582" s="64">
        <v>30</v>
      </c>
      <c r="G2582" s="64"/>
      <c r="H2582" s="64"/>
      <c r="I2582" s="78"/>
    </row>
    <row r="2583" spans="1:9" ht="15">
      <c r="A2583" s="74"/>
      <c r="B2583" s="80"/>
      <c r="C2583" s="81"/>
      <c r="D2583" s="74"/>
      <c r="E2583" s="78"/>
      <c r="F2583" s="64"/>
      <c r="G2583" s="64"/>
      <c r="H2583" s="64"/>
      <c r="I2583" s="78"/>
    </row>
    <row r="2584" spans="1:9" ht="75">
      <c r="A2584" s="68" t="s">
        <v>847</v>
      </c>
      <c r="B2584" s="98" t="s">
        <v>849</v>
      </c>
      <c r="C2584" s="23" t="s">
        <v>850</v>
      </c>
      <c r="D2584" s="68" t="s">
        <v>832</v>
      </c>
      <c r="E2584" s="24">
        <v>30</v>
      </c>
      <c r="F2584" s="24">
        <f>TRUNC(F2585,2)</f>
        <v>88.76</v>
      </c>
      <c r="G2584" s="24">
        <f>TRUNC(F2584*1.2882,2)</f>
        <v>114.34</v>
      </c>
      <c r="H2584" s="24">
        <f>TRUNC(F2584*E2584,2)</f>
        <v>2662.8</v>
      </c>
      <c r="I2584" s="24">
        <f>TRUNC(E2584*G2584,2)</f>
        <v>3430.2</v>
      </c>
    </row>
    <row r="2585" spans="1:9" ht="75">
      <c r="A2585" s="74"/>
      <c r="B2585" s="80" t="s">
        <v>849</v>
      </c>
      <c r="C2585" s="81" t="s">
        <v>850</v>
      </c>
      <c r="D2585" s="74" t="s">
        <v>832</v>
      </c>
      <c r="E2585" s="78">
        <v>1</v>
      </c>
      <c r="F2585" s="64">
        <f>G2589</f>
        <v>88.76</v>
      </c>
      <c r="G2585" s="64">
        <f>TRUNC(E2585*F2585,2)</f>
        <v>88.76</v>
      </c>
      <c r="H2585" s="64"/>
      <c r="I2585" s="78"/>
    </row>
    <row r="2586" spans="1:9" ht="30">
      <c r="A2586" s="74"/>
      <c r="B2586" s="80" t="s">
        <v>49</v>
      </c>
      <c r="C2586" s="81" t="s">
        <v>50</v>
      </c>
      <c r="D2586" s="74" t="s">
        <v>51</v>
      </c>
      <c r="E2586" s="78">
        <v>3.09</v>
      </c>
      <c r="F2586" s="64">
        <v>15.2</v>
      </c>
      <c r="G2586" s="64">
        <f>TRUNC(E2586*F2586,2)</f>
        <v>46.96</v>
      </c>
      <c r="H2586" s="64"/>
      <c r="I2586" s="78"/>
    </row>
    <row r="2587" spans="1:9" ht="15">
      <c r="A2587" s="74"/>
      <c r="B2587" s="80" t="s">
        <v>851</v>
      </c>
      <c r="C2587" s="81" t="s">
        <v>852</v>
      </c>
      <c r="D2587" s="74" t="s">
        <v>51</v>
      </c>
      <c r="E2587" s="78">
        <v>0.75</v>
      </c>
      <c r="F2587" s="64">
        <v>54.643000000000001</v>
      </c>
      <c r="G2587" s="64">
        <f>TRUNC(E2587*F2587,2)</f>
        <v>40.98</v>
      </c>
      <c r="H2587" s="64"/>
      <c r="I2587" s="78"/>
    </row>
    <row r="2588" spans="1:9" ht="15">
      <c r="A2588" s="74"/>
      <c r="B2588" s="80" t="s">
        <v>853</v>
      </c>
      <c r="C2588" s="81" t="s">
        <v>854</v>
      </c>
      <c r="D2588" s="74" t="s">
        <v>51</v>
      </c>
      <c r="E2588" s="78">
        <v>4.0000000000000001E-3</v>
      </c>
      <c r="F2588" s="64">
        <v>205.9239</v>
      </c>
      <c r="G2588" s="64">
        <f>TRUNC(E2588*F2588,2)</f>
        <v>0.82</v>
      </c>
      <c r="H2588" s="64"/>
      <c r="I2588" s="78"/>
    </row>
    <row r="2589" spans="1:9" ht="15">
      <c r="A2589" s="74"/>
      <c r="B2589" s="80"/>
      <c r="C2589" s="81"/>
      <c r="D2589" s="74"/>
      <c r="E2589" s="78" t="s">
        <v>33</v>
      </c>
      <c r="F2589" s="64"/>
      <c r="G2589" s="64">
        <f>TRUNC(SUM(G2586:G2588),2)</f>
        <v>88.76</v>
      </c>
      <c r="H2589" s="64"/>
      <c r="I2589" s="78"/>
    </row>
    <row r="2590" spans="1:9" ht="76.5">
      <c r="A2590" s="68" t="s">
        <v>855</v>
      </c>
      <c r="B2590" s="98" t="s">
        <v>856</v>
      </c>
      <c r="C2590" s="23" t="s">
        <v>1851</v>
      </c>
      <c r="D2590" s="68" t="s">
        <v>845</v>
      </c>
      <c r="E2590" s="24">
        <v>240</v>
      </c>
      <c r="F2590" s="24">
        <f>TRUNC(F2591,2)</f>
        <v>1.56</v>
      </c>
      <c r="G2590" s="24">
        <f>TRUNC(F2590*1.2882,2)</f>
        <v>2</v>
      </c>
      <c r="H2590" s="24">
        <f>TRUNC(F2590*E2590,2)</f>
        <v>374.4</v>
      </c>
      <c r="I2590" s="24">
        <f>TRUNC(E2590*G2590,2)</f>
        <v>480</v>
      </c>
    </row>
    <row r="2591" spans="1:9" ht="60">
      <c r="A2591" s="74"/>
      <c r="B2591" s="80" t="s">
        <v>856</v>
      </c>
      <c r="C2591" s="81" t="s">
        <v>857</v>
      </c>
      <c r="D2591" s="74" t="s">
        <v>845</v>
      </c>
      <c r="E2591" s="78">
        <v>1</v>
      </c>
      <c r="F2591" s="64">
        <f>G2593</f>
        <v>1.56</v>
      </c>
      <c r="G2591" s="64">
        <f>TRUNC(E2591*F2591,2)</f>
        <v>1.56</v>
      </c>
      <c r="H2591" s="64"/>
      <c r="I2591" s="78"/>
    </row>
    <row r="2592" spans="1:9" ht="15">
      <c r="A2592" s="74"/>
      <c r="B2592" s="80" t="s">
        <v>853</v>
      </c>
      <c r="C2592" s="81" t="s">
        <v>854</v>
      </c>
      <c r="D2592" s="74" t="s">
        <v>51</v>
      </c>
      <c r="E2592" s="78">
        <v>7.6E-3</v>
      </c>
      <c r="F2592" s="64">
        <v>205.9239</v>
      </c>
      <c r="G2592" s="64">
        <f>TRUNC(E2592*F2592,2)</f>
        <v>1.56</v>
      </c>
      <c r="H2592" s="64"/>
      <c r="I2592" s="78"/>
    </row>
    <row r="2593" spans="1:9" ht="15">
      <c r="A2593" s="74"/>
      <c r="B2593" s="80"/>
      <c r="C2593" s="81"/>
      <c r="D2593" s="74"/>
      <c r="E2593" s="78" t="s">
        <v>33</v>
      </c>
      <c r="F2593" s="64"/>
      <c r="G2593" s="64">
        <f>TRUNC(SUM(G2592:G2592),2)</f>
        <v>1.56</v>
      </c>
      <c r="H2593" s="64"/>
      <c r="I2593" s="78"/>
    </row>
    <row r="2594" spans="1:9" s="324" customFormat="1" ht="18">
      <c r="A2594" s="319" t="s">
        <v>18</v>
      </c>
      <c r="B2594" s="320"/>
      <c r="C2594" s="321"/>
      <c r="D2594" s="319"/>
      <c r="E2594" s="322"/>
      <c r="F2594" s="323"/>
      <c r="G2594" s="370" t="s">
        <v>858</v>
      </c>
      <c r="H2594" s="371"/>
      <c r="I2594" s="323">
        <f>I2570+I2577+I2581+I2584+I2590</f>
        <v>29702.2</v>
      </c>
    </row>
    <row r="2595" spans="1:9" ht="15">
      <c r="A2595" s="100"/>
      <c r="B2595" s="101"/>
      <c r="C2595" s="102"/>
      <c r="D2595" s="103"/>
      <c r="E2595" s="102"/>
      <c r="F2595" s="102"/>
      <c r="G2595" s="102"/>
      <c r="H2595" s="102"/>
      <c r="I2595" s="104"/>
    </row>
    <row r="2596" spans="1:9" ht="15">
      <c r="A2596" s="100"/>
      <c r="B2596" s="101"/>
      <c r="C2596" s="102"/>
      <c r="D2596" s="103"/>
      <c r="E2596" s="102"/>
      <c r="F2596" s="102"/>
      <c r="G2596" s="102"/>
      <c r="H2596" s="102"/>
      <c r="I2596" s="104"/>
    </row>
    <row r="2597" spans="1:9" ht="15">
      <c r="A2597" s="100"/>
      <c r="B2597" s="101"/>
      <c r="C2597" s="102"/>
      <c r="D2597" s="103"/>
      <c r="E2597" s="102"/>
      <c r="F2597" s="102"/>
      <c r="G2597" s="102"/>
      <c r="H2597" s="102"/>
      <c r="I2597" s="104"/>
    </row>
    <row r="2598" spans="1:9" ht="15">
      <c r="A2598" s="100"/>
      <c r="B2598" s="101"/>
      <c r="C2598" s="102"/>
      <c r="D2598" s="103"/>
      <c r="E2598" s="102"/>
      <c r="F2598" s="102"/>
      <c r="G2598" s="102"/>
      <c r="H2598" s="102"/>
      <c r="I2598" s="104"/>
    </row>
    <row r="2599" spans="1:9" ht="15">
      <c r="A2599" s="100"/>
      <c r="B2599" s="101"/>
      <c r="C2599" s="102"/>
      <c r="D2599" s="103"/>
      <c r="E2599" s="102"/>
      <c r="F2599" s="102"/>
      <c r="G2599" s="102"/>
      <c r="H2599" s="102"/>
      <c r="I2599" s="104"/>
    </row>
    <row r="2600" spans="1:9" ht="15">
      <c r="A2600" s="100"/>
      <c r="B2600" s="101"/>
      <c r="C2600" s="102"/>
      <c r="D2600" s="103"/>
      <c r="E2600" s="102"/>
      <c r="F2600" s="102"/>
      <c r="G2600" s="102"/>
      <c r="H2600" s="102"/>
      <c r="I2600" s="104"/>
    </row>
    <row r="2601" spans="1:9" ht="15">
      <c r="A2601" s="100"/>
      <c r="B2601" s="101"/>
      <c r="C2601" s="102"/>
      <c r="D2601" s="103"/>
      <c r="E2601" s="102"/>
      <c r="F2601" s="102"/>
      <c r="G2601" s="102"/>
      <c r="H2601" s="102"/>
      <c r="I2601" s="104"/>
    </row>
    <row r="2602" spans="1:9" ht="15">
      <c r="A2602" s="100"/>
      <c r="B2602" s="101"/>
      <c r="C2602" s="102"/>
      <c r="D2602" s="103"/>
      <c r="E2602" s="102"/>
      <c r="F2602" s="102"/>
      <c r="G2602" s="102"/>
      <c r="H2602" s="102"/>
      <c r="I2602" s="104"/>
    </row>
    <row r="2603" spans="1:9" ht="15">
      <c r="A2603" s="100"/>
      <c r="B2603" s="101"/>
      <c r="C2603" s="102"/>
      <c r="D2603" s="103"/>
      <c r="E2603" s="102"/>
      <c r="F2603" s="102"/>
      <c r="G2603" s="102"/>
      <c r="H2603" s="102"/>
      <c r="I2603" s="104"/>
    </row>
    <row r="2604" spans="1:9" ht="15">
      <c r="A2604" s="100"/>
      <c r="B2604" s="101"/>
      <c r="C2604" s="102"/>
      <c r="D2604" s="103"/>
      <c r="E2604" s="102"/>
      <c r="F2604" s="102"/>
      <c r="G2604" s="102"/>
      <c r="H2604" s="102"/>
      <c r="I2604" s="104"/>
    </row>
    <row r="2605" spans="1:9" ht="15">
      <c r="A2605" s="100"/>
      <c r="B2605" s="101"/>
      <c r="C2605" s="102"/>
      <c r="D2605" s="103"/>
      <c r="E2605" s="102"/>
      <c r="F2605" s="102"/>
      <c r="G2605" s="102"/>
      <c r="H2605" s="102"/>
      <c r="I2605" s="104"/>
    </row>
    <row r="2606" spans="1:9" ht="15">
      <c r="A2606" s="100"/>
      <c r="B2606" s="101"/>
      <c r="C2606" s="102"/>
      <c r="D2606" s="103"/>
      <c r="E2606" s="102"/>
      <c r="F2606" s="102"/>
      <c r="G2606" s="102"/>
      <c r="H2606" s="102"/>
      <c r="I2606" s="104"/>
    </row>
    <row r="2607" spans="1:9">
      <c r="A2607" s="105"/>
      <c r="B2607" s="106"/>
      <c r="C2607" s="107"/>
      <c r="D2607" s="108"/>
      <c r="E2607" s="107"/>
      <c r="F2607" s="107"/>
      <c r="G2607" s="107"/>
      <c r="H2607" s="107"/>
      <c r="I2607" s="109"/>
    </row>
    <row r="2608" spans="1:9">
      <c r="A2608" s="105"/>
      <c r="B2608" s="106"/>
      <c r="C2608" s="107"/>
      <c r="D2608" s="108"/>
      <c r="E2608" s="107"/>
      <c r="F2608" s="107"/>
      <c r="G2608" s="107"/>
      <c r="H2608" s="107"/>
      <c r="I2608" s="109"/>
    </row>
    <row r="2609" spans="1:9">
      <c r="A2609" s="105"/>
      <c r="B2609" s="106"/>
      <c r="C2609" s="107"/>
      <c r="D2609" s="108"/>
      <c r="E2609" s="107"/>
      <c r="F2609" s="107"/>
      <c r="G2609" s="107"/>
      <c r="H2609" s="107"/>
      <c r="I2609" s="109"/>
    </row>
    <row r="2610" spans="1:9">
      <c r="A2610" s="105"/>
      <c r="B2610" s="106"/>
      <c r="C2610" s="107"/>
      <c r="D2610" s="108"/>
      <c r="E2610" s="107"/>
      <c r="F2610" s="107"/>
      <c r="G2610" s="107"/>
      <c r="H2610" s="107"/>
      <c r="I2610" s="109"/>
    </row>
    <row r="2611" spans="1:9">
      <c r="A2611" s="105"/>
      <c r="B2611" s="106"/>
      <c r="C2611" s="107"/>
      <c r="D2611" s="108"/>
      <c r="E2611" s="107"/>
      <c r="F2611" s="107"/>
      <c r="G2611" s="107"/>
      <c r="H2611" s="107"/>
      <c r="I2611" s="109"/>
    </row>
    <row r="2612" spans="1:9">
      <c r="A2612" s="105"/>
      <c r="B2612" s="106"/>
      <c r="C2612" s="107"/>
      <c r="D2612" s="108"/>
      <c r="E2612" s="107"/>
      <c r="F2612" s="107"/>
      <c r="G2612" s="107"/>
      <c r="H2612" s="107"/>
      <c r="I2612" s="109"/>
    </row>
    <row r="2613" spans="1:9">
      <c r="A2613" s="105"/>
      <c r="B2613" s="106"/>
      <c r="C2613" s="107"/>
      <c r="D2613" s="108"/>
      <c r="E2613" s="107"/>
      <c r="F2613" s="107"/>
      <c r="G2613" s="107"/>
      <c r="H2613" s="107"/>
      <c r="I2613" s="109"/>
    </row>
    <row r="2614" spans="1:9">
      <c r="A2614" s="105"/>
      <c r="B2614" s="106"/>
      <c r="C2614" s="107"/>
      <c r="D2614" s="108"/>
      <c r="E2614" s="107"/>
      <c r="F2614" s="107"/>
      <c r="G2614" s="107"/>
      <c r="H2614" s="107"/>
      <c r="I2614" s="109"/>
    </row>
    <row r="2615" spans="1:9">
      <c r="A2615" s="105"/>
      <c r="B2615" s="106"/>
      <c r="C2615" s="107"/>
      <c r="D2615" s="108"/>
      <c r="E2615" s="107"/>
      <c r="F2615" s="107"/>
      <c r="G2615" s="107"/>
      <c r="H2615" s="107"/>
      <c r="I2615" s="109"/>
    </row>
    <row r="2616" spans="1:9">
      <c r="A2616" s="105"/>
      <c r="B2616" s="106"/>
      <c r="C2616" s="107"/>
      <c r="D2616" s="108"/>
      <c r="E2616" s="107"/>
      <c r="F2616" s="107"/>
      <c r="G2616" s="107"/>
      <c r="H2616" s="107"/>
      <c r="I2616" s="109"/>
    </row>
    <row r="2617" spans="1:9">
      <c r="A2617" s="105"/>
      <c r="B2617" s="106"/>
      <c r="C2617" s="107"/>
      <c r="D2617" s="108"/>
      <c r="E2617" s="107"/>
      <c r="F2617" s="107"/>
      <c r="G2617" s="107"/>
      <c r="H2617" s="107"/>
      <c r="I2617" s="109"/>
    </row>
    <row r="2618" spans="1:9">
      <c r="A2618" s="105"/>
      <c r="B2618" s="106"/>
      <c r="C2618" s="107"/>
      <c r="D2618" s="108"/>
      <c r="E2618" s="107"/>
      <c r="F2618" s="107"/>
      <c r="G2618" s="107"/>
      <c r="H2618" s="107"/>
      <c r="I2618" s="109"/>
    </row>
    <row r="2619" spans="1:9">
      <c r="A2619" s="105"/>
      <c r="B2619" s="106"/>
      <c r="C2619" s="107"/>
      <c r="D2619" s="108"/>
      <c r="E2619" s="107"/>
      <c r="F2619" s="107"/>
      <c r="G2619" s="107"/>
      <c r="H2619" s="107"/>
      <c r="I2619" s="109"/>
    </row>
    <row r="2620" spans="1:9">
      <c r="A2620" s="105"/>
      <c r="B2620" s="106"/>
      <c r="C2620" s="107"/>
      <c r="D2620" s="108"/>
      <c r="E2620" s="107"/>
      <c r="F2620" s="107"/>
      <c r="G2620" s="107"/>
      <c r="H2620" s="107"/>
      <c r="I2620" s="109"/>
    </row>
    <row r="2621" spans="1:9">
      <c r="A2621" s="105"/>
      <c r="B2621" s="106"/>
      <c r="C2621" s="107"/>
      <c r="D2621" s="108"/>
      <c r="E2621" s="107"/>
      <c r="F2621" s="107"/>
      <c r="G2621" s="107"/>
      <c r="H2621" s="107"/>
      <c r="I2621" s="109"/>
    </row>
    <row r="2622" spans="1:9">
      <c r="A2622" s="105"/>
      <c r="B2622" s="106"/>
      <c r="C2622" s="107"/>
      <c r="D2622" s="108"/>
      <c r="E2622" s="107"/>
      <c r="F2622" s="107"/>
      <c r="G2622" s="107"/>
      <c r="H2622" s="107"/>
      <c r="I2622" s="109"/>
    </row>
    <row r="2623" spans="1:9">
      <c r="A2623" s="105"/>
      <c r="B2623" s="106"/>
      <c r="C2623" s="107"/>
      <c r="D2623" s="108"/>
      <c r="E2623" s="107"/>
      <c r="F2623" s="107"/>
      <c r="G2623" s="107"/>
      <c r="H2623" s="107"/>
      <c r="I2623" s="109"/>
    </row>
    <row r="2624" spans="1:9">
      <c r="A2624" s="105"/>
      <c r="B2624" s="106"/>
      <c r="C2624" s="107"/>
      <c r="D2624" s="108"/>
      <c r="E2624" s="107"/>
      <c r="F2624" s="107"/>
      <c r="G2624" s="107"/>
      <c r="H2624" s="107"/>
      <c r="I2624" s="109"/>
    </row>
    <row r="2625" spans="1:9">
      <c r="A2625" s="105"/>
      <c r="B2625" s="106"/>
      <c r="C2625" s="107"/>
      <c r="D2625" s="108"/>
      <c r="E2625" s="107"/>
      <c r="F2625" s="107"/>
      <c r="G2625" s="107"/>
      <c r="H2625" s="107"/>
      <c r="I2625" s="109"/>
    </row>
    <row r="2626" spans="1:9">
      <c r="A2626" s="105"/>
      <c r="B2626" s="106"/>
      <c r="C2626" s="107"/>
      <c r="D2626" s="108"/>
      <c r="E2626" s="107"/>
      <c r="F2626" s="107"/>
      <c r="G2626" s="107"/>
      <c r="H2626" s="107"/>
      <c r="I2626" s="109"/>
    </row>
    <row r="2627" spans="1:9">
      <c r="A2627" s="105"/>
      <c r="B2627" s="106"/>
      <c r="C2627" s="107"/>
      <c r="D2627" s="108"/>
      <c r="E2627" s="107"/>
      <c r="F2627" s="107"/>
      <c r="G2627" s="107"/>
      <c r="H2627" s="107"/>
      <c r="I2627" s="109"/>
    </row>
    <row r="2628" spans="1:9">
      <c r="A2628" s="105"/>
      <c r="B2628" s="106"/>
      <c r="C2628" s="107"/>
      <c r="D2628" s="108"/>
      <c r="E2628" s="107"/>
      <c r="F2628" s="107"/>
      <c r="G2628" s="107"/>
      <c r="H2628" s="107"/>
      <c r="I2628" s="109"/>
    </row>
    <row r="2629" spans="1:9">
      <c r="A2629" s="105"/>
      <c r="B2629" s="106"/>
      <c r="C2629" s="107"/>
      <c r="D2629" s="108"/>
      <c r="E2629" s="107"/>
      <c r="F2629" s="107"/>
      <c r="G2629" s="107"/>
      <c r="H2629" s="107"/>
      <c r="I2629" s="109"/>
    </row>
    <row r="2630" spans="1:9">
      <c r="A2630" s="105"/>
      <c r="B2630" s="106"/>
      <c r="C2630" s="107"/>
      <c r="D2630" s="108"/>
      <c r="E2630" s="107"/>
      <c r="F2630" s="107"/>
      <c r="G2630" s="107"/>
      <c r="H2630" s="107"/>
      <c r="I2630" s="109"/>
    </row>
    <row r="2631" spans="1:9">
      <c r="A2631" s="105"/>
      <c r="B2631" s="106"/>
      <c r="C2631" s="107"/>
      <c r="D2631" s="108"/>
      <c r="E2631" s="107"/>
      <c r="F2631" s="107"/>
      <c r="G2631" s="107"/>
      <c r="H2631" s="107"/>
      <c r="I2631" s="109"/>
    </row>
    <row r="2632" spans="1:9">
      <c r="A2632" s="105"/>
      <c r="B2632" s="106"/>
      <c r="C2632" s="107"/>
      <c r="D2632" s="108"/>
      <c r="E2632" s="107"/>
      <c r="F2632" s="107"/>
      <c r="G2632" s="107"/>
      <c r="H2632" s="107"/>
      <c r="I2632" s="109"/>
    </row>
    <row r="2633" spans="1:9">
      <c r="A2633" s="105"/>
      <c r="B2633" s="106"/>
      <c r="C2633" s="107"/>
      <c r="D2633" s="108"/>
      <c r="E2633" s="107"/>
      <c r="F2633" s="107"/>
      <c r="G2633" s="107"/>
      <c r="H2633" s="107"/>
      <c r="I2633" s="109"/>
    </row>
    <row r="2634" spans="1:9">
      <c r="A2634" s="105"/>
      <c r="B2634" s="106"/>
      <c r="C2634" s="107"/>
      <c r="D2634" s="108"/>
      <c r="E2634" s="107"/>
      <c r="F2634" s="107"/>
      <c r="G2634" s="107"/>
      <c r="H2634" s="107"/>
      <c r="I2634" s="109"/>
    </row>
    <row r="2635" spans="1:9">
      <c r="A2635" s="105"/>
      <c r="B2635" s="106"/>
      <c r="C2635" s="107"/>
      <c r="D2635" s="108"/>
      <c r="E2635" s="107"/>
      <c r="F2635" s="107"/>
      <c r="G2635" s="107"/>
      <c r="H2635" s="107"/>
      <c r="I2635" s="109"/>
    </row>
    <row r="2636" spans="1:9">
      <c r="A2636" s="105"/>
      <c r="B2636" s="106"/>
      <c r="C2636" s="107"/>
      <c r="D2636" s="108"/>
      <c r="E2636" s="107"/>
      <c r="F2636" s="107"/>
      <c r="G2636" s="107"/>
      <c r="H2636" s="107"/>
      <c r="I2636" s="109"/>
    </row>
    <row r="2637" spans="1:9">
      <c r="A2637" s="105"/>
      <c r="B2637" s="106"/>
      <c r="C2637" s="107"/>
      <c r="D2637" s="108"/>
      <c r="E2637" s="107"/>
      <c r="F2637" s="107"/>
      <c r="G2637" s="107"/>
      <c r="H2637" s="107"/>
      <c r="I2637" s="109"/>
    </row>
    <row r="2638" spans="1:9">
      <c r="A2638" s="105"/>
      <c r="B2638" s="106"/>
      <c r="C2638" s="107"/>
      <c r="D2638" s="108"/>
      <c r="E2638" s="107"/>
      <c r="F2638" s="107"/>
      <c r="G2638" s="107"/>
      <c r="H2638" s="107"/>
      <c r="I2638" s="109"/>
    </row>
    <row r="2639" spans="1:9">
      <c r="A2639" s="105"/>
      <c r="B2639" s="106"/>
      <c r="C2639" s="107"/>
      <c r="D2639" s="108"/>
      <c r="E2639" s="107"/>
      <c r="F2639" s="107"/>
      <c r="G2639" s="107"/>
      <c r="H2639" s="107"/>
      <c r="I2639" s="109"/>
    </row>
    <row r="2640" spans="1:9">
      <c r="A2640" s="105"/>
      <c r="B2640" s="106"/>
      <c r="C2640" s="107"/>
      <c r="D2640" s="108"/>
      <c r="E2640" s="107"/>
      <c r="F2640" s="107"/>
      <c r="G2640" s="107"/>
      <c r="H2640" s="107"/>
      <c r="I2640" s="109"/>
    </row>
    <row r="2641" spans="1:9">
      <c r="A2641" s="105"/>
      <c r="B2641" s="106"/>
      <c r="C2641" s="107"/>
      <c r="D2641" s="108"/>
      <c r="E2641" s="107"/>
      <c r="F2641" s="107"/>
      <c r="G2641" s="107"/>
      <c r="H2641" s="107"/>
      <c r="I2641" s="109"/>
    </row>
    <row r="2642" spans="1:9">
      <c r="A2642" s="105"/>
      <c r="B2642" s="106"/>
      <c r="C2642" s="107"/>
      <c r="D2642" s="108"/>
      <c r="E2642" s="107"/>
      <c r="F2642" s="107"/>
      <c r="G2642" s="107"/>
      <c r="H2642" s="107"/>
      <c r="I2642" s="109"/>
    </row>
    <row r="2643" spans="1:9">
      <c r="A2643" s="105"/>
      <c r="B2643" s="106"/>
      <c r="C2643" s="107"/>
      <c r="D2643" s="108"/>
      <c r="E2643" s="107"/>
      <c r="F2643" s="107"/>
      <c r="G2643" s="107"/>
      <c r="H2643" s="107"/>
      <c r="I2643" s="109"/>
    </row>
    <row r="2644" spans="1:9">
      <c r="A2644" s="105"/>
      <c r="B2644" s="106"/>
      <c r="C2644" s="107"/>
      <c r="D2644" s="108"/>
      <c r="E2644" s="107"/>
      <c r="F2644" s="107"/>
      <c r="G2644" s="107"/>
      <c r="H2644" s="107"/>
      <c r="I2644" s="109"/>
    </row>
    <row r="2645" spans="1:9">
      <c r="A2645" s="105"/>
      <c r="B2645" s="106"/>
      <c r="C2645" s="107"/>
      <c r="D2645" s="108"/>
      <c r="E2645" s="107"/>
      <c r="F2645" s="107"/>
      <c r="G2645" s="107"/>
      <c r="H2645" s="107"/>
      <c r="I2645" s="109"/>
    </row>
    <row r="2646" spans="1:9">
      <c r="A2646" s="105"/>
      <c r="B2646" s="106"/>
      <c r="C2646" s="107"/>
      <c r="D2646" s="108"/>
      <c r="E2646" s="107"/>
      <c r="F2646" s="107"/>
      <c r="G2646" s="107"/>
      <c r="H2646" s="107"/>
      <c r="I2646" s="109"/>
    </row>
    <row r="2647" spans="1:9">
      <c r="A2647" s="105"/>
      <c r="B2647" s="106"/>
      <c r="C2647" s="107"/>
      <c r="D2647" s="108"/>
      <c r="E2647" s="107"/>
      <c r="F2647" s="107"/>
      <c r="G2647" s="107"/>
      <c r="H2647" s="107"/>
      <c r="I2647" s="109"/>
    </row>
    <row r="2648" spans="1:9">
      <c r="A2648" s="105"/>
      <c r="B2648" s="106"/>
      <c r="C2648" s="107"/>
      <c r="D2648" s="108"/>
      <c r="E2648" s="107"/>
      <c r="F2648" s="107"/>
      <c r="G2648" s="107"/>
      <c r="H2648" s="107"/>
      <c r="I2648" s="109"/>
    </row>
    <row r="2649" spans="1:9">
      <c r="A2649" s="105"/>
      <c r="B2649" s="106"/>
      <c r="C2649" s="107"/>
      <c r="D2649" s="108"/>
      <c r="E2649" s="107"/>
      <c r="F2649" s="107"/>
      <c r="G2649" s="107"/>
      <c r="H2649" s="107"/>
      <c r="I2649" s="109"/>
    </row>
    <row r="2650" spans="1:9">
      <c r="A2650" s="105"/>
      <c r="B2650" s="106"/>
      <c r="C2650" s="107"/>
      <c r="D2650" s="108"/>
      <c r="E2650" s="107"/>
      <c r="F2650" s="107"/>
      <c r="G2650" s="107"/>
      <c r="H2650" s="107"/>
      <c r="I2650" s="109"/>
    </row>
    <row r="2651" spans="1:9">
      <c r="A2651" s="105"/>
      <c r="B2651" s="106"/>
      <c r="C2651" s="107"/>
      <c r="D2651" s="108"/>
      <c r="E2651" s="107"/>
      <c r="F2651" s="107"/>
      <c r="G2651" s="107"/>
      <c r="H2651" s="107"/>
      <c r="I2651" s="109"/>
    </row>
    <row r="2652" spans="1:9">
      <c r="A2652" s="105"/>
      <c r="B2652" s="106"/>
      <c r="C2652" s="107"/>
      <c r="D2652" s="108"/>
      <c r="E2652" s="107"/>
      <c r="F2652" s="107"/>
      <c r="G2652" s="107"/>
      <c r="H2652" s="107"/>
      <c r="I2652" s="109"/>
    </row>
    <row r="2653" spans="1:9">
      <c r="A2653" s="105"/>
      <c r="B2653" s="106"/>
      <c r="C2653" s="107"/>
      <c r="D2653" s="108"/>
      <c r="E2653" s="107"/>
      <c r="F2653" s="107"/>
      <c r="G2653" s="107"/>
      <c r="H2653" s="107"/>
      <c r="I2653" s="109"/>
    </row>
    <row r="2654" spans="1:9">
      <c r="A2654" s="105"/>
      <c r="B2654" s="106"/>
      <c r="C2654" s="107"/>
      <c r="D2654" s="108"/>
      <c r="E2654" s="107"/>
      <c r="F2654" s="107"/>
      <c r="G2654" s="107"/>
      <c r="H2654" s="107"/>
      <c r="I2654" s="109"/>
    </row>
    <row r="2655" spans="1:9">
      <c r="A2655" s="105"/>
      <c r="B2655" s="106"/>
      <c r="C2655" s="107"/>
      <c r="D2655" s="108"/>
      <c r="E2655" s="107"/>
      <c r="F2655" s="107"/>
      <c r="G2655" s="107"/>
      <c r="H2655" s="107"/>
      <c r="I2655" s="109"/>
    </row>
    <row r="2656" spans="1:9">
      <c r="A2656" s="105"/>
      <c r="B2656" s="106"/>
      <c r="C2656" s="107"/>
      <c r="D2656" s="108"/>
      <c r="E2656" s="107"/>
      <c r="F2656" s="107"/>
      <c r="G2656" s="107"/>
      <c r="H2656" s="107"/>
      <c r="I2656" s="109"/>
    </row>
    <row r="2657" spans="1:9">
      <c r="A2657" s="105"/>
      <c r="B2657" s="106"/>
      <c r="C2657" s="107"/>
      <c r="D2657" s="108"/>
      <c r="E2657" s="107"/>
      <c r="F2657" s="107"/>
      <c r="G2657" s="107"/>
      <c r="H2657" s="107"/>
      <c r="I2657" s="109"/>
    </row>
    <row r="2658" spans="1:9">
      <c r="A2658" s="105"/>
      <c r="B2658" s="106"/>
      <c r="C2658" s="107"/>
      <c r="D2658" s="108"/>
      <c r="E2658" s="107"/>
      <c r="F2658" s="107"/>
      <c r="G2658" s="107"/>
      <c r="H2658" s="107"/>
      <c r="I2658" s="109"/>
    </row>
    <row r="2659" spans="1:9">
      <c r="A2659" s="105"/>
      <c r="B2659" s="106"/>
      <c r="C2659" s="107"/>
      <c r="D2659" s="108"/>
      <c r="E2659" s="107"/>
      <c r="F2659" s="107"/>
      <c r="G2659" s="107"/>
      <c r="H2659" s="107"/>
      <c r="I2659" s="109"/>
    </row>
    <row r="2660" spans="1:9">
      <c r="A2660" s="105"/>
      <c r="B2660" s="106"/>
      <c r="C2660" s="107"/>
      <c r="D2660" s="108"/>
      <c r="E2660" s="107"/>
      <c r="F2660" s="107"/>
      <c r="G2660" s="107"/>
      <c r="H2660" s="107"/>
      <c r="I2660" s="109"/>
    </row>
    <row r="2661" spans="1:9">
      <c r="A2661" s="105"/>
      <c r="B2661" s="106"/>
      <c r="C2661" s="107"/>
      <c r="D2661" s="108"/>
      <c r="E2661" s="107"/>
      <c r="F2661" s="107"/>
      <c r="G2661" s="107"/>
      <c r="H2661" s="107"/>
      <c r="I2661" s="109"/>
    </row>
    <row r="2662" spans="1:9">
      <c r="A2662" s="105"/>
      <c r="B2662" s="106"/>
      <c r="C2662" s="107"/>
      <c r="D2662" s="108"/>
      <c r="E2662" s="107"/>
      <c r="F2662" s="107"/>
      <c r="G2662" s="107"/>
      <c r="H2662" s="107"/>
      <c r="I2662" s="109"/>
    </row>
    <row r="2663" spans="1:9">
      <c r="A2663" s="105"/>
      <c r="B2663" s="106"/>
      <c r="C2663" s="107"/>
      <c r="D2663" s="108"/>
      <c r="E2663" s="107"/>
      <c r="F2663" s="107"/>
      <c r="G2663" s="107"/>
      <c r="H2663" s="107"/>
      <c r="I2663" s="109"/>
    </row>
    <row r="2664" spans="1:9">
      <c r="A2664" s="105"/>
      <c r="B2664" s="106"/>
      <c r="C2664" s="107"/>
      <c r="D2664" s="108"/>
      <c r="E2664" s="107"/>
      <c r="F2664" s="107"/>
      <c r="G2664" s="107"/>
      <c r="H2664" s="107"/>
      <c r="I2664" s="109"/>
    </row>
    <row r="2665" spans="1:9">
      <c r="A2665" s="105"/>
      <c r="B2665" s="106"/>
      <c r="C2665" s="107"/>
      <c r="D2665" s="108"/>
      <c r="E2665" s="107"/>
      <c r="F2665" s="107"/>
      <c r="G2665" s="107"/>
      <c r="H2665" s="107"/>
      <c r="I2665" s="109"/>
    </row>
    <row r="2666" spans="1:9">
      <c r="A2666" s="105"/>
      <c r="B2666" s="106"/>
      <c r="C2666" s="107"/>
      <c r="D2666" s="108"/>
      <c r="E2666" s="107"/>
      <c r="F2666" s="107"/>
      <c r="G2666" s="107"/>
      <c r="H2666" s="107"/>
      <c r="I2666" s="109"/>
    </row>
    <row r="2667" spans="1:9">
      <c r="A2667" s="105"/>
      <c r="B2667" s="106"/>
      <c r="C2667" s="107"/>
      <c r="D2667" s="108"/>
      <c r="E2667" s="107"/>
      <c r="F2667" s="107"/>
      <c r="G2667" s="107"/>
      <c r="H2667" s="107"/>
      <c r="I2667" s="109"/>
    </row>
    <row r="2668" spans="1:9">
      <c r="A2668" s="105"/>
      <c r="B2668" s="106"/>
      <c r="C2668" s="107"/>
      <c r="D2668" s="108"/>
      <c r="E2668" s="107"/>
      <c r="F2668" s="107"/>
      <c r="G2668" s="107"/>
      <c r="H2668" s="107"/>
      <c r="I2668" s="109"/>
    </row>
    <row r="2669" spans="1:9">
      <c r="A2669" s="105"/>
      <c r="B2669" s="106"/>
      <c r="C2669" s="107"/>
      <c r="D2669" s="108"/>
      <c r="E2669" s="107"/>
      <c r="F2669" s="107"/>
      <c r="G2669" s="107"/>
      <c r="H2669" s="107"/>
      <c r="I2669" s="109"/>
    </row>
    <row r="2670" spans="1:9">
      <c r="A2670" s="105"/>
      <c r="B2670" s="106"/>
      <c r="C2670" s="107"/>
      <c r="D2670" s="108"/>
      <c r="E2670" s="107"/>
      <c r="F2670" s="107"/>
      <c r="G2670" s="107"/>
      <c r="H2670" s="107"/>
      <c r="I2670" s="109"/>
    </row>
    <row r="2671" spans="1:9">
      <c r="A2671" s="105"/>
      <c r="B2671" s="106"/>
      <c r="C2671" s="107"/>
      <c r="D2671" s="108"/>
      <c r="E2671" s="107"/>
      <c r="F2671" s="107"/>
      <c r="G2671" s="107"/>
      <c r="H2671" s="107"/>
      <c r="I2671" s="109"/>
    </row>
    <row r="2672" spans="1:9">
      <c r="A2672" s="105"/>
      <c r="B2672" s="106"/>
      <c r="C2672" s="107"/>
      <c r="D2672" s="108"/>
      <c r="E2672" s="107"/>
      <c r="F2672" s="107"/>
      <c r="G2672" s="107"/>
      <c r="H2672" s="107"/>
      <c r="I2672" s="109"/>
    </row>
    <row r="2673" spans="1:9">
      <c r="A2673" s="105"/>
      <c r="B2673" s="106"/>
      <c r="C2673" s="107"/>
      <c r="D2673" s="108"/>
      <c r="E2673" s="107"/>
      <c r="F2673" s="107"/>
      <c r="G2673" s="107"/>
      <c r="H2673" s="107"/>
      <c r="I2673" s="109"/>
    </row>
    <row r="2674" spans="1:9">
      <c r="A2674" s="105"/>
      <c r="B2674" s="106"/>
      <c r="C2674" s="107"/>
      <c r="D2674" s="108"/>
      <c r="E2674" s="107"/>
      <c r="F2674" s="107"/>
      <c r="G2674" s="107"/>
      <c r="H2674" s="107"/>
      <c r="I2674" s="109"/>
    </row>
    <row r="2675" spans="1:9">
      <c r="A2675" s="105"/>
      <c r="B2675" s="106"/>
      <c r="C2675" s="107"/>
      <c r="D2675" s="108"/>
      <c r="E2675" s="107"/>
      <c r="F2675" s="107"/>
      <c r="G2675" s="107"/>
      <c r="H2675" s="107"/>
      <c r="I2675" s="109"/>
    </row>
    <row r="2676" spans="1:9">
      <c r="A2676" s="105"/>
      <c r="B2676" s="106"/>
      <c r="C2676" s="107"/>
      <c r="D2676" s="108"/>
      <c r="E2676" s="107"/>
      <c r="F2676" s="107"/>
      <c r="G2676" s="107"/>
      <c r="H2676" s="107"/>
      <c r="I2676" s="109"/>
    </row>
    <row r="2677" spans="1:9">
      <c r="A2677" s="105"/>
      <c r="B2677" s="106"/>
      <c r="C2677" s="107"/>
      <c r="D2677" s="108"/>
      <c r="E2677" s="107"/>
      <c r="F2677" s="107"/>
      <c r="G2677" s="107"/>
      <c r="H2677" s="107"/>
      <c r="I2677" s="109"/>
    </row>
    <row r="2678" spans="1:9">
      <c r="A2678" s="105"/>
      <c r="B2678" s="106"/>
      <c r="C2678" s="107"/>
      <c r="D2678" s="108"/>
      <c r="E2678" s="107"/>
      <c r="F2678" s="107"/>
      <c r="G2678" s="107"/>
      <c r="H2678" s="107"/>
      <c r="I2678" s="109"/>
    </row>
    <row r="2679" spans="1:9">
      <c r="A2679" s="105"/>
      <c r="B2679" s="106"/>
      <c r="C2679" s="107"/>
      <c r="D2679" s="108"/>
      <c r="E2679" s="107"/>
      <c r="F2679" s="107"/>
      <c r="G2679" s="107"/>
      <c r="H2679" s="107"/>
      <c r="I2679" s="109"/>
    </row>
    <row r="2680" spans="1:9">
      <c r="A2680" s="105"/>
      <c r="B2680" s="106"/>
      <c r="C2680" s="107"/>
      <c r="D2680" s="108"/>
      <c r="E2680" s="107"/>
      <c r="F2680" s="107"/>
      <c r="G2680" s="107"/>
      <c r="H2680" s="107"/>
      <c r="I2680" s="109"/>
    </row>
    <row r="2681" spans="1:9">
      <c r="A2681" s="105"/>
      <c r="B2681" s="106"/>
      <c r="C2681" s="107"/>
      <c r="D2681" s="108"/>
      <c r="E2681" s="107"/>
      <c r="F2681" s="107"/>
      <c r="G2681" s="107"/>
      <c r="H2681" s="107"/>
      <c r="I2681" s="109"/>
    </row>
    <row r="2682" spans="1:9">
      <c r="A2682" s="105"/>
      <c r="B2682" s="106"/>
      <c r="C2682" s="107"/>
      <c r="D2682" s="108"/>
      <c r="E2682" s="107"/>
      <c r="F2682" s="107"/>
      <c r="G2682" s="107"/>
      <c r="H2682" s="107"/>
      <c r="I2682" s="109"/>
    </row>
    <row r="2683" spans="1:9">
      <c r="A2683" s="105"/>
      <c r="B2683" s="106"/>
      <c r="C2683" s="107"/>
      <c r="D2683" s="108"/>
      <c r="E2683" s="107"/>
      <c r="F2683" s="107"/>
      <c r="G2683" s="107"/>
      <c r="H2683" s="107"/>
      <c r="I2683" s="109"/>
    </row>
    <row r="2684" spans="1:9">
      <c r="A2684" s="105"/>
      <c r="B2684" s="106"/>
      <c r="C2684" s="107"/>
      <c r="D2684" s="108"/>
      <c r="E2684" s="107"/>
      <c r="F2684" s="107"/>
      <c r="G2684" s="107"/>
      <c r="H2684" s="107"/>
      <c r="I2684" s="109"/>
    </row>
    <row r="2685" spans="1:9">
      <c r="A2685" s="105"/>
      <c r="B2685" s="106"/>
      <c r="C2685" s="107"/>
      <c r="D2685" s="108"/>
      <c r="E2685" s="107"/>
      <c r="F2685" s="107"/>
      <c r="G2685" s="107"/>
      <c r="H2685" s="107"/>
      <c r="I2685" s="109"/>
    </row>
    <row r="2686" spans="1:9">
      <c r="A2686" s="105"/>
      <c r="B2686" s="106"/>
      <c r="C2686" s="107"/>
      <c r="D2686" s="108"/>
      <c r="E2686" s="107"/>
      <c r="F2686" s="107"/>
      <c r="G2686" s="107"/>
      <c r="H2686" s="107"/>
      <c r="I2686" s="109"/>
    </row>
    <row r="2687" spans="1:9">
      <c r="A2687" s="105"/>
      <c r="B2687" s="106"/>
      <c r="C2687" s="107"/>
      <c r="D2687" s="108"/>
      <c r="E2687" s="107"/>
      <c r="F2687" s="107"/>
      <c r="G2687" s="107"/>
      <c r="H2687" s="107"/>
      <c r="I2687" s="109"/>
    </row>
    <row r="2688" spans="1:9">
      <c r="A2688" s="105"/>
      <c r="B2688" s="106"/>
      <c r="C2688" s="107"/>
      <c r="D2688" s="108"/>
      <c r="E2688" s="107"/>
      <c r="F2688" s="107"/>
      <c r="G2688" s="107"/>
      <c r="H2688" s="107"/>
      <c r="I2688" s="109"/>
    </row>
    <row r="2689" spans="1:9">
      <c r="A2689" s="105"/>
      <c r="B2689" s="106"/>
      <c r="C2689" s="107"/>
      <c r="D2689" s="108"/>
      <c r="E2689" s="107"/>
      <c r="F2689" s="107"/>
      <c r="G2689" s="107"/>
      <c r="H2689" s="107"/>
      <c r="I2689" s="109"/>
    </row>
    <row r="2690" spans="1:9">
      <c r="A2690" s="105"/>
      <c r="B2690" s="106"/>
      <c r="C2690" s="107"/>
      <c r="D2690" s="108"/>
      <c r="E2690" s="107"/>
      <c r="F2690" s="107"/>
      <c r="G2690" s="107"/>
      <c r="H2690" s="107"/>
      <c r="I2690" s="109"/>
    </row>
    <row r="2691" spans="1:9">
      <c r="A2691" s="105"/>
      <c r="B2691" s="106"/>
      <c r="C2691" s="107"/>
      <c r="D2691" s="108"/>
      <c r="E2691" s="107"/>
      <c r="F2691" s="107"/>
      <c r="G2691" s="107"/>
      <c r="H2691" s="107"/>
      <c r="I2691" s="109"/>
    </row>
    <row r="2692" spans="1:9">
      <c r="A2692" s="105"/>
      <c r="B2692" s="106"/>
      <c r="C2692" s="107"/>
      <c r="D2692" s="108"/>
      <c r="E2692" s="107"/>
      <c r="F2692" s="107"/>
      <c r="G2692" s="107"/>
      <c r="H2692" s="107"/>
      <c r="I2692" s="109"/>
    </row>
    <row r="2693" spans="1:9">
      <c r="A2693" s="105"/>
      <c r="B2693" s="106"/>
      <c r="C2693" s="107"/>
      <c r="D2693" s="108"/>
      <c r="E2693" s="107"/>
      <c r="F2693" s="107"/>
      <c r="G2693" s="107"/>
      <c r="H2693" s="107"/>
      <c r="I2693" s="109"/>
    </row>
    <row r="2694" spans="1:9">
      <c r="A2694" s="105"/>
      <c r="B2694" s="106"/>
      <c r="C2694" s="107"/>
      <c r="D2694" s="108"/>
      <c r="E2694" s="107"/>
      <c r="F2694" s="107"/>
      <c r="G2694" s="107"/>
      <c r="H2694" s="107"/>
      <c r="I2694" s="109"/>
    </row>
    <row r="2695" spans="1:9">
      <c r="A2695" s="105"/>
      <c r="B2695" s="106"/>
      <c r="C2695" s="107"/>
      <c r="D2695" s="108"/>
      <c r="E2695" s="107"/>
      <c r="F2695" s="107"/>
      <c r="G2695" s="107"/>
      <c r="H2695" s="107"/>
      <c r="I2695" s="109"/>
    </row>
    <row r="2696" spans="1:9">
      <c r="A2696" s="105"/>
      <c r="B2696" s="106"/>
      <c r="C2696" s="107"/>
      <c r="D2696" s="108"/>
      <c r="E2696" s="107"/>
      <c r="F2696" s="107"/>
      <c r="G2696" s="107"/>
      <c r="H2696" s="107"/>
      <c r="I2696" s="109"/>
    </row>
    <row r="2697" spans="1:9">
      <c r="A2697" s="105"/>
      <c r="B2697" s="106"/>
      <c r="C2697" s="107"/>
      <c r="D2697" s="108"/>
      <c r="E2697" s="107"/>
      <c r="F2697" s="107"/>
      <c r="G2697" s="107"/>
      <c r="H2697" s="107"/>
      <c r="I2697" s="109"/>
    </row>
    <row r="2698" spans="1:9">
      <c r="A2698" s="105"/>
      <c r="B2698" s="106"/>
      <c r="C2698" s="107"/>
      <c r="D2698" s="108"/>
      <c r="E2698" s="107"/>
      <c r="F2698" s="107"/>
      <c r="G2698" s="107"/>
      <c r="H2698" s="107"/>
      <c r="I2698" s="109"/>
    </row>
    <row r="2699" spans="1:9">
      <c r="A2699" s="105"/>
      <c r="B2699" s="106"/>
      <c r="C2699" s="107"/>
      <c r="D2699" s="108"/>
      <c r="E2699" s="107"/>
      <c r="F2699" s="107"/>
      <c r="G2699" s="107"/>
      <c r="H2699" s="107"/>
      <c r="I2699" s="109"/>
    </row>
    <row r="2700" spans="1:9">
      <c r="A2700" s="105"/>
      <c r="B2700" s="106"/>
      <c r="C2700" s="107"/>
      <c r="D2700" s="108"/>
      <c r="E2700" s="107"/>
      <c r="F2700" s="107"/>
      <c r="G2700" s="107"/>
      <c r="H2700" s="107"/>
      <c r="I2700" s="109"/>
    </row>
    <row r="2701" spans="1:9">
      <c r="A2701" s="105"/>
      <c r="B2701" s="106"/>
      <c r="C2701" s="107"/>
      <c r="D2701" s="108"/>
      <c r="E2701" s="107"/>
      <c r="F2701" s="107"/>
      <c r="G2701" s="107"/>
      <c r="H2701" s="107"/>
      <c r="I2701" s="109"/>
    </row>
    <row r="2702" spans="1:9">
      <c r="A2702" s="105"/>
      <c r="B2702" s="106"/>
      <c r="C2702" s="107"/>
      <c r="D2702" s="108"/>
      <c r="E2702" s="107"/>
      <c r="F2702" s="107"/>
      <c r="G2702" s="107"/>
      <c r="H2702" s="107"/>
      <c r="I2702" s="109"/>
    </row>
    <row r="2703" spans="1:9">
      <c r="A2703" s="105"/>
      <c r="B2703" s="106"/>
      <c r="C2703" s="107"/>
      <c r="D2703" s="108"/>
      <c r="E2703" s="107"/>
      <c r="F2703" s="107"/>
      <c r="G2703" s="107"/>
      <c r="H2703" s="107"/>
      <c r="I2703" s="109"/>
    </row>
    <row r="2704" spans="1:9">
      <c r="A2704" s="105"/>
      <c r="B2704" s="106"/>
      <c r="C2704" s="107"/>
      <c r="D2704" s="108"/>
      <c r="E2704" s="107"/>
      <c r="F2704" s="107"/>
      <c r="G2704" s="107"/>
      <c r="H2704" s="107"/>
      <c r="I2704" s="109"/>
    </row>
    <row r="2705" spans="1:9">
      <c r="A2705" s="105"/>
      <c r="B2705" s="106"/>
      <c r="C2705" s="107"/>
      <c r="D2705" s="108"/>
      <c r="E2705" s="107"/>
      <c r="F2705" s="107"/>
      <c r="G2705" s="107"/>
      <c r="H2705" s="107"/>
      <c r="I2705" s="109"/>
    </row>
    <row r="2706" spans="1:9">
      <c r="A2706" s="105"/>
      <c r="B2706" s="106"/>
      <c r="C2706" s="107"/>
      <c r="D2706" s="108"/>
      <c r="E2706" s="107"/>
      <c r="F2706" s="107"/>
      <c r="G2706" s="107"/>
      <c r="H2706" s="107"/>
      <c r="I2706" s="109"/>
    </row>
    <row r="2707" spans="1:9">
      <c r="A2707" s="105"/>
      <c r="B2707" s="106"/>
      <c r="C2707" s="107"/>
      <c r="D2707" s="108"/>
      <c r="E2707" s="107"/>
      <c r="F2707" s="107"/>
      <c r="G2707" s="107"/>
      <c r="H2707" s="107"/>
      <c r="I2707" s="109"/>
    </row>
    <row r="2708" spans="1:9">
      <c r="A2708" s="105"/>
      <c r="B2708" s="106"/>
      <c r="C2708" s="107"/>
      <c r="D2708" s="108"/>
      <c r="E2708" s="107"/>
      <c r="F2708" s="107"/>
      <c r="G2708" s="107"/>
      <c r="H2708" s="107"/>
      <c r="I2708" s="109"/>
    </row>
    <row r="2709" spans="1:9">
      <c r="A2709" s="105"/>
      <c r="B2709" s="106"/>
      <c r="C2709" s="107"/>
      <c r="D2709" s="108"/>
      <c r="E2709" s="107"/>
      <c r="F2709" s="107"/>
      <c r="G2709" s="107"/>
      <c r="H2709" s="107"/>
      <c r="I2709" s="109"/>
    </row>
    <row r="2710" spans="1:9">
      <c r="A2710" s="105"/>
      <c r="B2710" s="106"/>
      <c r="C2710" s="107"/>
      <c r="D2710" s="108"/>
      <c r="E2710" s="107"/>
      <c r="F2710" s="107"/>
      <c r="G2710" s="107"/>
      <c r="H2710" s="107"/>
      <c r="I2710" s="109"/>
    </row>
    <row r="2711" spans="1:9">
      <c r="A2711" s="105"/>
      <c r="B2711" s="106"/>
      <c r="C2711" s="107"/>
      <c r="D2711" s="108"/>
      <c r="E2711" s="107"/>
      <c r="F2711" s="107"/>
      <c r="G2711" s="107"/>
      <c r="H2711" s="107"/>
      <c r="I2711" s="109"/>
    </row>
    <row r="2712" spans="1:9">
      <c r="A2712" s="105"/>
      <c r="B2712" s="106"/>
      <c r="C2712" s="107"/>
      <c r="D2712" s="108"/>
      <c r="E2712" s="107"/>
      <c r="F2712" s="107"/>
      <c r="G2712" s="107"/>
      <c r="H2712" s="107"/>
      <c r="I2712" s="109"/>
    </row>
    <row r="2713" spans="1:9">
      <c r="A2713" s="105"/>
      <c r="B2713" s="106"/>
      <c r="C2713" s="107"/>
      <c r="D2713" s="108"/>
      <c r="E2713" s="107"/>
      <c r="F2713" s="107"/>
      <c r="G2713" s="107"/>
      <c r="H2713" s="107"/>
      <c r="I2713" s="109"/>
    </row>
    <row r="2714" spans="1:9">
      <c r="A2714" s="105"/>
      <c r="B2714" s="106"/>
      <c r="C2714" s="107"/>
      <c r="D2714" s="108"/>
      <c r="E2714" s="107"/>
      <c r="F2714" s="107"/>
      <c r="G2714" s="107"/>
      <c r="H2714" s="107"/>
      <c r="I2714" s="109"/>
    </row>
    <row r="2715" spans="1:9">
      <c r="A2715" s="105"/>
      <c r="B2715" s="106"/>
      <c r="C2715" s="107"/>
      <c r="D2715" s="108"/>
      <c r="E2715" s="107"/>
      <c r="F2715" s="107"/>
      <c r="G2715" s="107"/>
      <c r="H2715" s="107"/>
      <c r="I2715" s="109"/>
    </row>
    <row r="2716" spans="1:9">
      <c r="A2716" s="105"/>
      <c r="B2716" s="106"/>
      <c r="C2716" s="107"/>
      <c r="D2716" s="108"/>
      <c r="E2716" s="107"/>
      <c r="F2716" s="107"/>
      <c r="G2716" s="107"/>
      <c r="H2716" s="107"/>
      <c r="I2716" s="109"/>
    </row>
    <row r="2717" spans="1:9">
      <c r="A2717" s="105"/>
      <c r="B2717" s="106"/>
      <c r="C2717" s="107"/>
      <c r="D2717" s="108"/>
      <c r="E2717" s="107"/>
      <c r="F2717" s="107"/>
      <c r="G2717" s="107"/>
      <c r="H2717" s="107"/>
      <c r="I2717" s="109"/>
    </row>
    <row r="2718" spans="1:9">
      <c r="A2718" s="105"/>
      <c r="B2718" s="106"/>
      <c r="C2718" s="107"/>
      <c r="D2718" s="108"/>
      <c r="E2718" s="107"/>
      <c r="F2718" s="107"/>
      <c r="G2718" s="107"/>
      <c r="H2718" s="107"/>
      <c r="I2718" s="109"/>
    </row>
    <row r="2719" spans="1:9">
      <c r="A2719" s="105"/>
      <c r="B2719" s="106"/>
      <c r="C2719" s="107"/>
      <c r="D2719" s="108"/>
      <c r="E2719" s="107"/>
      <c r="F2719" s="107"/>
      <c r="G2719" s="107"/>
      <c r="H2719" s="107"/>
      <c r="I2719" s="109"/>
    </row>
    <row r="2720" spans="1:9">
      <c r="A2720" s="105"/>
      <c r="B2720" s="106"/>
      <c r="C2720" s="107"/>
      <c r="D2720" s="108"/>
      <c r="E2720" s="107"/>
      <c r="F2720" s="107"/>
      <c r="G2720" s="107"/>
      <c r="H2720" s="107"/>
      <c r="I2720" s="109"/>
    </row>
    <row r="2721" spans="1:9">
      <c r="A2721" s="105"/>
      <c r="B2721" s="106"/>
      <c r="C2721" s="107"/>
      <c r="D2721" s="108"/>
      <c r="E2721" s="107"/>
      <c r="F2721" s="107"/>
      <c r="G2721" s="107"/>
      <c r="H2721" s="107"/>
      <c r="I2721" s="109"/>
    </row>
    <row r="2722" spans="1:9">
      <c r="A2722" s="105"/>
      <c r="B2722" s="106"/>
      <c r="C2722" s="107"/>
      <c r="D2722" s="108"/>
      <c r="E2722" s="107"/>
      <c r="F2722" s="107"/>
      <c r="G2722" s="107"/>
      <c r="H2722" s="107"/>
      <c r="I2722" s="109"/>
    </row>
    <row r="2723" spans="1:9">
      <c r="A2723" s="105"/>
      <c r="B2723" s="106"/>
      <c r="C2723" s="107"/>
      <c r="D2723" s="108"/>
      <c r="E2723" s="107"/>
      <c r="F2723" s="107"/>
      <c r="G2723" s="107"/>
      <c r="H2723" s="107"/>
      <c r="I2723" s="109"/>
    </row>
    <row r="2724" spans="1:9">
      <c r="A2724" s="105"/>
      <c r="B2724" s="106"/>
      <c r="C2724" s="107"/>
      <c r="D2724" s="108"/>
      <c r="E2724" s="107"/>
      <c r="F2724" s="107"/>
      <c r="G2724" s="107"/>
      <c r="H2724" s="107"/>
      <c r="I2724" s="109"/>
    </row>
    <row r="2725" spans="1:9">
      <c r="A2725" s="105"/>
      <c r="B2725" s="106"/>
      <c r="C2725" s="107"/>
      <c r="D2725" s="108"/>
      <c r="E2725" s="107"/>
      <c r="F2725" s="107"/>
      <c r="G2725" s="107"/>
      <c r="H2725" s="107"/>
      <c r="I2725" s="109"/>
    </row>
    <row r="2726" spans="1:9">
      <c r="A2726" s="105"/>
      <c r="B2726" s="106"/>
      <c r="C2726" s="107"/>
      <c r="D2726" s="108"/>
      <c r="E2726" s="107"/>
      <c r="F2726" s="107"/>
      <c r="G2726" s="107"/>
      <c r="H2726" s="107"/>
      <c r="I2726" s="109"/>
    </row>
    <row r="2727" spans="1:9">
      <c r="A2727" s="105"/>
      <c r="B2727" s="106"/>
      <c r="C2727" s="107"/>
      <c r="D2727" s="108"/>
      <c r="E2727" s="107"/>
      <c r="F2727" s="107"/>
      <c r="G2727" s="107"/>
      <c r="H2727" s="107"/>
      <c r="I2727" s="109"/>
    </row>
    <row r="2728" spans="1:9">
      <c r="A2728" s="105"/>
      <c r="B2728" s="106"/>
      <c r="C2728" s="107"/>
      <c r="D2728" s="108"/>
      <c r="E2728" s="107"/>
      <c r="F2728" s="107"/>
      <c r="G2728" s="107"/>
      <c r="H2728" s="107"/>
      <c r="I2728" s="109"/>
    </row>
    <row r="2729" spans="1:9">
      <c r="A2729" s="105"/>
      <c r="B2729" s="106"/>
      <c r="C2729" s="107"/>
      <c r="D2729" s="108"/>
      <c r="E2729" s="107"/>
      <c r="F2729" s="107"/>
      <c r="G2729" s="107"/>
      <c r="H2729" s="107"/>
      <c r="I2729" s="109"/>
    </row>
    <row r="2730" spans="1:9">
      <c r="A2730" s="105"/>
      <c r="B2730" s="106"/>
      <c r="C2730" s="107"/>
      <c r="D2730" s="108"/>
      <c r="E2730" s="107"/>
      <c r="F2730" s="107"/>
      <c r="G2730" s="107"/>
      <c r="H2730" s="107"/>
      <c r="I2730" s="109"/>
    </row>
    <row r="2731" spans="1:9">
      <c r="A2731" s="105"/>
      <c r="B2731" s="106"/>
      <c r="C2731" s="107"/>
      <c r="D2731" s="108"/>
      <c r="E2731" s="107"/>
      <c r="F2731" s="107"/>
      <c r="G2731" s="107"/>
      <c r="H2731" s="107"/>
      <c r="I2731" s="109"/>
    </row>
    <row r="2732" spans="1:9">
      <c r="A2732" s="105"/>
      <c r="B2732" s="106"/>
      <c r="C2732" s="107"/>
      <c r="D2732" s="108"/>
      <c r="E2732" s="107"/>
      <c r="F2732" s="107"/>
      <c r="G2732" s="107"/>
      <c r="H2732" s="107"/>
      <c r="I2732" s="109"/>
    </row>
    <row r="2733" spans="1:9">
      <c r="A2733" s="105"/>
      <c r="B2733" s="106"/>
      <c r="C2733" s="107"/>
      <c r="D2733" s="108"/>
      <c r="E2733" s="107"/>
      <c r="F2733" s="107"/>
      <c r="G2733" s="107"/>
      <c r="H2733" s="107"/>
      <c r="I2733" s="109"/>
    </row>
    <row r="2734" spans="1:9">
      <c r="A2734" s="105"/>
      <c r="B2734" s="106"/>
      <c r="C2734" s="107"/>
      <c r="D2734" s="108"/>
      <c r="E2734" s="107"/>
      <c r="F2734" s="107"/>
      <c r="G2734" s="107"/>
      <c r="H2734" s="107"/>
      <c r="I2734" s="109"/>
    </row>
    <row r="2735" spans="1:9">
      <c r="A2735" s="105"/>
      <c r="B2735" s="106"/>
      <c r="C2735" s="107"/>
      <c r="D2735" s="108"/>
      <c r="E2735" s="107"/>
      <c r="F2735" s="107"/>
      <c r="G2735" s="107"/>
      <c r="H2735" s="107"/>
      <c r="I2735" s="109"/>
    </row>
    <row r="2736" spans="1:9">
      <c r="A2736" s="105"/>
      <c r="B2736" s="106"/>
      <c r="C2736" s="107"/>
      <c r="D2736" s="108"/>
      <c r="E2736" s="107"/>
      <c r="F2736" s="107"/>
      <c r="G2736" s="107"/>
      <c r="H2736" s="107"/>
      <c r="I2736" s="109"/>
    </row>
    <row r="2737" spans="1:9">
      <c r="A2737" s="105"/>
      <c r="B2737" s="106"/>
      <c r="C2737" s="107"/>
      <c r="D2737" s="108"/>
      <c r="E2737" s="107"/>
      <c r="F2737" s="107"/>
      <c r="G2737" s="107"/>
      <c r="H2737" s="107"/>
      <c r="I2737" s="109"/>
    </row>
    <row r="2738" spans="1:9">
      <c r="A2738" s="105"/>
      <c r="B2738" s="106"/>
      <c r="C2738" s="107"/>
      <c r="D2738" s="108"/>
      <c r="E2738" s="107"/>
      <c r="F2738" s="107"/>
      <c r="G2738" s="107"/>
      <c r="H2738" s="107"/>
      <c r="I2738" s="109"/>
    </row>
    <row r="2739" spans="1:9">
      <c r="A2739" s="105"/>
      <c r="B2739" s="106"/>
      <c r="C2739" s="107"/>
      <c r="D2739" s="108"/>
      <c r="E2739" s="107"/>
      <c r="F2739" s="107"/>
      <c r="G2739" s="107"/>
      <c r="H2739" s="107"/>
      <c r="I2739" s="109"/>
    </row>
    <row r="2740" spans="1:9">
      <c r="A2740" s="105"/>
      <c r="B2740" s="106"/>
      <c r="C2740" s="107"/>
      <c r="D2740" s="108"/>
      <c r="E2740" s="107"/>
      <c r="F2740" s="107"/>
      <c r="G2740" s="107"/>
      <c r="H2740" s="107"/>
      <c r="I2740" s="109"/>
    </row>
    <row r="2741" spans="1:9">
      <c r="A2741" s="105"/>
      <c r="B2741" s="106"/>
      <c r="C2741" s="107"/>
      <c r="D2741" s="108"/>
      <c r="E2741" s="107"/>
      <c r="F2741" s="107"/>
      <c r="G2741" s="107"/>
      <c r="H2741" s="107"/>
      <c r="I2741" s="109"/>
    </row>
    <row r="2742" spans="1:9">
      <c r="A2742" s="105"/>
      <c r="B2742" s="106"/>
      <c r="C2742" s="107"/>
      <c r="D2742" s="108"/>
      <c r="E2742" s="107"/>
      <c r="F2742" s="107"/>
      <c r="G2742" s="107"/>
      <c r="H2742" s="107"/>
      <c r="I2742" s="109"/>
    </row>
    <row r="2743" spans="1:9">
      <c r="A2743" s="105"/>
      <c r="B2743" s="106"/>
      <c r="C2743" s="107"/>
      <c r="D2743" s="108"/>
      <c r="E2743" s="107"/>
      <c r="F2743" s="107"/>
      <c r="G2743" s="107"/>
      <c r="H2743" s="107"/>
      <c r="I2743" s="109"/>
    </row>
    <row r="2744" spans="1:9">
      <c r="A2744" s="105"/>
      <c r="B2744" s="106"/>
      <c r="C2744" s="107"/>
      <c r="D2744" s="108"/>
      <c r="E2744" s="107"/>
      <c r="F2744" s="107"/>
      <c r="G2744" s="107"/>
      <c r="H2744" s="107"/>
      <c r="I2744" s="109"/>
    </row>
    <row r="2745" spans="1:9">
      <c r="A2745" s="105"/>
      <c r="B2745" s="106"/>
      <c r="C2745" s="107"/>
      <c r="D2745" s="108"/>
      <c r="E2745" s="107"/>
      <c r="F2745" s="107"/>
      <c r="G2745" s="107"/>
      <c r="H2745" s="107"/>
      <c r="I2745" s="109"/>
    </row>
    <row r="2746" spans="1:9">
      <c r="A2746" s="105"/>
      <c r="B2746" s="106"/>
      <c r="C2746" s="107"/>
      <c r="D2746" s="108"/>
      <c r="E2746" s="107"/>
      <c r="F2746" s="107"/>
      <c r="G2746" s="107"/>
      <c r="H2746" s="107"/>
      <c r="I2746" s="109"/>
    </row>
    <row r="2747" spans="1:9">
      <c r="A2747" s="105"/>
      <c r="B2747" s="106"/>
      <c r="C2747" s="107"/>
      <c r="D2747" s="108"/>
      <c r="E2747" s="107"/>
      <c r="F2747" s="107"/>
      <c r="G2747" s="107"/>
      <c r="H2747" s="107"/>
      <c r="I2747" s="109"/>
    </row>
    <row r="2748" spans="1:9">
      <c r="A2748" s="105"/>
      <c r="B2748" s="106"/>
      <c r="C2748" s="107"/>
      <c r="D2748" s="108"/>
      <c r="E2748" s="107"/>
      <c r="F2748" s="107"/>
      <c r="G2748" s="107"/>
      <c r="H2748" s="107"/>
      <c r="I2748" s="109"/>
    </row>
    <row r="2749" spans="1:9">
      <c r="A2749" s="105"/>
      <c r="B2749" s="106"/>
      <c r="C2749" s="107"/>
      <c r="D2749" s="108"/>
      <c r="E2749" s="107"/>
      <c r="F2749" s="107"/>
      <c r="G2749" s="107"/>
      <c r="H2749" s="107"/>
      <c r="I2749" s="109"/>
    </row>
    <row r="2750" spans="1:9">
      <c r="A2750" s="105"/>
      <c r="B2750" s="106"/>
      <c r="C2750" s="107"/>
      <c r="D2750" s="108"/>
      <c r="E2750" s="107"/>
      <c r="F2750" s="107"/>
      <c r="G2750" s="107"/>
      <c r="H2750" s="107"/>
      <c r="I2750" s="109"/>
    </row>
    <row r="2751" spans="1:9">
      <c r="A2751" s="105"/>
      <c r="B2751" s="106"/>
      <c r="C2751" s="107"/>
      <c r="D2751" s="108"/>
      <c r="E2751" s="107"/>
      <c r="F2751" s="107"/>
      <c r="G2751" s="107"/>
      <c r="H2751" s="107"/>
      <c r="I2751" s="109"/>
    </row>
    <row r="2752" spans="1:9">
      <c r="A2752" s="105"/>
      <c r="B2752" s="106"/>
      <c r="C2752" s="107"/>
      <c r="D2752" s="108"/>
      <c r="E2752" s="107"/>
      <c r="F2752" s="107"/>
      <c r="G2752" s="107"/>
      <c r="H2752" s="107"/>
      <c r="I2752" s="109"/>
    </row>
    <row r="2753" spans="1:9">
      <c r="A2753" s="105"/>
      <c r="B2753" s="106"/>
      <c r="C2753" s="107"/>
      <c r="D2753" s="108"/>
      <c r="E2753" s="107"/>
      <c r="F2753" s="107"/>
      <c r="G2753" s="107"/>
      <c r="H2753" s="107"/>
      <c r="I2753" s="109"/>
    </row>
    <row r="2754" spans="1:9">
      <c r="A2754" s="105"/>
      <c r="B2754" s="106"/>
      <c r="C2754" s="107"/>
      <c r="D2754" s="108"/>
      <c r="E2754" s="107"/>
      <c r="F2754" s="107"/>
      <c r="G2754" s="107"/>
      <c r="H2754" s="107"/>
      <c r="I2754" s="109"/>
    </row>
    <row r="2755" spans="1:9">
      <c r="A2755" s="105"/>
      <c r="B2755" s="106"/>
      <c r="C2755" s="107"/>
      <c r="D2755" s="108"/>
      <c r="E2755" s="107"/>
      <c r="F2755" s="107"/>
      <c r="G2755" s="107"/>
      <c r="H2755" s="107"/>
      <c r="I2755" s="109"/>
    </row>
    <row r="2756" spans="1:9">
      <c r="A2756" s="105"/>
      <c r="B2756" s="106"/>
      <c r="C2756" s="107"/>
      <c r="D2756" s="108"/>
      <c r="E2756" s="107"/>
      <c r="F2756" s="107"/>
      <c r="G2756" s="107"/>
      <c r="H2756" s="107"/>
      <c r="I2756" s="109"/>
    </row>
    <row r="2757" spans="1:9">
      <c r="A2757" s="105"/>
      <c r="B2757" s="106"/>
      <c r="C2757" s="107"/>
      <c r="D2757" s="108"/>
      <c r="E2757" s="107"/>
      <c r="F2757" s="107"/>
      <c r="G2757" s="107"/>
      <c r="H2757" s="107"/>
      <c r="I2757" s="109"/>
    </row>
    <row r="2758" spans="1:9">
      <c r="A2758" s="105"/>
      <c r="B2758" s="106"/>
      <c r="C2758" s="107"/>
      <c r="D2758" s="108"/>
      <c r="E2758" s="107"/>
      <c r="F2758" s="107"/>
      <c r="G2758" s="107"/>
      <c r="H2758" s="107"/>
      <c r="I2758" s="109"/>
    </row>
    <row r="2759" spans="1:9">
      <c r="A2759" s="105"/>
      <c r="B2759" s="106"/>
      <c r="C2759" s="107"/>
      <c r="D2759" s="108"/>
      <c r="E2759" s="107"/>
      <c r="F2759" s="107"/>
      <c r="G2759" s="107"/>
      <c r="H2759" s="107"/>
      <c r="I2759" s="109"/>
    </row>
    <row r="2760" spans="1:9">
      <c r="A2760" s="105"/>
      <c r="B2760" s="106"/>
      <c r="C2760" s="107"/>
      <c r="D2760" s="108"/>
      <c r="E2760" s="107"/>
      <c r="F2760" s="107"/>
      <c r="G2760" s="107"/>
      <c r="H2760" s="107"/>
      <c r="I2760" s="109"/>
    </row>
    <row r="2761" spans="1:9">
      <c r="A2761" s="105"/>
      <c r="B2761" s="106"/>
      <c r="C2761" s="107"/>
      <c r="D2761" s="108"/>
      <c r="E2761" s="107"/>
      <c r="F2761" s="107"/>
      <c r="G2761" s="107"/>
      <c r="H2761" s="107"/>
      <c r="I2761" s="109"/>
    </row>
    <row r="2762" spans="1:9">
      <c r="A2762" s="105"/>
      <c r="B2762" s="106"/>
      <c r="C2762" s="107"/>
      <c r="D2762" s="108"/>
      <c r="E2762" s="107"/>
      <c r="F2762" s="107"/>
      <c r="G2762" s="107"/>
      <c r="H2762" s="107"/>
      <c r="I2762" s="109"/>
    </row>
    <row r="2763" spans="1:9">
      <c r="A2763" s="105"/>
      <c r="B2763" s="106"/>
      <c r="C2763" s="107"/>
      <c r="D2763" s="108"/>
      <c r="E2763" s="107"/>
      <c r="F2763" s="107"/>
      <c r="G2763" s="107"/>
      <c r="H2763" s="107"/>
      <c r="I2763" s="109"/>
    </row>
    <row r="2764" spans="1:9">
      <c r="A2764" s="105"/>
      <c r="B2764" s="106"/>
      <c r="C2764" s="107"/>
      <c r="D2764" s="108"/>
      <c r="E2764" s="107"/>
      <c r="F2764" s="107"/>
      <c r="G2764" s="107"/>
      <c r="H2764" s="107"/>
      <c r="I2764" s="109"/>
    </row>
    <row r="2765" spans="1:9">
      <c r="A2765" s="105"/>
      <c r="B2765" s="106"/>
      <c r="C2765" s="107"/>
      <c r="D2765" s="108"/>
      <c r="E2765" s="107"/>
      <c r="F2765" s="107"/>
      <c r="G2765" s="107"/>
      <c r="H2765" s="107"/>
      <c r="I2765" s="109"/>
    </row>
    <row r="2766" spans="1:9">
      <c r="A2766" s="105"/>
      <c r="B2766" s="106"/>
      <c r="C2766" s="107"/>
      <c r="D2766" s="108"/>
      <c r="E2766" s="107"/>
      <c r="F2766" s="107"/>
      <c r="G2766" s="107"/>
      <c r="H2766" s="107"/>
      <c r="I2766" s="109"/>
    </row>
    <row r="2767" spans="1:9">
      <c r="A2767" s="105"/>
      <c r="B2767" s="106"/>
      <c r="C2767" s="107"/>
      <c r="D2767" s="108"/>
      <c r="E2767" s="107"/>
      <c r="F2767" s="107"/>
      <c r="G2767" s="107"/>
      <c r="H2767" s="107"/>
      <c r="I2767" s="109"/>
    </row>
    <row r="2768" spans="1:9">
      <c r="A2768" s="105"/>
      <c r="B2768" s="106"/>
      <c r="C2768" s="107"/>
      <c r="D2768" s="108"/>
      <c r="E2768" s="107"/>
      <c r="F2768" s="107"/>
      <c r="G2768" s="107"/>
      <c r="H2768" s="107"/>
      <c r="I2768" s="109"/>
    </row>
    <row r="2769" spans="1:9">
      <c r="A2769" s="105"/>
      <c r="B2769" s="106"/>
      <c r="C2769" s="107"/>
      <c r="D2769" s="108"/>
      <c r="E2769" s="107"/>
      <c r="F2769" s="107"/>
      <c r="G2769" s="107"/>
      <c r="H2769" s="107"/>
      <c r="I2769" s="109"/>
    </row>
    <row r="2770" spans="1:9">
      <c r="A2770" s="105"/>
      <c r="B2770" s="106"/>
      <c r="C2770" s="107"/>
      <c r="D2770" s="108"/>
      <c r="E2770" s="107"/>
      <c r="F2770" s="107"/>
      <c r="G2770" s="107"/>
      <c r="H2770" s="107"/>
      <c r="I2770" s="109"/>
    </row>
    <row r="2771" spans="1:9">
      <c r="A2771" s="105"/>
      <c r="B2771" s="106"/>
      <c r="C2771" s="107"/>
      <c r="D2771" s="108"/>
      <c r="E2771" s="107"/>
      <c r="F2771" s="107"/>
      <c r="G2771" s="107"/>
      <c r="H2771" s="107"/>
      <c r="I2771" s="109"/>
    </row>
    <row r="2772" spans="1:9">
      <c r="A2772" s="105"/>
      <c r="B2772" s="106"/>
      <c r="C2772" s="107"/>
      <c r="D2772" s="108"/>
      <c r="E2772" s="107"/>
      <c r="F2772" s="107"/>
      <c r="G2772" s="107"/>
      <c r="H2772" s="107"/>
      <c r="I2772" s="109"/>
    </row>
    <row r="2773" spans="1:9">
      <c r="A2773" s="105"/>
      <c r="B2773" s="106"/>
      <c r="C2773" s="107"/>
      <c r="D2773" s="108"/>
      <c r="E2773" s="107"/>
      <c r="F2773" s="107"/>
      <c r="G2773" s="107"/>
      <c r="H2773" s="107"/>
      <c r="I2773" s="109"/>
    </row>
    <row r="2774" spans="1:9">
      <c r="A2774" s="105"/>
      <c r="B2774" s="106"/>
      <c r="C2774" s="107"/>
      <c r="D2774" s="108"/>
      <c r="E2774" s="107"/>
      <c r="F2774" s="107"/>
      <c r="G2774" s="107"/>
      <c r="H2774" s="107"/>
      <c r="I2774" s="109"/>
    </row>
    <row r="2775" spans="1:9">
      <c r="A2775" s="105"/>
      <c r="B2775" s="106"/>
      <c r="C2775" s="107"/>
      <c r="D2775" s="108"/>
      <c r="E2775" s="107"/>
      <c r="F2775" s="107"/>
      <c r="G2775" s="107"/>
      <c r="H2775" s="107"/>
      <c r="I2775" s="109"/>
    </row>
    <row r="2776" spans="1:9">
      <c r="A2776" s="105"/>
      <c r="B2776" s="106"/>
      <c r="C2776" s="107"/>
      <c r="D2776" s="108"/>
      <c r="E2776" s="107"/>
      <c r="F2776" s="107"/>
      <c r="G2776" s="107"/>
      <c r="H2776" s="107"/>
      <c r="I2776" s="109"/>
    </row>
    <row r="2777" spans="1:9">
      <c r="A2777" s="105"/>
      <c r="B2777" s="106"/>
      <c r="C2777" s="107"/>
      <c r="D2777" s="108"/>
      <c r="E2777" s="107"/>
      <c r="F2777" s="107"/>
      <c r="G2777" s="107"/>
      <c r="H2777" s="107"/>
      <c r="I2777" s="109"/>
    </row>
    <row r="2778" spans="1:9">
      <c r="A2778" s="105"/>
      <c r="B2778" s="106"/>
      <c r="C2778" s="107"/>
      <c r="D2778" s="108"/>
      <c r="E2778" s="107"/>
      <c r="F2778" s="107"/>
      <c r="G2778" s="107"/>
      <c r="H2778" s="107"/>
      <c r="I2778" s="109"/>
    </row>
    <row r="2779" spans="1:9">
      <c r="A2779" s="105"/>
      <c r="B2779" s="106"/>
      <c r="C2779" s="107"/>
      <c r="D2779" s="108"/>
      <c r="E2779" s="107"/>
      <c r="F2779" s="107"/>
      <c r="G2779" s="107"/>
      <c r="H2779" s="107"/>
      <c r="I2779" s="109"/>
    </row>
    <row r="2780" spans="1:9">
      <c r="A2780" s="105"/>
      <c r="B2780" s="106"/>
      <c r="C2780" s="107"/>
      <c r="D2780" s="108"/>
      <c r="E2780" s="107"/>
      <c r="F2780" s="107"/>
      <c r="G2780" s="107"/>
      <c r="H2780" s="107"/>
      <c r="I2780" s="109"/>
    </row>
    <row r="2781" spans="1:9">
      <c r="A2781" s="105"/>
      <c r="B2781" s="106"/>
      <c r="C2781" s="107"/>
      <c r="D2781" s="108"/>
      <c r="E2781" s="107"/>
      <c r="F2781" s="107"/>
      <c r="G2781" s="107"/>
      <c r="H2781" s="107"/>
      <c r="I2781" s="109"/>
    </row>
    <row r="2782" spans="1:9">
      <c r="A2782" s="105"/>
      <c r="B2782" s="106"/>
      <c r="C2782" s="107"/>
      <c r="D2782" s="108"/>
      <c r="E2782" s="107"/>
      <c r="F2782" s="107"/>
      <c r="G2782" s="107"/>
      <c r="H2782" s="107"/>
      <c r="I2782" s="109"/>
    </row>
    <row r="2783" spans="1:9">
      <c r="A2783" s="105"/>
      <c r="B2783" s="106"/>
      <c r="C2783" s="107"/>
      <c r="D2783" s="108"/>
      <c r="E2783" s="107"/>
      <c r="F2783" s="107"/>
      <c r="G2783" s="107"/>
      <c r="H2783" s="107"/>
      <c r="I2783" s="109"/>
    </row>
    <row r="2784" spans="1:9">
      <c r="A2784" s="105"/>
      <c r="B2784" s="106"/>
      <c r="C2784" s="107"/>
      <c r="D2784" s="108"/>
      <c r="E2784" s="107"/>
      <c r="F2784" s="107"/>
      <c r="G2784" s="107"/>
      <c r="H2784" s="107"/>
      <c r="I2784" s="109"/>
    </row>
    <row r="2785" spans="1:9">
      <c r="A2785" s="105"/>
      <c r="B2785" s="106"/>
      <c r="C2785" s="107"/>
      <c r="D2785" s="108"/>
      <c r="E2785" s="107"/>
      <c r="F2785" s="107"/>
      <c r="G2785" s="107"/>
      <c r="H2785" s="107"/>
      <c r="I2785" s="109"/>
    </row>
    <row r="2786" spans="1:9">
      <c r="A2786" s="105"/>
      <c r="B2786" s="106"/>
      <c r="C2786" s="107"/>
      <c r="D2786" s="108"/>
      <c r="E2786" s="107"/>
      <c r="F2786" s="107"/>
      <c r="G2786" s="107"/>
      <c r="H2786" s="107"/>
      <c r="I2786" s="109"/>
    </row>
    <row r="2787" spans="1:9">
      <c r="A2787" s="105"/>
      <c r="B2787" s="106"/>
      <c r="C2787" s="107"/>
      <c r="D2787" s="108"/>
      <c r="E2787" s="107"/>
      <c r="F2787" s="107"/>
      <c r="G2787" s="107"/>
      <c r="H2787" s="107"/>
      <c r="I2787" s="109"/>
    </row>
    <row r="2788" spans="1:9">
      <c r="A2788" s="105"/>
      <c r="B2788" s="106"/>
      <c r="C2788" s="107"/>
      <c r="D2788" s="108"/>
      <c r="E2788" s="107"/>
      <c r="F2788" s="107"/>
      <c r="G2788" s="107"/>
      <c r="H2788" s="107"/>
      <c r="I2788" s="109"/>
    </row>
    <row r="2789" spans="1:9">
      <c r="A2789" s="105"/>
      <c r="B2789" s="106"/>
      <c r="C2789" s="107"/>
      <c r="D2789" s="108"/>
      <c r="E2789" s="107"/>
      <c r="F2789" s="107"/>
      <c r="G2789" s="107"/>
      <c r="H2789" s="107"/>
      <c r="I2789" s="109"/>
    </row>
    <row r="2790" spans="1:9">
      <c r="A2790" s="105"/>
      <c r="B2790" s="106"/>
      <c r="C2790" s="107"/>
      <c r="D2790" s="108"/>
      <c r="E2790" s="107"/>
      <c r="F2790" s="107"/>
      <c r="G2790" s="107"/>
      <c r="H2790" s="107"/>
      <c r="I2790" s="109"/>
    </row>
    <row r="2791" spans="1:9">
      <c r="A2791" s="105"/>
      <c r="B2791" s="106"/>
      <c r="C2791" s="107"/>
      <c r="D2791" s="108"/>
      <c r="E2791" s="107"/>
      <c r="F2791" s="107"/>
      <c r="G2791" s="107"/>
      <c r="H2791" s="107"/>
      <c r="I2791" s="109"/>
    </row>
    <row r="2792" spans="1:9">
      <c r="A2792" s="105"/>
      <c r="B2792" s="106"/>
      <c r="C2792" s="107"/>
      <c r="D2792" s="108"/>
      <c r="E2792" s="107"/>
      <c r="F2792" s="107"/>
      <c r="G2792" s="107"/>
      <c r="H2792" s="107"/>
      <c r="I2792" s="109"/>
    </row>
    <row r="2793" spans="1:9">
      <c r="A2793" s="105"/>
      <c r="B2793" s="106"/>
      <c r="C2793" s="107"/>
      <c r="D2793" s="108"/>
      <c r="E2793" s="107"/>
      <c r="F2793" s="107"/>
      <c r="G2793" s="107"/>
      <c r="H2793" s="107"/>
      <c r="I2793" s="109"/>
    </row>
    <row r="2794" spans="1:9">
      <c r="A2794" s="105"/>
      <c r="B2794" s="106"/>
      <c r="C2794" s="107"/>
      <c r="D2794" s="108"/>
      <c r="E2794" s="107"/>
      <c r="F2794" s="107"/>
      <c r="G2794" s="107"/>
      <c r="H2794" s="107"/>
      <c r="I2794" s="109"/>
    </row>
    <row r="2795" spans="1:9">
      <c r="A2795" s="105"/>
      <c r="B2795" s="106"/>
      <c r="C2795" s="107"/>
      <c r="D2795" s="108"/>
      <c r="E2795" s="107"/>
      <c r="F2795" s="107"/>
      <c r="G2795" s="107"/>
      <c r="H2795" s="107"/>
      <c r="I2795" s="109"/>
    </row>
    <row r="2796" spans="1:9">
      <c r="A2796" s="105"/>
      <c r="B2796" s="106"/>
      <c r="C2796" s="107"/>
      <c r="D2796" s="108"/>
      <c r="E2796" s="107"/>
      <c r="F2796" s="107"/>
      <c r="G2796" s="107"/>
      <c r="H2796" s="107"/>
      <c r="I2796" s="109"/>
    </row>
    <row r="2797" spans="1:9">
      <c r="A2797" s="105"/>
      <c r="B2797" s="106"/>
      <c r="C2797" s="107"/>
      <c r="D2797" s="108"/>
      <c r="E2797" s="107"/>
      <c r="F2797" s="107"/>
      <c r="G2797" s="107"/>
      <c r="H2797" s="107"/>
      <c r="I2797" s="109"/>
    </row>
    <row r="2798" spans="1:9">
      <c r="A2798" s="105"/>
      <c r="B2798" s="106"/>
      <c r="C2798" s="107"/>
      <c r="D2798" s="108"/>
      <c r="E2798" s="107"/>
      <c r="F2798" s="107"/>
      <c r="G2798" s="107"/>
      <c r="H2798" s="107"/>
      <c r="I2798" s="109"/>
    </row>
    <row r="2799" spans="1:9">
      <c r="A2799" s="105"/>
      <c r="B2799" s="106"/>
      <c r="C2799" s="107"/>
      <c r="D2799" s="108"/>
      <c r="E2799" s="107"/>
      <c r="F2799" s="107"/>
      <c r="G2799" s="107"/>
      <c r="H2799" s="107"/>
      <c r="I2799" s="109"/>
    </row>
    <row r="2800" spans="1:9">
      <c r="A2800" s="105"/>
      <c r="B2800" s="106"/>
      <c r="C2800" s="107"/>
      <c r="D2800" s="108"/>
      <c r="E2800" s="107"/>
      <c r="F2800" s="107"/>
      <c r="G2800" s="107"/>
      <c r="H2800" s="107"/>
      <c r="I2800" s="109"/>
    </row>
    <row r="2801" spans="1:9">
      <c r="A2801" s="105"/>
      <c r="B2801" s="106"/>
      <c r="C2801" s="107"/>
      <c r="D2801" s="108"/>
      <c r="E2801" s="107"/>
      <c r="F2801" s="107"/>
      <c r="G2801" s="107"/>
      <c r="H2801" s="107"/>
      <c r="I2801" s="109"/>
    </row>
    <row r="2802" spans="1:9">
      <c r="A2802" s="105"/>
      <c r="B2802" s="106"/>
      <c r="C2802" s="107"/>
      <c r="D2802" s="108"/>
      <c r="E2802" s="107"/>
      <c r="F2802" s="107"/>
      <c r="G2802" s="107"/>
      <c r="H2802" s="107"/>
      <c r="I2802" s="109"/>
    </row>
  </sheetData>
  <mergeCells count="42">
    <mergeCell ref="G2568:H2568"/>
    <mergeCell ref="C2569:I2569"/>
    <mergeCell ref="G2594:H2594"/>
    <mergeCell ref="C2340:I2340"/>
    <mergeCell ref="G2424:H2424"/>
    <mergeCell ref="C2425:I2425"/>
    <mergeCell ref="G2483:H2483"/>
    <mergeCell ref="C2484:I2484"/>
    <mergeCell ref="G1206:H1206"/>
    <mergeCell ref="C1207:I1207"/>
    <mergeCell ref="G2075:H2075"/>
    <mergeCell ref="C2076:I2076"/>
    <mergeCell ref="G2339:H2339"/>
    <mergeCell ref="C12:I12"/>
    <mergeCell ref="C202:I202"/>
    <mergeCell ref="G201:H201"/>
    <mergeCell ref="G1010:H1010"/>
    <mergeCell ref="C1011:I1011"/>
    <mergeCell ref="G406:H406"/>
    <mergeCell ref="C407:I407"/>
    <mergeCell ref="G653:H653"/>
    <mergeCell ref="C654:I654"/>
    <mergeCell ref="F8:I8"/>
    <mergeCell ref="A9:I9"/>
    <mergeCell ref="A10:A11"/>
    <mergeCell ref="B10:B11"/>
    <mergeCell ref="C10:C11"/>
    <mergeCell ref="D10:D11"/>
    <mergeCell ref="E10:E11"/>
    <mergeCell ref="F10:I10"/>
    <mergeCell ref="C1:E1"/>
    <mergeCell ref="C2:E2"/>
    <mergeCell ref="C3:E3"/>
    <mergeCell ref="F3:I3"/>
    <mergeCell ref="C4:E4"/>
    <mergeCell ref="F4:I4"/>
    <mergeCell ref="C5:E5"/>
    <mergeCell ref="F5:I5"/>
    <mergeCell ref="C6:E6"/>
    <mergeCell ref="F6:I6"/>
    <mergeCell ref="C7:E7"/>
    <mergeCell ref="F7:I7"/>
  </mergeCells>
  <phoneticPr fontId="29" type="noConversion"/>
  <printOptions horizontalCentered="1"/>
  <pageMargins left="0.59055118110236227" right="0.39370078740157483" top="0.39370078740157483" bottom="0.59055118110236227" header="0" footer="0"/>
  <pageSetup paperSize="9" scale="38" orientation="portrait" r:id="rId1"/>
  <headerFooter alignWithMargins="0">
    <oddFooter>&amp;A&amp;RPágina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B7901-203A-41B3-A5E1-35A868C5BD0D}">
  <sheetPr>
    <pageSetUpPr fitToPage="1"/>
  </sheetPr>
  <dimension ref="A1:M345"/>
  <sheetViews>
    <sheetView view="pageBreakPreview" zoomScale="75" zoomScaleNormal="75" zoomScaleSheetLayoutView="75" workbookViewId="0">
      <selection activeCell="F4" sqref="F4:I4"/>
    </sheetView>
  </sheetViews>
  <sheetFormatPr defaultRowHeight="14.25"/>
  <cols>
    <col min="1" max="1" width="6.85546875" style="110" customWidth="1"/>
    <col min="2" max="2" width="26.28515625" style="111" customWidth="1"/>
    <col min="3" max="3" width="94.7109375" style="112" customWidth="1"/>
    <col min="4" max="4" width="10.5703125" style="113" customWidth="1"/>
    <col min="5" max="5" width="24" style="112" customWidth="1"/>
    <col min="6" max="6" width="24.5703125" style="112" bestFit="1" customWidth="1"/>
    <col min="7" max="7" width="19.28515625" style="112" customWidth="1"/>
    <col min="8" max="8" width="17.42578125" style="112" bestFit="1" customWidth="1"/>
    <col min="9" max="9" width="17.5703125" style="114" bestFit="1" customWidth="1"/>
    <col min="10" max="10" width="45.7109375" style="55" customWidth="1"/>
    <col min="11" max="253" width="9.140625" style="55"/>
    <col min="254" max="254" width="6.85546875" style="55" customWidth="1"/>
    <col min="255" max="255" width="26.28515625" style="55" customWidth="1"/>
    <col min="256" max="256" width="94.7109375" style="55" customWidth="1"/>
    <col min="257" max="257" width="10.5703125" style="55" customWidth="1"/>
    <col min="258" max="258" width="24" style="55" customWidth="1"/>
    <col min="259" max="259" width="24.5703125" style="55" bestFit="1" customWidth="1"/>
    <col min="260" max="260" width="17.7109375" style="55" bestFit="1" customWidth="1"/>
    <col min="261" max="261" width="17.42578125" style="55" bestFit="1" customWidth="1"/>
    <col min="262" max="262" width="17.5703125" style="55" bestFit="1" customWidth="1"/>
    <col min="263" max="263" width="9.28515625" style="55" bestFit="1" customWidth="1"/>
    <col min="264" max="264" width="10.28515625" style="55" bestFit="1" customWidth="1"/>
    <col min="265" max="265" width="45.7109375" style="55" customWidth="1"/>
    <col min="266" max="509" width="9.140625" style="55"/>
    <col min="510" max="510" width="6.85546875" style="55" customWidth="1"/>
    <col min="511" max="511" width="26.28515625" style="55" customWidth="1"/>
    <col min="512" max="512" width="94.7109375" style="55" customWidth="1"/>
    <col min="513" max="513" width="10.5703125" style="55" customWidth="1"/>
    <col min="514" max="514" width="24" style="55" customWidth="1"/>
    <col min="515" max="515" width="24.5703125" style="55" bestFit="1" customWidth="1"/>
    <col min="516" max="516" width="17.7109375" style="55" bestFit="1" customWidth="1"/>
    <col min="517" max="517" width="17.42578125" style="55" bestFit="1" customWidth="1"/>
    <col min="518" max="518" width="17.5703125" style="55" bestFit="1" customWidth="1"/>
    <col min="519" max="519" width="9.28515625" style="55" bestFit="1" customWidth="1"/>
    <col min="520" max="520" width="10.28515625" style="55" bestFit="1" customWidth="1"/>
    <col min="521" max="521" width="45.7109375" style="55" customWidth="1"/>
    <col min="522" max="765" width="9.140625" style="55"/>
    <col min="766" max="766" width="6.85546875" style="55" customWidth="1"/>
    <col min="767" max="767" width="26.28515625" style="55" customWidth="1"/>
    <col min="768" max="768" width="94.7109375" style="55" customWidth="1"/>
    <col min="769" max="769" width="10.5703125" style="55" customWidth="1"/>
    <col min="770" max="770" width="24" style="55" customWidth="1"/>
    <col min="771" max="771" width="24.5703125" style="55" bestFit="1" customWidth="1"/>
    <col min="772" max="772" width="17.7109375" style="55" bestFit="1" customWidth="1"/>
    <col min="773" max="773" width="17.42578125" style="55" bestFit="1" customWidth="1"/>
    <col min="774" max="774" width="17.5703125" style="55" bestFit="1" customWidth="1"/>
    <col min="775" max="775" width="9.28515625" style="55" bestFit="1" customWidth="1"/>
    <col min="776" max="776" width="10.28515625" style="55" bestFit="1" customWidth="1"/>
    <col min="777" max="777" width="45.7109375" style="55" customWidth="1"/>
    <col min="778" max="1021" width="9.140625" style="55"/>
    <col min="1022" max="1022" width="6.85546875" style="55" customWidth="1"/>
    <col min="1023" max="1023" width="26.28515625" style="55" customWidth="1"/>
    <col min="1024" max="1024" width="94.7109375" style="55" customWidth="1"/>
    <col min="1025" max="1025" width="10.5703125" style="55" customWidth="1"/>
    <col min="1026" max="1026" width="24" style="55" customWidth="1"/>
    <col min="1027" max="1027" width="24.5703125" style="55" bestFit="1" customWidth="1"/>
    <col min="1028" max="1028" width="17.7109375" style="55" bestFit="1" customWidth="1"/>
    <col min="1029" max="1029" width="17.42578125" style="55" bestFit="1" customWidth="1"/>
    <col min="1030" max="1030" width="17.5703125" style="55" bestFit="1" customWidth="1"/>
    <col min="1031" max="1031" width="9.28515625" style="55" bestFit="1" customWidth="1"/>
    <col min="1032" max="1032" width="10.28515625" style="55" bestFit="1" customWidth="1"/>
    <col min="1033" max="1033" width="45.7109375" style="55" customWidth="1"/>
    <col min="1034" max="1277" width="9.140625" style="55"/>
    <col min="1278" max="1278" width="6.85546875" style="55" customWidth="1"/>
    <col min="1279" max="1279" width="26.28515625" style="55" customWidth="1"/>
    <col min="1280" max="1280" width="94.7109375" style="55" customWidth="1"/>
    <col min="1281" max="1281" width="10.5703125" style="55" customWidth="1"/>
    <col min="1282" max="1282" width="24" style="55" customWidth="1"/>
    <col min="1283" max="1283" width="24.5703125" style="55" bestFit="1" customWidth="1"/>
    <col min="1284" max="1284" width="17.7109375" style="55" bestFit="1" customWidth="1"/>
    <col min="1285" max="1285" width="17.42578125" style="55" bestFit="1" customWidth="1"/>
    <col min="1286" max="1286" width="17.5703125" style="55" bestFit="1" customWidth="1"/>
    <col min="1287" max="1287" width="9.28515625" style="55" bestFit="1" customWidth="1"/>
    <col min="1288" max="1288" width="10.28515625" style="55" bestFit="1" customWidth="1"/>
    <col min="1289" max="1289" width="45.7109375" style="55" customWidth="1"/>
    <col min="1290" max="1533" width="9.140625" style="55"/>
    <col min="1534" max="1534" width="6.85546875" style="55" customWidth="1"/>
    <col min="1535" max="1535" width="26.28515625" style="55" customWidth="1"/>
    <col min="1536" max="1536" width="94.7109375" style="55" customWidth="1"/>
    <col min="1537" max="1537" width="10.5703125" style="55" customWidth="1"/>
    <col min="1538" max="1538" width="24" style="55" customWidth="1"/>
    <col min="1539" max="1539" width="24.5703125" style="55" bestFit="1" customWidth="1"/>
    <col min="1540" max="1540" width="17.7109375" style="55" bestFit="1" customWidth="1"/>
    <col min="1541" max="1541" width="17.42578125" style="55" bestFit="1" customWidth="1"/>
    <col min="1542" max="1542" width="17.5703125" style="55" bestFit="1" customWidth="1"/>
    <col min="1543" max="1543" width="9.28515625" style="55" bestFit="1" customWidth="1"/>
    <col min="1544" max="1544" width="10.28515625" style="55" bestFit="1" customWidth="1"/>
    <col min="1545" max="1545" width="45.7109375" style="55" customWidth="1"/>
    <col min="1546" max="1789" width="9.140625" style="55"/>
    <col min="1790" max="1790" width="6.85546875" style="55" customWidth="1"/>
    <col min="1791" max="1791" width="26.28515625" style="55" customWidth="1"/>
    <col min="1792" max="1792" width="94.7109375" style="55" customWidth="1"/>
    <col min="1793" max="1793" width="10.5703125" style="55" customWidth="1"/>
    <col min="1794" max="1794" width="24" style="55" customWidth="1"/>
    <col min="1795" max="1795" width="24.5703125" style="55" bestFit="1" customWidth="1"/>
    <col min="1796" max="1796" width="17.7109375" style="55" bestFit="1" customWidth="1"/>
    <col min="1797" max="1797" width="17.42578125" style="55" bestFit="1" customWidth="1"/>
    <col min="1798" max="1798" width="17.5703125" style="55" bestFit="1" customWidth="1"/>
    <col min="1799" max="1799" width="9.28515625" style="55" bestFit="1" customWidth="1"/>
    <col min="1800" max="1800" width="10.28515625" style="55" bestFit="1" customWidth="1"/>
    <col min="1801" max="1801" width="45.7109375" style="55" customWidth="1"/>
    <col min="1802" max="2045" width="9.140625" style="55"/>
    <col min="2046" max="2046" width="6.85546875" style="55" customWidth="1"/>
    <col min="2047" max="2047" width="26.28515625" style="55" customWidth="1"/>
    <col min="2048" max="2048" width="94.7109375" style="55" customWidth="1"/>
    <col min="2049" max="2049" width="10.5703125" style="55" customWidth="1"/>
    <col min="2050" max="2050" width="24" style="55" customWidth="1"/>
    <col min="2051" max="2051" width="24.5703125" style="55" bestFit="1" customWidth="1"/>
    <col min="2052" max="2052" width="17.7109375" style="55" bestFit="1" customWidth="1"/>
    <col min="2053" max="2053" width="17.42578125" style="55" bestFit="1" customWidth="1"/>
    <col min="2054" max="2054" width="17.5703125" style="55" bestFit="1" customWidth="1"/>
    <col min="2055" max="2055" width="9.28515625" style="55" bestFit="1" customWidth="1"/>
    <col min="2056" max="2056" width="10.28515625" style="55" bestFit="1" customWidth="1"/>
    <col min="2057" max="2057" width="45.7109375" style="55" customWidth="1"/>
    <col min="2058" max="2301" width="9.140625" style="55"/>
    <col min="2302" max="2302" width="6.85546875" style="55" customWidth="1"/>
    <col min="2303" max="2303" width="26.28515625" style="55" customWidth="1"/>
    <col min="2304" max="2304" width="94.7109375" style="55" customWidth="1"/>
    <col min="2305" max="2305" width="10.5703125" style="55" customWidth="1"/>
    <col min="2306" max="2306" width="24" style="55" customWidth="1"/>
    <col min="2307" max="2307" width="24.5703125" style="55" bestFit="1" customWidth="1"/>
    <col min="2308" max="2308" width="17.7109375" style="55" bestFit="1" customWidth="1"/>
    <col min="2309" max="2309" width="17.42578125" style="55" bestFit="1" customWidth="1"/>
    <col min="2310" max="2310" width="17.5703125" style="55" bestFit="1" customWidth="1"/>
    <col min="2311" max="2311" width="9.28515625" style="55" bestFit="1" customWidth="1"/>
    <col min="2312" max="2312" width="10.28515625" style="55" bestFit="1" customWidth="1"/>
    <col min="2313" max="2313" width="45.7109375" style="55" customWidth="1"/>
    <col min="2314" max="2557" width="9.140625" style="55"/>
    <col min="2558" max="2558" width="6.85546875" style="55" customWidth="1"/>
    <col min="2559" max="2559" width="26.28515625" style="55" customWidth="1"/>
    <col min="2560" max="2560" width="94.7109375" style="55" customWidth="1"/>
    <col min="2561" max="2561" width="10.5703125" style="55" customWidth="1"/>
    <col min="2562" max="2562" width="24" style="55" customWidth="1"/>
    <col min="2563" max="2563" width="24.5703125" style="55" bestFit="1" customWidth="1"/>
    <col min="2564" max="2564" width="17.7109375" style="55" bestFit="1" customWidth="1"/>
    <col min="2565" max="2565" width="17.42578125" style="55" bestFit="1" customWidth="1"/>
    <col min="2566" max="2566" width="17.5703125" style="55" bestFit="1" customWidth="1"/>
    <col min="2567" max="2567" width="9.28515625" style="55" bestFit="1" customWidth="1"/>
    <col min="2568" max="2568" width="10.28515625" style="55" bestFit="1" customWidth="1"/>
    <col min="2569" max="2569" width="45.7109375" style="55" customWidth="1"/>
    <col min="2570" max="2813" width="9.140625" style="55"/>
    <col min="2814" max="2814" width="6.85546875" style="55" customWidth="1"/>
    <col min="2815" max="2815" width="26.28515625" style="55" customWidth="1"/>
    <col min="2816" max="2816" width="94.7109375" style="55" customWidth="1"/>
    <col min="2817" max="2817" width="10.5703125" style="55" customWidth="1"/>
    <col min="2818" max="2818" width="24" style="55" customWidth="1"/>
    <col min="2819" max="2819" width="24.5703125" style="55" bestFit="1" customWidth="1"/>
    <col min="2820" max="2820" width="17.7109375" style="55" bestFit="1" customWidth="1"/>
    <col min="2821" max="2821" width="17.42578125" style="55" bestFit="1" customWidth="1"/>
    <col min="2822" max="2822" width="17.5703125" style="55" bestFit="1" customWidth="1"/>
    <col min="2823" max="2823" width="9.28515625" style="55" bestFit="1" customWidth="1"/>
    <col min="2824" max="2824" width="10.28515625" style="55" bestFit="1" customWidth="1"/>
    <col min="2825" max="2825" width="45.7109375" style="55" customWidth="1"/>
    <col min="2826" max="3069" width="9.140625" style="55"/>
    <col min="3070" max="3070" width="6.85546875" style="55" customWidth="1"/>
    <col min="3071" max="3071" width="26.28515625" style="55" customWidth="1"/>
    <col min="3072" max="3072" width="94.7109375" style="55" customWidth="1"/>
    <col min="3073" max="3073" width="10.5703125" style="55" customWidth="1"/>
    <col min="3074" max="3074" width="24" style="55" customWidth="1"/>
    <col min="3075" max="3075" width="24.5703125" style="55" bestFit="1" customWidth="1"/>
    <col min="3076" max="3076" width="17.7109375" style="55" bestFit="1" customWidth="1"/>
    <col min="3077" max="3077" width="17.42578125" style="55" bestFit="1" customWidth="1"/>
    <col min="3078" max="3078" width="17.5703125" style="55" bestFit="1" customWidth="1"/>
    <col min="3079" max="3079" width="9.28515625" style="55" bestFit="1" customWidth="1"/>
    <col min="3080" max="3080" width="10.28515625" style="55" bestFit="1" customWidth="1"/>
    <col min="3081" max="3081" width="45.7109375" style="55" customWidth="1"/>
    <col min="3082" max="3325" width="9.140625" style="55"/>
    <col min="3326" max="3326" width="6.85546875" style="55" customWidth="1"/>
    <col min="3327" max="3327" width="26.28515625" style="55" customWidth="1"/>
    <col min="3328" max="3328" width="94.7109375" style="55" customWidth="1"/>
    <col min="3329" max="3329" width="10.5703125" style="55" customWidth="1"/>
    <col min="3330" max="3330" width="24" style="55" customWidth="1"/>
    <col min="3331" max="3331" width="24.5703125" style="55" bestFit="1" customWidth="1"/>
    <col min="3332" max="3332" width="17.7109375" style="55" bestFit="1" customWidth="1"/>
    <col min="3333" max="3333" width="17.42578125" style="55" bestFit="1" customWidth="1"/>
    <col min="3334" max="3334" width="17.5703125" style="55" bestFit="1" customWidth="1"/>
    <col min="3335" max="3335" width="9.28515625" style="55" bestFit="1" customWidth="1"/>
    <col min="3336" max="3336" width="10.28515625" style="55" bestFit="1" customWidth="1"/>
    <col min="3337" max="3337" width="45.7109375" style="55" customWidth="1"/>
    <col min="3338" max="3581" width="9.140625" style="55"/>
    <col min="3582" max="3582" width="6.85546875" style="55" customWidth="1"/>
    <col min="3583" max="3583" width="26.28515625" style="55" customWidth="1"/>
    <col min="3584" max="3584" width="94.7109375" style="55" customWidth="1"/>
    <col min="3585" max="3585" width="10.5703125" style="55" customWidth="1"/>
    <col min="3586" max="3586" width="24" style="55" customWidth="1"/>
    <col min="3587" max="3587" width="24.5703125" style="55" bestFit="1" customWidth="1"/>
    <col min="3588" max="3588" width="17.7109375" style="55" bestFit="1" customWidth="1"/>
    <col min="3589" max="3589" width="17.42578125" style="55" bestFit="1" customWidth="1"/>
    <col min="3590" max="3590" width="17.5703125" style="55" bestFit="1" customWidth="1"/>
    <col min="3591" max="3591" width="9.28515625" style="55" bestFit="1" customWidth="1"/>
    <col min="3592" max="3592" width="10.28515625" style="55" bestFit="1" customWidth="1"/>
    <col min="3593" max="3593" width="45.7109375" style="55" customWidth="1"/>
    <col min="3594" max="3837" width="9.140625" style="55"/>
    <col min="3838" max="3838" width="6.85546875" style="55" customWidth="1"/>
    <col min="3839" max="3839" width="26.28515625" style="55" customWidth="1"/>
    <col min="3840" max="3840" width="94.7109375" style="55" customWidth="1"/>
    <col min="3841" max="3841" width="10.5703125" style="55" customWidth="1"/>
    <col min="3842" max="3842" width="24" style="55" customWidth="1"/>
    <col min="3843" max="3843" width="24.5703125" style="55" bestFit="1" customWidth="1"/>
    <col min="3844" max="3844" width="17.7109375" style="55" bestFit="1" customWidth="1"/>
    <col min="3845" max="3845" width="17.42578125" style="55" bestFit="1" customWidth="1"/>
    <col min="3846" max="3846" width="17.5703125" style="55" bestFit="1" customWidth="1"/>
    <col min="3847" max="3847" width="9.28515625" style="55" bestFit="1" customWidth="1"/>
    <col min="3848" max="3848" width="10.28515625" style="55" bestFit="1" customWidth="1"/>
    <col min="3849" max="3849" width="45.7109375" style="55" customWidth="1"/>
    <col min="3850" max="4093" width="9.140625" style="55"/>
    <col min="4094" max="4094" width="6.85546875" style="55" customWidth="1"/>
    <col min="4095" max="4095" width="26.28515625" style="55" customWidth="1"/>
    <col min="4096" max="4096" width="94.7109375" style="55" customWidth="1"/>
    <col min="4097" max="4097" width="10.5703125" style="55" customWidth="1"/>
    <col min="4098" max="4098" width="24" style="55" customWidth="1"/>
    <col min="4099" max="4099" width="24.5703125" style="55" bestFit="1" customWidth="1"/>
    <col min="4100" max="4100" width="17.7109375" style="55" bestFit="1" customWidth="1"/>
    <col min="4101" max="4101" width="17.42578125" style="55" bestFit="1" customWidth="1"/>
    <col min="4102" max="4102" width="17.5703125" style="55" bestFit="1" customWidth="1"/>
    <col min="4103" max="4103" width="9.28515625" style="55" bestFit="1" customWidth="1"/>
    <col min="4104" max="4104" width="10.28515625" style="55" bestFit="1" customWidth="1"/>
    <col min="4105" max="4105" width="45.7109375" style="55" customWidth="1"/>
    <col min="4106" max="4349" width="9.140625" style="55"/>
    <col min="4350" max="4350" width="6.85546875" style="55" customWidth="1"/>
    <col min="4351" max="4351" width="26.28515625" style="55" customWidth="1"/>
    <col min="4352" max="4352" width="94.7109375" style="55" customWidth="1"/>
    <col min="4353" max="4353" width="10.5703125" style="55" customWidth="1"/>
    <col min="4354" max="4354" width="24" style="55" customWidth="1"/>
    <col min="4355" max="4355" width="24.5703125" style="55" bestFit="1" customWidth="1"/>
    <col min="4356" max="4356" width="17.7109375" style="55" bestFit="1" customWidth="1"/>
    <col min="4357" max="4357" width="17.42578125" style="55" bestFit="1" customWidth="1"/>
    <col min="4358" max="4358" width="17.5703125" style="55" bestFit="1" customWidth="1"/>
    <col min="4359" max="4359" width="9.28515625" style="55" bestFit="1" customWidth="1"/>
    <col min="4360" max="4360" width="10.28515625" style="55" bestFit="1" customWidth="1"/>
    <col min="4361" max="4361" width="45.7109375" style="55" customWidth="1"/>
    <col min="4362" max="4605" width="9.140625" style="55"/>
    <col min="4606" max="4606" width="6.85546875" style="55" customWidth="1"/>
    <col min="4607" max="4607" width="26.28515625" style="55" customWidth="1"/>
    <col min="4608" max="4608" width="94.7109375" style="55" customWidth="1"/>
    <col min="4609" max="4609" width="10.5703125" style="55" customWidth="1"/>
    <col min="4610" max="4610" width="24" style="55" customWidth="1"/>
    <col min="4611" max="4611" width="24.5703125" style="55" bestFit="1" customWidth="1"/>
    <col min="4612" max="4612" width="17.7109375" style="55" bestFit="1" customWidth="1"/>
    <col min="4613" max="4613" width="17.42578125" style="55" bestFit="1" customWidth="1"/>
    <col min="4614" max="4614" width="17.5703125" style="55" bestFit="1" customWidth="1"/>
    <col min="4615" max="4615" width="9.28515625" style="55" bestFit="1" customWidth="1"/>
    <col min="4616" max="4616" width="10.28515625" style="55" bestFit="1" customWidth="1"/>
    <col min="4617" max="4617" width="45.7109375" style="55" customWidth="1"/>
    <col min="4618" max="4861" width="9.140625" style="55"/>
    <col min="4862" max="4862" width="6.85546875" style="55" customWidth="1"/>
    <col min="4863" max="4863" width="26.28515625" style="55" customWidth="1"/>
    <col min="4864" max="4864" width="94.7109375" style="55" customWidth="1"/>
    <col min="4865" max="4865" width="10.5703125" style="55" customWidth="1"/>
    <col min="4866" max="4866" width="24" style="55" customWidth="1"/>
    <col min="4867" max="4867" width="24.5703125" style="55" bestFit="1" customWidth="1"/>
    <col min="4868" max="4868" width="17.7109375" style="55" bestFit="1" customWidth="1"/>
    <col min="4869" max="4869" width="17.42578125" style="55" bestFit="1" customWidth="1"/>
    <col min="4870" max="4870" width="17.5703125" style="55" bestFit="1" customWidth="1"/>
    <col min="4871" max="4871" width="9.28515625" style="55" bestFit="1" customWidth="1"/>
    <col min="4872" max="4872" width="10.28515625" style="55" bestFit="1" customWidth="1"/>
    <col min="4873" max="4873" width="45.7109375" style="55" customWidth="1"/>
    <col min="4874" max="5117" width="9.140625" style="55"/>
    <col min="5118" max="5118" width="6.85546875" style="55" customWidth="1"/>
    <col min="5119" max="5119" width="26.28515625" style="55" customWidth="1"/>
    <col min="5120" max="5120" width="94.7109375" style="55" customWidth="1"/>
    <col min="5121" max="5121" width="10.5703125" style="55" customWidth="1"/>
    <col min="5122" max="5122" width="24" style="55" customWidth="1"/>
    <col min="5123" max="5123" width="24.5703125" style="55" bestFit="1" customWidth="1"/>
    <col min="5124" max="5124" width="17.7109375" style="55" bestFit="1" customWidth="1"/>
    <col min="5125" max="5125" width="17.42578125" style="55" bestFit="1" customWidth="1"/>
    <col min="5126" max="5126" width="17.5703125" style="55" bestFit="1" customWidth="1"/>
    <col min="5127" max="5127" width="9.28515625" style="55" bestFit="1" customWidth="1"/>
    <col min="5128" max="5128" width="10.28515625" style="55" bestFit="1" customWidth="1"/>
    <col min="5129" max="5129" width="45.7109375" style="55" customWidth="1"/>
    <col min="5130" max="5373" width="9.140625" style="55"/>
    <col min="5374" max="5374" width="6.85546875" style="55" customWidth="1"/>
    <col min="5375" max="5375" width="26.28515625" style="55" customWidth="1"/>
    <col min="5376" max="5376" width="94.7109375" style="55" customWidth="1"/>
    <col min="5377" max="5377" width="10.5703125" style="55" customWidth="1"/>
    <col min="5378" max="5378" width="24" style="55" customWidth="1"/>
    <col min="5379" max="5379" width="24.5703125" style="55" bestFit="1" customWidth="1"/>
    <col min="5380" max="5380" width="17.7109375" style="55" bestFit="1" customWidth="1"/>
    <col min="5381" max="5381" width="17.42578125" style="55" bestFit="1" customWidth="1"/>
    <col min="5382" max="5382" width="17.5703125" style="55" bestFit="1" customWidth="1"/>
    <col min="5383" max="5383" width="9.28515625" style="55" bestFit="1" customWidth="1"/>
    <col min="5384" max="5384" width="10.28515625" style="55" bestFit="1" customWidth="1"/>
    <col min="5385" max="5385" width="45.7109375" style="55" customWidth="1"/>
    <col min="5386" max="5629" width="9.140625" style="55"/>
    <col min="5630" max="5630" width="6.85546875" style="55" customWidth="1"/>
    <col min="5631" max="5631" width="26.28515625" style="55" customWidth="1"/>
    <col min="5632" max="5632" width="94.7109375" style="55" customWidth="1"/>
    <col min="5633" max="5633" width="10.5703125" style="55" customWidth="1"/>
    <col min="5634" max="5634" width="24" style="55" customWidth="1"/>
    <col min="5635" max="5635" width="24.5703125" style="55" bestFit="1" customWidth="1"/>
    <col min="5636" max="5636" width="17.7109375" style="55" bestFit="1" customWidth="1"/>
    <col min="5637" max="5637" width="17.42578125" style="55" bestFit="1" customWidth="1"/>
    <col min="5638" max="5638" width="17.5703125" style="55" bestFit="1" customWidth="1"/>
    <col min="5639" max="5639" width="9.28515625" style="55" bestFit="1" customWidth="1"/>
    <col min="5640" max="5640" width="10.28515625" style="55" bestFit="1" customWidth="1"/>
    <col min="5641" max="5641" width="45.7109375" style="55" customWidth="1"/>
    <col min="5642" max="5885" width="9.140625" style="55"/>
    <col min="5886" max="5886" width="6.85546875" style="55" customWidth="1"/>
    <col min="5887" max="5887" width="26.28515625" style="55" customWidth="1"/>
    <col min="5888" max="5888" width="94.7109375" style="55" customWidth="1"/>
    <col min="5889" max="5889" width="10.5703125" style="55" customWidth="1"/>
    <col min="5890" max="5890" width="24" style="55" customWidth="1"/>
    <col min="5891" max="5891" width="24.5703125" style="55" bestFit="1" customWidth="1"/>
    <col min="5892" max="5892" width="17.7109375" style="55" bestFit="1" customWidth="1"/>
    <col min="5893" max="5893" width="17.42578125" style="55" bestFit="1" customWidth="1"/>
    <col min="5894" max="5894" width="17.5703125" style="55" bestFit="1" customWidth="1"/>
    <col min="5895" max="5895" width="9.28515625" style="55" bestFit="1" customWidth="1"/>
    <col min="5896" max="5896" width="10.28515625" style="55" bestFit="1" customWidth="1"/>
    <col min="5897" max="5897" width="45.7109375" style="55" customWidth="1"/>
    <col min="5898" max="6141" width="9.140625" style="55"/>
    <col min="6142" max="6142" width="6.85546875" style="55" customWidth="1"/>
    <col min="6143" max="6143" width="26.28515625" style="55" customWidth="1"/>
    <col min="6144" max="6144" width="94.7109375" style="55" customWidth="1"/>
    <col min="6145" max="6145" width="10.5703125" style="55" customWidth="1"/>
    <col min="6146" max="6146" width="24" style="55" customWidth="1"/>
    <col min="6147" max="6147" width="24.5703125" style="55" bestFit="1" customWidth="1"/>
    <col min="6148" max="6148" width="17.7109375" style="55" bestFit="1" customWidth="1"/>
    <col min="6149" max="6149" width="17.42578125" style="55" bestFit="1" customWidth="1"/>
    <col min="6150" max="6150" width="17.5703125" style="55" bestFit="1" customWidth="1"/>
    <col min="6151" max="6151" width="9.28515625" style="55" bestFit="1" customWidth="1"/>
    <col min="6152" max="6152" width="10.28515625" style="55" bestFit="1" customWidth="1"/>
    <col min="6153" max="6153" width="45.7109375" style="55" customWidth="1"/>
    <col min="6154" max="6397" width="9.140625" style="55"/>
    <col min="6398" max="6398" width="6.85546875" style="55" customWidth="1"/>
    <col min="6399" max="6399" width="26.28515625" style="55" customWidth="1"/>
    <col min="6400" max="6400" width="94.7109375" style="55" customWidth="1"/>
    <col min="6401" max="6401" width="10.5703125" style="55" customWidth="1"/>
    <col min="6402" max="6402" width="24" style="55" customWidth="1"/>
    <col min="6403" max="6403" width="24.5703125" style="55" bestFit="1" customWidth="1"/>
    <col min="6404" max="6404" width="17.7109375" style="55" bestFit="1" customWidth="1"/>
    <col min="6405" max="6405" width="17.42578125" style="55" bestFit="1" customWidth="1"/>
    <col min="6406" max="6406" width="17.5703125" style="55" bestFit="1" customWidth="1"/>
    <col min="6407" max="6407" width="9.28515625" style="55" bestFit="1" customWidth="1"/>
    <col min="6408" max="6408" width="10.28515625" style="55" bestFit="1" customWidth="1"/>
    <col min="6409" max="6409" width="45.7109375" style="55" customWidth="1"/>
    <col min="6410" max="6653" width="9.140625" style="55"/>
    <col min="6654" max="6654" width="6.85546875" style="55" customWidth="1"/>
    <col min="6655" max="6655" width="26.28515625" style="55" customWidth="1"/>
    <col min="6656" max="6656" width="94.7109375" style="55" customWidth="1"/>
    <col min="6657" max="6657" width="10.5703125" style="55" customWidth="1"/>
    <col min="6658" max="6658" width="24" style="55" customWidth="1"/>
    <col min="6659" max="6659" width="24.5703125" style="55" bestFit="1" customWidth="1"/>
    <col min="6660" max="6660" width="17.7109375" style="55" bestFit="1" customWidth="1"/>
    <col min="6661" max="6661" width="17.42578125" style="55" bestFit="1" customWidth="1"/>
    <col min="6662" max="6662" width="17.5703125" style="55" bestFit="1" customWidth="1"/>
    <col min="6663" max="6663" width="9.28515625" style="55" bestFit="1" customWidth="1"/>
    <col min="6664" max="6664" width="10.28515625" style="55" bestFit="1" customWidth="1"/>
    <col min="6665" max="6665" width="45.7109375" style="55" customWidth="1"/>
    <col min="6666" max="6909" width="9.140625" style="55"/>
    <col min="6910" max="6910" width="6.85546875" style="55" customWidth="1"/>
    <col min="6911" max="6911" width="26.28515625" style="55" customWidth="1"/>
    <col min="6912" max="6912" width="94.7109375" style="55" customWidth="1"/>
    <col min="6913" max="6913" width="10.5703125" style="55" customWidth="1"/>
    <col min="6914" max="6914" width="24" style="55" customWidth="1"/>
    <col min="6915" max="6915" width="24.5703125" style="55" bestFit="1" customWidth="1"/>
    <col min="6916" max="6916" width="17.7109375" style="55" bestFit="1" customWidth="1"/>
    <col min="6917" max="6917" width="17.42578125" style="55" bestFit="1" customWidth="1"/>
    <col min="6918" max="6918" width="17.5703125" style="55" bestFit="1" customWidth="1"/>
    <col min="6919" max="6919" width="9.28515625" style="55" bestFit="1" customWidth="1"/>
    <col min="6920" max="6920" width="10.28515625" style="55" bestFit="1" customWidth="1"/>
    <col min="6921" max="6921" width="45.7109375" style="55" customWidth="1"/>
    <col min="6922" max="7165" width="9.140625" style="55"/>
    <col min="7166" max="7166" width="6.85546875" style="55" customWidth="1"/>
    <col min="7167" max="7167" width="26.28515625" style="55" customWidth="1"/>
    <col min="7168" max="7168" width="94.7109375" style="55" customWidth="1"/>
    <col min="7169" max="7169" width="10.5703125" style="55" customWidth="1"/>
    <col min="7170" max="7170" width="24" style="55" customWidth="1"/>
    <col min="7171" max="7171" width="24.5703125" style="55" bestFit="1" customWidth="1"/>
    <col min="7172" max="7172" width="17.7109375" style="55" bestFit="1" customWidth="1"/>
    <col min="7173" max="7173" width="17.42578125" style="55" bestFit="1" customWidth="1"/>
    <col min="7174" max="7174" width="17.5703125" style="55" bestFit="1" customWidth="1"/>
    <col min="7175" max="7175" width="9.28515625" style="55" bestFit="1" customWidth="1"/>
    <col min="7176" max="7176" width="10.28515625" style="55" bestFit="1" customWidth="1"/>
    <col min="7177" max="7177" width="45.7109375" style="55" customWidth="1"/>
    <col min="7178" max="7421" width="9.140625" style="55"/>
    <col min="7422" max="7422" width="6.85546875" style="55" customWidth="1"/>
    <col min="7423" max="7423" width="26.28515625" style="55" customWidth="1"/>
    <col min="7424" max="7424" width="94.7109375" style="55" customWidth="1"/>
    <col min="7425" max="7425" width="10.5703125" style="55" customWidth="1"/>
    <col min="7426" max="7426" width="24" style="55" customWidth="1"/>
    <col min="7427" max="7427" width="24.5703125" style="55" bestFit="1" customWidth="1"/>
    <col min="7428" max="7428" width="17.7109375" style="55" bestFit="1" customWidth="1"/>
    <col min="7429" max="7429" width="17.42578125" style="55" bestFit="1" customWidth="1"/>
    <col min="7430" max="7430" width="17.5703125" style="55" bestFit="1" customWidth="1"/>
    <col min="7431" max="7431" width="9.28515625" style="55" bestFit="1" customWidth="1"/>
    <col min="7432" max="7432" width="10.28515625" style="55" bestFit="1" customWidth="1"/>
    <col min="7433" max="7433" width="45.7109375" style="55" customWidth="1"/>
    <col min="7434" max="7677" width="9.140625" style="55"/>
    <col min="7678" max="7678" width="6.85546875" style="55" customWidth="1"/>
    <col min="7679" max="7679" width="26.28515625" style="55" customWidth="1"/>
    <col min="7680" max="7680" width="94.7109375" style="55" customWidth="1"/>
    <col min="7681" max="7681" width="10.5703125" style="55" customWidth="1"/>
    <col min="7682" max="7682" width="24" style="55" customWidth="1"/>
    <col min="7683" max="7683" width="24.5703125" style="55" bestFit="1" customWidth="1"/>
    <col min="7684" max="7684" width="17.7109375" style="55" bestFit="1" customWidth="1"/>
    <col min="7685" max="7685" width="17.42578125" style="55" bestFit="1" customWidth="1"/>
    <col min="7686" max="7686" width="17.5703125" style="55" bestFit="1" customWidth="1"/>
    <col min="7687" max="7687" width="9.28515625" style="55" bestFit="1" customWidth="1"/>
    <col min="7688" max="7688" width="10.28515625" style="55" bestFit="1" customWidth="1"/>
    <col min="7689" max="7689" width="45.7109375" style="55" customWidth="1"/>
    <col min="7690" max="7933" width="9.140625" style="55"/>
    <col min="7934" max="7934" width="6.85546875" style="55" customWidth="1"/>
    <col min="7935" max="7935" width="26.28515625" style="55" customWidth="1"/>
    <col min="7936" max="7936" width="94.7109375" style="55" customWidth="1"/>
    <col min="7937" max="7937" width="10.5703125" style="55" customWidth="1"/>
    <col min="7938" max="7938" width="24" style="55" customWidth="1"/>
    <col min="7939" max="7939" width="24.5703125" style="55" bestFit="1" customWidth="1"/>
    <col min="7940" max="7940" width="17.7109375" style="55" bestFit="1" customWidth="1"/>
    <col min="7941" max="7941" width="17.42578125" style="55" bestFit="1" customWidth="1"/>
    <col min="7942" max="7942" width="17.5703125" style="55" bestFit="1" customWidth="1"/>
    <col min="7943" max="7943" width="9.28515625" style="55" bestFit="1" customWidth="1"/>
    <col min="7944" max="7944" width="10.28515625" style="55" bestFit="1" customWidth="1"/>
    <col min="7945" max="7945" width="45.7109375" style="55" customWidth="1"/>
    <col min="7946" max="8189" width="9.140625" style="55"/>
    <col min="8190" max="8190" width="6.85546875" style="55" customWidth="1"/>
    <col min="8191" max="8191" width="26.28515625" style="55" customWidth="1"/>
    <col min="8192" max="8192" width="94.7109375" style="55" customWidth="1"/>
    <col min="8193" max="8193" width="10.5703125" style="55" customWidth="1"/>
    <col min="8194" max="8194" width="24" style="55" customWidth="1"/>
    <col min="8195" max="8195" width="24.5703125" style="55" bestFit="1" customWidth="1"/>
    <col min="8196" max="8196" width="17.7109375" style="55" bestFit="1" customWidth="1"/>
    <col min="8197" max="8197" width="17.42578125" style="55" bestFit="1" customWidth="1"/>
    <col min="8198" max="8198" width="17.5703125" style="55" bestFit="1" customWidth="1"/>
    <col min="8199" max="8199" width="9.28515625" style="55" bestFit="1" customWidth="1"/>
    <col min="8200" max="8200" width="10.28515625" style="55" bestFit="1" customWidth="1"/>
    <col min="8201" max="8201" width="45.7109375" style="55" customWidth="1"/>
    <col min="8202" max="8445" width="9.140625" style="55"/>
    <col min="8446" max="8446" width="6.85546875" style="55" customWidth="1"/>
    <col min="8447" max="8447" width="26.28515625" style="55" customWidth="1"/>
    <col min="8448" max="8448" width="94.7109375" style="55" customWidth="1"/>
    <col min="8449" max="8449" width="10.5703125" style="55" customWidth="1"/>
    <col min="8450" max="8450" width="24" style="55" customWidth="1"/>
    <col min="8451" max="8451" width="24.5703125" style="55" bestFit="1" customWidth="1"/>
    <col min="8452" max="8452" width="17.7109375" style="55" bestFit="1" customWidth="1"/>
    <col min="8453" max="8453" width="17.42578125" style="55" bestFit="1" customWidth="1"/>
    <col min="8454" max="8454" width="17.5703125" style="55" bestFit="1" customWidth="1"/>
    <col min="8455" max="8455" width="9.28515625" style="55" bestFit="1" customWidth="1"/>
    <col min="8456" max="8456" width="10.28515625" style="55" bestFit="1" customWidth="1"/>
    <col min="8457" max="8457" width="45.7109375" style="55" customWidth="1"/>
    <col min="8458" max="8701" width="9.140625" style="55"/>
    <col min="8702" max="8702" width="6.85546875" style="55" customWidth="1"/>
    <col min="8703" max="8703" width="26.28515625" style="55" customWidth="1"/>
    <col min="8704" max="8704" width="94.7109375" style="55" customWidth="1"/>
    <col min="8705" max="8705" width="10.5703125" style="55" customWidth="1"/>
    <col min="8706" max="8706" width="24" style="55" customWidth="1"/>
    <col min="8707" max="8707" width="24.5703125" style="55" bestFit="1" customWidth="1"/>
    <col min="8708" max="8708" width="17.7109375" style="55" bestFit="1" customWidth="1"/>
    <col min="8709" max="8709" width="17.42578125" style="55" bestFit="1" customWidth="1"/>
    <col min="8710" max="8710" width="17.5703125" style="55" bestFit="1" customWidth="1"/>
    <col min="8711" max="8711" width="9.28515625" style="55" bestFit="1" customWidth="1"/>
    <col min="8712" max="8712" width="10.28515625" style="55" bestFit="1" customWidth="1"/>
    <col min="8713" max="8713" width="45.7109375" style="55" customWidth="1"/>
    <col min="8714" max="8957" width="9.140625" style="55"/>
    <col min="8958" max="8958" width="6.85546875" style="55" customWidth="1"/>
    <col min="8959" max="8959" width="26.28515625" style="55" customWidth="1"/>
    <col min="8960" max="8960" width="94.7109375" style="55" customWidth="1"/>
    <col min="8961" max="8961" width="10.5703125" style="55" customWidth="1"/>
    <col min="8962" max="8962" width="24" style="55" customWidth="1"/>
    <col min="8963" max="8963" width="24.5703125" style="55" bestFit="1" customWidth="1"/>
    <col min="8964" max="8964" width="17.7109375" style="55" bestFit="1" customWidth="1"/>
    <col min="8965" max="8965" width="17.42578125" style="55" bestFit="1" customWidth="1"/>
    <col min="8966" max="8966" width="17.5703125" style="55" bestFit="1" customWidth="1"/>
    <col min="8967" max="8967" width="9.28515625" style="55" bestFit="1" customWidth="1"/>
    <col min="8968" max="8968" width="10.28515625" style="55" bestFit="1" customWidth="1"/>
    <col min="8969" max="8969" width="45.7109375" style="55" customWidth="1"/>
    <col min="8970" max="9213" width="9.140625" style="55"/>
    <col min="9214" max="9214" width="6.85546875" style="55" customWidth="1"/>
    <col min="9215" max="9215" width="26.28515625" style="55" customWidth="1"/>
    <col min="9216" max="9216" width="94.7109375" style="55" customWidth="1"/>
    <col min="9217" max="9217" width="10.5703125" style="55" customWidth="1"/>
    <col min="9218" max="9218" width="24" style="55" customWidth="1"/>
    <col min="9219" max="9219" width="24.5703125" style="55" bestFit="1" customWidth="1"/>
    <col min="9220" max="9220" width="17.7109375" style="55" bestFit="1" customWidth="1"/>
    <col min="9221" max="9221" width="17.42578125" style="55" bestFit="1" customWidth="1"/>
    <col min="9222" max="9222" width="17.5703125" style="55" bestFit="1" customWidth="1"/>
    <col min="9223" max="9223" width="9.28515625" style="55" bestFit="1" customWidth="1"/>
    <col min="9224" max="9224" width="10.28515625" style="55" bestFit="1" customWidth="1"/>
    <col min="9225" max="9225" width="45.7109375" style="55" customWidth="1"/>
    <col min="9226" max="9469" width="9.140625" style="55"/>
    <col min="9470" max="9470" width="6.85546875" style="55" customWidth="1"/>
    <col min="9471" max="9471" width="26.28515625" style="55" customWidth="1"/>
    <col min="9472" max="9472" width="94.7109375" style="55" customWidth="1"/>
    <col min="9473" max="9473" width="10.5703125" style="55" customWidth="1"/>
    <col min="9474" max="9474" width="24" style="55" customWidth="1"/>
    <col min="9475" max="9475" width="24.5703125" style="55" bestFit="1" customWidth="1"/>
    <col min="9476" max="9476" width="17.7109375" style="55" bestFit="1" customWidth="1"/>
    <col min="9477" max="9477" width="17.42578125" style="55" bestFit="1" customWidth="1"/>
    <col min="9478" max="9478" width="17.5703125" style="55" bestFit="1" customWidth="1"/>
    <col min="9479" max="9479" width="9.28515625" style="55" bestFit="1" customWidth="1"/>
    <col min="9480" max="9480" width="10.28515625" style="55" bestFit="1" customWidth="1"/>
    <col min="9481" max="9481" width="45.7109375" style="55" customWidth="1"/>
    <col min="9482" max="9725" width="9.140625" style="55"/>
    <col min="9726" max="9726" width="6.85546875" style="55" customWidth="1"/>
    <col min="9727" max="9727" width="26.28515625" style="55" customWidth="1"/>
    <col min="9728" max="9728" width="94.7109375" style="55" customWidth="1"/>
    <col min="9729" max="9729" width="10.5703125" style="55" customWidth="1"/>
    <col min="9730" max="9730" width="24" style="55" customWidth="1"/>
    <col min="9731" max="9731" width="24.5703125" style="55" bestFit="1" customWidth="1"/>
    <col min="9732" max="9732" width="17.7109375" style="55" bestFit="1" customWidth="1"/>
    <col min="9733" max="9733" width="17.42578125" style="55" bestFit="1" customWidth="1"/>
    <col min="9734" max="9734" width="17.5703125" style="55" bestFit="1" customWidth="1"/>
    <col min="9735" max="9735" width="9.28515625" style="55" bestFit="1" customWidth="1"/>
    <col min="9736" max="9736" width="10.28515625" style="55" bestFit="1" customWidth="1"/>
    <col min="9737" max="9737" width="45.7109375" style="55" customWidth="1"/>
    <col min="9738" max="9981" width="9.140625" style="55"/>
    <col min="9982" max="9982" width="6.85546875" style="55" customWidth="1"/>
    <col min="9983" max="9983" width="26.28515625" style="55" customWidth="1"/>
    <col min="9984" max="9984" width="94.7109375" style="55" customWidth="1"/>
    <col min="9985" max="9985" width="10.5703125" style="55" customWidth="1"/>
    <col min="9986" max="9986" width="24" style="55" customWidth="1"/>
    <col min="9987" max="9987" width="24.5703125" style="55" bestFit="1" customWidth="1"/>
    <col min="9988" max="9988" width="17.7109375" style="55" bestFit="1" customWidth="1"/>
    <col min="9989" max="9989" width="17.42578125" style="55" bestFit="1" customWidth="1"/>
    <col min="9990" max="9990" width="17.5703125" style="55" bestFit="1" customWidth="1"/>
    <col min="9991" max="9991" width="9.28515625" style="55" bestFit="1" customWidth="1"/>
    <col min="9992" max="9992" width="10.28515625" style="55" bestFit="1" customWidth="1"/>
    <col min="9993" max="9993" width="45.7109375" style="55" customWidth="1"/>
    <col min="9994" max="10237" width="9.140625" style="55"/>
    <col min="10238" max="10238" width="6.85546875" style="55" customWidth="1"/>
    <col min="10239" max="10239" width="26.28515625" style="55" customWidth="1"/>
    <col min="10240" max="10240" width="94.7109375" style="55" customWidth="1"/>
    <col min="10241" max="10241" width="10.5703125" style="55" customWidth="1"/>
    <col min="10242" max="10242" width="24" style="55" customWidth="1"/>
    <col min="10243" max="10243" width="24.5703125" style="55" bestFit="1" customWidth="1"/>
    <col min="10244" max="10244" width="17.7109375" style="55" bestFit="1" customWidth="1"/>
    <col min="10245" max="10245" width="17.42578125" style="55" bestFit="1" customWidth="1"/>
    <col min="10246" max="10246" width="17.5703125" style="55" bestFit="1" customWidth="1"/>
    <col min="10247" max="10247" width="9.28515625" style="55" bestFit="1" customWidth="1"/>
    <col min="10248" max="10248" width="10.28515625" style="55" bestFit="1" customWidth="1"/>
    <col min="10249" max="10249" width="45.7109375" style="55" customWidth="1"/>
    <col min="10250" max="10493" width="9.140625" style="55"/>
    <col min="10494" max="10494" width="6.85546875" style="55" customWidth="1"/>
    <col min="10495" max="10495" width="26.28515625" style="55" customWidth="1"/>
    <col min="10496" max="10496" width="94.7109375" style="55" customWidth="1"/>
    <col min="10497" max="10497" width="10.5703125" style="55" customWidth="1"/>
    <col min="10498" max="10498" width="24" style="55" customWidth="1"/>
    <col min="10499" max="10499" width="24.5703125" style="55" bestFit="1" customWidth="1"/>
    <col min="10500" max="10500" width="17.7109375" style="55" bestFit="1" customWidth="1"/>
    <col min="10501" max="10501" width="17.42578125" style="55" bestFit="1" customWidth="1"/>
    <col min="10502" max="10502" width="17.5703125" style="55" bestFit="1" customWidth="1"/>
    <col min="10503" max="10503" width="9.28515625" style="55" bestFit="1" customWidth="1"/>
    <col min="10504" max="10504" width="10.28515625" style="55" bestFit="1" customWidth="1"/>
    <col min="10505" max="10505" width="45.7109375" style="55" customWidth="1"/>
    <col min="10506" max="10749" width="9.140625" style="55"/>
    <col min="10750" max="10750" width="6.85546875" style="55" customWidth="1"/>
    <col min="10751" max="10751" width="26.28515625" style="55" customWidth="1"/>
    <col min="10752" max="10752" width="94.7109375" style="55" customWidth="1"/>
    <col min="10753" max="10753" width="10.5703125" style="55" customWidth="1"/>
    <col min="10754" max="10754" width="24" style="55" customWidth="1"/>
    <col min="10755" max="10755" width="24.5703125" style="55" bestFit="1" customWidth="1"/>
    <col min="10756" max="10756" width="17.7109375" style="55" bestFit="1" customWidth="1"/>
    <col min="10757" max="10757" width="17.42578125" style="55" bestFit="1" customWidth="1"/>
    <col min="10758" max="10758" width="17.5703125" style="55" bestFit="1" customWidth="1"/>
    <col min="10759" max="10759" width="9.28515625" style="55" bestFit="1" customWidth="1"/>
    <col min="10760" max="10760" width="10.28515625" style="55" bestFit="1" customWidth="1"/>
    <col min="10761" max="10761" width="45.7109375" style="55" customWidth="1"/>
    <col min="10762" max="11005" width="9.140625" style="55"/>
    <col min="11006" max="11006" width="6.85546875" style="55" customWidth="1"/>
    <col min="11007" max="11007" width="26.28515625" style="55" customWidth="1"/>
    <col min="11008" max="11008" width="94.7109375" style="55" customWidth="1"/>
    <col min="11009" max="11009" width="10.5703125" style="55" customWidth="1"/>
    <col min="11010" max="11010" width="24" style="55" customWidth="1"/>
    <col min="11011" max="11011" width="24.5703125" style="55" bestFit="1" customWidth="1"/>
    <col min="11012" max="11012" width="17.7109375" style="55" bestFit="1" customWidth="1"/>
    <col min="11013" max="11013" width="17.42578125" style="55" bestFit="1" customWidth="1"/>
    <col min="11014" max="11014" width="17.5703125" style="55" bestFit="1" customWidth="1"/>
    <col min="11015" max="11015" width="9.28515625" style="55" bestFit="1" customWidth="1"/>
    <col min="11016" max="11016" width="10.28515625" style="55" bestFit="1" customWidth="1"/>
    <col min="11017" max="11017" width="45.7109375" style="55" customWidth="1"/>
    <col min="11018" max="11261" width="9.140625" style="55"/>
    <col min="11262" max="11262" width="6.85546875" style="55" customWidth="1"/>
    <col min="11263" max="11263" width="26.28515625" style="55" customWidth="1"/>
    <col min="11264" max="11264" width="94.7109375" style="55" customWidth="1"/>
    <col min="11265" max="11265" width="10.5703125" style="55" customWidth="1"/>
    <col min="11266" max="11266" width="24" style="55" customWidth="1"/>
    <col min="11267" max="11267" width="24.5703125" style="55" bestFit="1" customWidth="1"/>
    <col min="11268" max="11268" width="17.7109375" style="55" bestFit="1" customWidth="1"/>
    <col min="11269" max="11269" width="17.42578125" style="55" bestFit="1" customWidth="1"/>
    <col min="11270" max="11270" width="17.5703125" style="55" bestFit="1" customWidth="1"/>
    <col min="11271" max="11271" width="9.28515625" style="55" bestFit="1" customWidth="1"/>
    <col min="11272" max="11272" width="10.28515625" style="55" bestFit="1" customWidth="1"/>
    <col min="11273" max="11273" width="45.7109375" style="55" customWidth="1"/>
    <col min="11274" max="11517" width="9.140625" style="55"/>
    <col min="11518" max="11518" width="6.85546875" style="55" customWidth="1"/>
    <col min="11519" max="11519" width="26.28515625" style="55" customWidth="1"/>
    <col min="11520" max="11520" width="94.7109375" style="55" customWidth="1"/>
    <col min="11521" max="11521" width="10.5703125" style="55" customWidth="1"/>
    <col min="11522" max="11522" width="24" style="55" customWidth="1"/>
    <col min="11523" max="11523" width="24.5703125" style="55" bestFit="1" customWidth="1"/>
    <col min="11524" max="11524" width="17.7109375" style="55" bestFit="1" customWidth="1"/>
    <col min="11525" max="11525" width="17.42578125" style="55" bestFit="1" customWidth="1"/>
    <col min="11526" max="11526" width="17.5703125" style="55" bestFit="1" customWidth="1"/>
    <col min="11527" max="11527" width="9.28515625" style="55" bestFit="1" customWidth="1"/>
    <col min="11528" max="11528" width="10.28515625" style="55" bestFit="1" customWidth="1"/>
    <col min="11529" max="11529" width="45.7109375" style="55" customWidth="1"/>
    <col min="11530" max="11773" width="9.140625" style="55"/>
    <col min="11774" max="11774" width="6.85546875" style="55" customWidth="1"/>
    <col min="11775" max="11775" width="26.28515625" style="55" customWidth="1"/>
    <col min="11776" max="11776" width="94.7109375" style="55" customWidth="1"/>
    <col min="11777" max="11777" width="10.5703125" style="55" customWidth="1"/>
    <col min="11778" max="11778" width="24" style="55" customWidth="1"/>
    <col min="11779" max="11779" width="24.5703125" style="55" bestFit="1" customWidth="1"/>
    <col min="11780" max="11780" width="17.7109375" style="55" bestFit="1" customWidth="1"/>
    <col min="11781" max="11781" width="17.42578125" style="55" bestFit="1" customWidth="1"/>
    <col min="11782" max="11782" width="17.5703125" style="55" bestFit="1" customWidth="1"/>
    <col min="11783" max="11783" width="9.28515625" style="55" bestFit="1" customWidth="1"/>
    <col min="11784" max="11784" width="10.28515625" style="55" bestFit="1" customWidth="1"/>
    <col min="11785" max="11785" width="45.7109375" style="55" customWidth="1"/>
    <col min="11786" max="12029" width="9.140625" style="55"/>
    <col min="12030" max="12030" width="6.85546875" style="55" customWidth="1"/>
    <col min="12031" max="12031" width="26.28515625" style="55" customWidth="1"/>
    <col min="12032" max="12032" width="94.7109375" style="55" customWidth="1"/>
    <col min="12033" max="12033" width="10.5703125" style="55" customWidth="1"/>
    <col min="12034" max="12034" width="24" style="55" customWidth="1"/>
    <col min="12035" max="12035" width="24.5703125" style="55" bestFit="1" customWidth="1"/>
    <col min="12036" max="12036" width="17.7109375" style="55" bestFit="1" customWidth="1"/>
    <col min="12037" max="12037" width="17.42578125" style="55" bestFit="1" customWidth="1"/>
    <col min="12038" max="12038" width="17.5703125" style="55" bestFit="1" customWidth="1"/>
    <col min="12039" max="12039" width="9.28515625" style="55" bestFit="1" customWidth="1"/>
    <col min="12040" max="12040" width="10.28515625" style="55" bestFit="1" customWidth="1"/>
    <col min="12041" max="12041" width="45.7109375" style="55" customWidth="1"/>
    <col min="12042" max="12285" width="9.140625" style="55"/>
    <col min="12286" max="12286" width="6.85546875" style="55" customWidth="1"/>
    <col min="12287" max="12287" width="26.28515625" style="55" customWidth="1"/>
    <col min="12288" max="12288" width="94.7109375" style="55" customWidth="1"/>
    <col min="12289" max="12289" width="10.5703125" style="55" customWidth="1"/>
    <col min="12290" max="12290" width="24" style="55" customWidth="1"/>
    <col min="12291" max="12291" width="24.5703125" style="55" bestFit="1" customWidth="1"/>
    <col min="12292" max="12292" width="17.7109375" style="55" bestFit="1" customWidth="1"/>
    <col min="12293" max="12293" width="17.42578125" style="55" bestFit="1" customWidth="1"/>
    <col min="12294" max="12294" width="17.5703125" style="55" bestFit="1" customWidth="1"/>
    <col min="12295" max="12295" width="9.28515625" style="55" bestFit="1" customWidth="1"/>
    <col min="12296" max="12296" width="10.28515625" style="55" bestFit="1" customWidth="1"/>
    <col min="12297" max="12297" width="45.7109375" style="55" customWidth="1"/>
    <col min="12298" max="12541" width="9.140625" style="55"/>
    <col min="12542" max="12542" width="6.85546875" style="55" customWidth="1"/>
    <col min="12543" max="12543" width="26.28515625" style="55" customWidth="1"/>
    <col min="12544" max="12544" width="94.7109375" style="55" customWidth="1"/>
    <col min="12545" max="12545" width="10.5703125" style="55" customWidth="1"/>
    <col min="12546" max="12546" width="24" style="55" customWidth="1"/>
    <col min="12547" max="12547" width="24.5703125" style="55" bestFit="1" customWidth="1"/>
    <col min="12548" max="12548" width="17.7109375" style="55" bestFit="1" customWidth="1"/>
    <col min="12549" max="12549" width="17.42578125" style="55" bestFit="1" customWidth="1"/>
    <col min="12550" max="12550" width="17.5703125" style="55" bestFit="1" customWidth="1"/>
    <col min="12551" max="12551" width="9.28515625" style="55" bestFit="1" customWidth="1"/>
    <col min="12552" max="12552" width="10.28515625" style="55" bestFit="1" customWidth="1"/>
    <col min="12553" max="12553" width="45.7109375" style="55" customWidth="1"/>
    <col min="12554" max="12797" width="9.140625" style="55"/>
    <col min="12798" max="12798" width="6.85546875" style="55" customWidth="1"/>
    <col min="12799" max="12799" width="26.28515625" style="55" customWidth="1"/>
    <col min="12800" max="12800" width="94.7109375" style="55" customWidth="1"/>
    <col min="12801" max="12801" width="10.5703125" style="55" customWidth="1"/>
    <col min="12802" max="12802" width="24" style="55" customWidth="1"/>
    <col min="12803" max="12803" width="24.5703125" style="55" bestFit="1" customWidth="1"/>
    <col min="12804" max="12804" width="17.7109375" style="55" bestFit="1" customWidth="1"/>
    <col min="12805" max="12805" width="17.42578125" style="55" bestFit="1" customWidth="1"/>
    <col min="12806" max="12806" width="17.5703125" style="55" bestFit="1" customWidth="1"/>
    <col min="12807" max="12807" width="9.28515625" style="55" bestFit="1" customWidth="1"/>
    <col min="12808" max="12808" width="10.28515625" style="55" bestFit="1" customWidth="1"/>
    <col min="12809" max="12809" width="45.7109375" style="55" customWidth="1"/>
    <col min="12810" max="13053" width="9.140625" style="55"/>
    <col min="13054" max="13054" width="6.85546875" style="55" customWidth="1"/>
    <col min="13055" max="13055" width="26.28515625" style="55" customWidth="1"/>
    <col min="13056" max="13056" width="94.7109375" style="55" customWidth="1"/>
    <col min="13057" max="13057" width="10.5703125" style="55" customWidth="1"/>
    <col min="13058" max="13058" width="24" style="55" customWidth="1"/>
    <col min="13059" max="13059" width="24.5703125" style="55" bestFit="1" customWidth="1"/>
    <col min="13060" max="13060" width="17.7109375" style="55" bestFit="1" customWidth="1"/>
    <col min="13061" max="13061" width="17.42578125" style="55" bestFit="1" customWidth="1"/>
    <col min="13062" max="13062" width="17.5703125" style="55" bestFit="1" customWidth="1"/>
    <col min="13063" max="13063" width="9.28515625" style="55" bestFit="1" customWidth="1"/>
    <col min="13064" max="13064" width="10.28515625" style="55" bestFit="1" customWidth="1"/>
    <col min="13065" max="13065" width="45.7109375" style="55" customWidth="1"/>
    <col min="13066" max="13309" width="9.140625" style="55"/>
    <col min="13310" max="13310" width="6.85546875" style="55" customWidth="1"/>
    <col min="13311" max="13311" width="26.28515625" style="55" customWidth="1"/>
    <col min="13312" max="13312" width="94.7109375" style="55" customWidth="1"/>
    <col min="13313" max="13313" width="10.5703125" style="55" customWidth="1"/>
    <col min="13314" max="13314" width="24" style="55" customWidth="1"/>
    <col min="13315" max="13315" width="24.5703125" style="55" bestFit="1" customWidth="1"/>
    <col min="13316" max="13316" width="17.7109375" style="55" bestFit="1" customWidth="1"/>
    <col min="13317" max="13317" width="17.42578125" style="55" bestFit="1" customWidth="1"/>
    <col min="13318" max="13318" width="17.5703125" style="55" bestFit="1" customWidth="1"/>
    <col min="13319" max="13319" width="9.28515625" style="55" bestFit="1" customWidth="1"/>
    <col min="13320" max="13320" width="10.28515625" style="55" bestFit="1" customWidth="1"/>
    <col min="13321" max="13321" width="45.7109375" style="55" customWidth="1"/>
    <col min="13322" max="13565" width="9.140625" style="55"/>
    <col min="13566" max="13566" width="6.85546875" style="55" customWidth="1"/>
    <col min="13567" max="13567" width="26.28515625" style="55" customWidth="1"/>
    <col min="13568" max="13568" width="94.7109375" style="55" customWidth="1"/>
    <col min="13569" max="13569" width="10.5703125" style="55" customWidth="1"/>
    <col min="13570" max="13570" width="24" style="55" customWidth="1"/>
    <col min="13571" max="13571" width="24.5703125" style="55" bestFit="1" customWidth="1"/>
    <col min="13572" max="13572" width="17.7109375" style="55" bestFit="1" customWidth="1"/>
    <col min="13573" max="13573" width="17.42578125" style="55" bestFit="1" customWidth="1"/>
    <col min="13574" max="13574" width="17.5703125" style="55" bestFit="1" customWidth="1"/>
    <col min="13575" max="13575" width="9.28515625" style="55" bestFit="1" customWidth="1"/>
    <col min="13576" max="13576" width="10.28515625" style="55" bestFit="1" customWidth="1"/>
    <col min="13577" max="13577" width="45.7109375" style="55" customWidth="1"/>
    <col min="13578" max="13821" width="9.140625" style="55"/>
    <col min="13822" max="13822" width="6.85546875" style="55" customWidth="1"/>
    <col min="13823" max="13823" width="26.28515625" style="55" customWidth="1"/>
    <col min="13824" max="13824" width="94.7109375" style="55" customWidth="1"/>
    <col min="13825" max="13825" width="10.5703125" style="55" customWidth="1"/>
    <col min="13826" max="13826" width="24" style="55" customWidth="1"/>
    <col min="13827" max="13827" width="24.5703125" style="55" bestFit="1" customWidth="1"/>
    <col min="13828" max="13828" width="17.7109375" style="55" bestFit="1" customWidth="1"/>
    <col min="13829" max="13829" width="17.42578125" style="55" bestFit="1" customWidth="1"/>
    <col min="13830" max="13830" width="17.5703125" style="55" bestFit="1" customWidth="1"/>
    <col min="13831" max="13831" width="9.28515625" style="55" bestFit="1" customWidth="1"/>
    <col min="13832" max="13832" width="10.28515625" style="55" bestFit="1" customWidth="1"/>
    <col min="13833" max="13833" width="45.7109375" style="55" customWidth="1"/>
    <col min="13834" max="14077" width="9.140625" style="55"/>
    <col min="14078" max="14078" width="6.85546875" style="55" customWidth="1"/>
    <col min="14079" max="14079" width="26.28515625" style="55" customWidth="1"/>
    <col min="14080" max="14080" width="94.7109375" style="55" customWidth="1"/>
    <col min="14081" max="14081" width="10.5703125" style="55" customWidth="1"/>
    <col min="14082" max="14082" width="24" style="55" customWidth="1"/>
    <col min="14083" max="14083" width="24.5703125" style="55" bestFit="1" customWidth="1"/>
    <col min="14084" max="14084" width="17.7109375" style="55" bestFit="1" customWidth="1"/>
    <col min="14085" max="14085" width="17.42578125" style="55" bestFit="1" customWidth="1"/>
    <col min="14086" max="14086" width="17.5703125" style="55" bestFit="1" customWidth="1"/>
    <col min="14087" max="14087" width="9.28515625" style="55" bestFit="1" customWidth="1"/>
    <col min="14088" max="14088" width="10.28515625" style="55" bestFit="1" customWidth="1"/>
    <col min="14089" max="14089" width="45.7109375" style="55" customWidth="1"/>
    <col min="14090" max="14333" width="9.140625" style="55"/>
    <col min="14334" max="14334" width="6.85546875" style="55" customWidth="1"/>
    <col min="14335" max="14335" width="26.28515625" style="55" customWidth="1"/>
    <col min="14336" max="14336" width="94.7109375" style="55" customWidth="1"/>
    <col min="14337" max="14337" width="10.5703125" style="55" customWidth="1"/>
    <col min="14338" max="14338" width="24" style="55" customWidth="1"/>
    <col min="14339" max="14339" width="24.5703125" style="55" bestFit="1" customWidth="1"/>
    <col min="14340" max="14340" width="17.7109375" style="55" bestFit="1" customWidth="1"/>
    <col min="14341" max="14341" width="17.42578125" style="55" bestFit="1" customWidth="1"/>
    <col min="14342" max="14342" width="17.5703125" style="55" bestFit="1" customWidth="1"/>
    <col min="14343" max="14343" width="9.28515625" style="55" bestFit="1" customWidth="1"/>
    <col min="14344" max="14344" width="10.28515625" style="55" bestFit="1" customWidth="1"/>
    <col min="14345" max="14345" width="45.7109375" style="55" customWidth="1"/>
    <col min="14346" max="14589" width="9.140625" style="55"/>
    <col min="14590" max="14590" width="6.85546875" style="55" customWidth="1"/>
    <col min="14591" max="14591" width="26.28515625" style="55" customWidth="1"/>
    <col min="14592" max="14592" width="94.7109375" style="55" customWidth="1"/>
    <col min="14593" max="14593" width="10.5703125" style="55" customWidth="1"/>
    <col min="14594" max="14594" width="24" style="55" customWidth="1"/>
    <col min="14595" max="14595" width="24.5703125" style="55" bestFit="1" customWidth="1"/>
    <col min="14596" max="14596" width="17.7109375" style="55" bestFit="1" customWidth="1"/>
    <col min="14597" max="14597" width="17.42578125" style="55" bestFit="1" customWidth="1"/>
    <col min="14598" max="14598" width="17.5703125" style="55" bestFit="1" customWidth="1"/>
    <col min="14599" max="14599" width="9.28515625" style="55" bestFit="1" customWidth="1"/>
    <col min="14600" max="14600" width="10.28515625" style="55" bestFit="1" customWidth="1"/>
    <col min="14601" max="14601" width="45.7109375" style="55" customWidth="1"/>
    <col min="14602" max="14845" width="9.140625" style="55"/>
    <col min="14846" max="14846" width="6.85546875" style="55" customWidth="1"/>
    <col min="14847" max="14847" width="26.28515625" style="55" customWidth="1"/>
    <col min="14848" max="14848" width="94.7109375" style="55" customWidth="1"/>
    <col min="14849" max="14849" width="10.5703125" style="55" customWidth="1"/>
    <col min="14850" max="14850" width="24" style="55" customWidth="1"/>
    <col min="14851" max="14851" width="24.5703125" style="55" bestFit="1" customWidth="1"/>
    <col min="14852" max="14852" width="17.7109375" style="55" bestFit="1" customWidth="1"/>
    <col min="14853" max="14853" width="17.42578125" style="55" bestFit="1" customWidth="1"/>
    <col min="14854" max="14854" width="17.5703125" style="55" bestFit="1" customWidth="1"/>
    <col min="14855" max="14855" width="9.28515625" style="55" bestFit="1" customWidth="1"/>
    <col min="14856" max="14856" width="10.28515625" style="55" bestFit="1" customWidth="1"/>
    <col min="14857" max="14857" width="45.7109375" style="55" customWidth="1"/>
    <col min="14858" max="15101" width="9.140625" style="55"/>
    <col min="15102" max="15102" width="6.85546875" style="55" customWidth="1"/>
    <col min="15103" max="15103" width="26.28515625" style="55" customWidth="1"/>
    <col min="15104" max="15104" width="94.7109375" style="55" customWidth="1"/>
    <col min="15105" max="15105" width="10.5703125" style="55" customWidth="1"/>
    <col min="15106" max="15106" width="24" style="55" customWidth="1"/>
    <col min="15107" max="15107" width="24.5703125" style="55" bestFit="1" customWidth="1"/>
    <col min="15108" max="15108" width="17.7109375" style="55" bestFit="1" customWidth="1"/>
    <col min="15109" max="15109" width="17.42578125" style="55" bestFit="1" customWidth="1"/>
    <col min="15110" max="15110" width="17.5703125" style="55" bestFit="1" customWidth="1"/>
    <col min="15111" max="15111" width="9.28515625" style="55" bestFit="1" customWidth="1"/>
    <col min="15112" max="15112" width="10.28515625" style="55" bestFit="1" customWidth="1"/>
    <col min="15113" max="15113" width="45.7109375" style="55" customWidth="1"/>
    <col min="15114" max="15357" width="9.140625" style="55"/>
    <col min="15358" max="15358" width="6.85546875" style="55" customWidth="1"/>
    <col min="15359" max="15359" width="26.28515625" style="55" customWidth="1"/>
    <col min="15360" max="15360" width="94.7109375" style="55" customWidth="1"/>
    <col min="15361" max="15361" width="10.5703125" style="55" customWidth="1"/>
    <col min="15362" max="15362" width="24" style="55" customWidth="1"/>
    <col min="15363" max="15363" width="24.5703125" style="55" bestFit="1" customWidth="1"/>
    <col min="15364" max="15364" width="17.7109375" style="55" bestFit="1" customWidth="1"/>
    <col min="15365" max="15365" width="17.42578125" style="55" bestFit="1" customWidth="1"/>
    <col min="15366" max="15366" width="17.5703125" style="55" bestFit="1" customWidth="1"/>
    <col min="15367" max="15367" width="9.28515625" style="55" bestFit="1" customWidth="1"/>
    <col min="15368" max="15368" width="10.28515625" style="55" bestFit="1" customWidth="1"/>
    <col min="15369" max="15369" width="45.7109375" style="55" customWidth="1"/>
    <col min="15370" max="15613" width="9.140625" style="55"/>
    <col min="15614" max="15614" width="6.85546875" style="55" customWidth="1"/>
    <col min="15615" max="15615" width="26.28515625" style="55" customWidth="1"/>
    <col min="15616" max="15616" width="94.7109375" style="55" customWidth="1"/>
    <col min="15617" max="15617" width="10.5703125" style="55" customWidth="1"/>
    <col min="15618" max="15618" width="24" style="55" customWidth="1"/>
    <col min="15619" max="15619" width="24.5703125" style="55" bestFit="1" customWidth="1"/>
    <col min="15620" max="15620" width="17.7109375" style="55" bestFit="1" customWidth="1"/>
    <col min="15621" max="15621" width="17.42578125" style="55" bestFit="1" customWidth="1"/>
    <col min="15622" max="15622" width="17.5703125" style="55" bestFit="1" customWidth="1"/>
    <col min="15623" max="15623" width="9.28515625" style="55" bestFit="1" customWidth="1"/>
    <col min="15624" max="15624" width="10.28515625" style="55" bestFit="1" customWidth="1"/>
    <col min="15625" max="15625" width="45.7109375" style="55" customWidth="1"/>
    <col min="15626" max="15869" width="9.140625" style="55"/>
    <col min="15870" max="15870" width="6.85546875" style="55" customWidth="1"/>
    <col min="15871" max="15871" width="26.28515625" style="55" customWidth="1"/>
    <col min="15872" max="15872" width="94.7109375" style="55" customWidth="1"/>
    <col min="15873" max="15873" width="10.5703125" style="55" customWidth="1"/>
    <col min="15874" max="15874" width="24" style="55" customWidth="1"/>
    <col min="15875" max="15875" width="24.5703125" style="55" bestFit="1" customWidth="1"/>
    <col min="15876" max="15876" width="17.7109375" style="55" bestFit="1" customWidth="1"/>
    <col min="15877" max="15877" width="17.42578125" style="55" bestFit="1" customWidth="1"/>
    <col min="15878" max="15878" width="17.5703125" style="55" bestFit="1" customWidth="1"/>
    <col min="15879" max="15879" width="9.28515625" style="55" bestFit="1" customWidth="1"/>
    <col min="15880" max="15880" width="10.28515625" style="55" bestFit="1" customWidth="1"/>
    <col min="15881" max="15881" width="45.7109375" style="55" customWidth="1"/>
    <col min="15882" max="16125" width="9.140625" style="55"/>
    <col min="16126" max="16126" width="6.85546875" style="55" customWidth="1"/>
    <col min="16127" max="16127" width="26.28515625" style="55" customWidth="1"/>
    <col min="16128" max="16128" width="94.7109375" style="55" customWidth="1"/>
    <col min="16129" max="16129" width="10.5703125" style="55" customWidth="1"/>
    <col min="16130" max="16130" width="24" style="55" customWidth="1"/>
    <col min="16131" max="16131" width="24.5703125" style="55" bestFit="1" customWidth="1"/>
    <col min="16132" max="16132" width="17.7109375" style="55" bestFit="1" customWidth="1"/>
    <col min="16133" max="16133" width="17.42578125" style="55" bestFit="1" customWidth="1"/>
    <col min="16134" max="16134" width="17.5703125" style="55" bestFit="1" customWidth="1"/>
    <col min="16135" max="16135" width="9.28515625" style="55" bestFit="1" customWidth="1"/>
    <col min="16136" max="16136" width="10.28515625" style="55" bestFit="1" customWidth="1"/>
    <col min="16137" max="16137" width="45.7109375" style="55" customWidth="1"/>
    <col min="16138" max="16384" width="9.140625" style="55"/>
  </cols>
  <sheetData>
    <row r="1" spans="1:9" s="47" customFormat="1" ht="26.25">
      <c r="A1" s="1"/>
      <c r="B1" s="2"/>
      <c r="C1" s="359" t="s">
        <v>0</v>
      </c>
      <c r="D1" s="359"/>
      <c r="E1" s="360"/>
      <c r="F1" s="3"/>
      <c r="G1" s="4"/>
      <c r="H1" s="45"/>
      <c r="I1" s="46"/>
    </row>
    <row r="2" spans="1:9" s="47" customFormat="1" ht="26.25">
      <c r="A2" s="5"/>
      <c r="B2" s="6"/>
      <c r="C2" s="361" t="s">
        <v>1</v>
      </c>
      <c r="D2" s="361"/>
      <c r="E2" s="362"/>
      <c r="F2" s="7"/>
      <c r="G2" s="8"/>
      <c r="H2" s="48"/>
      <c r="I2" s="49"/>
    </row>
    <row r="3" spans="1:9" s="47" customFormat="1" ht="26.25">
      <c r="A3" s="5"/>
      <c r="B3" s="6"/>
      <c r="C3" s="361" t="s">
        <v>2</v>
      </c>
      <c r="D3" s="361"/>
      <c r="E3" s="362"/>
      <c r="F3" s="363"/>
      <c r="G3" s="364"/>
      <c r="H3" s="364"/>
      <c r="I3" s="365"/>
    </row>
    <row r="4" spans="1:9" s="47" customFormat="1" ht="39.75" customHeight="1">
      <c r="A4" s="5"/>
      <c r="B4" s="6"/>
      <c r="C4" s="347" t="s">
        <v>62</v>
      </c>
      <c r="D4" s="347"/>
      <c r="E4" s="348"/>
      <c r="F4" s="366" t="s">
        <v>2101</v>
      </c>
      <c r="G4" s="367"/>
      <c r="H4" s="367"/>
      <c r="I4" s="368"/>
    </row>
    <row r="5" spans="1:9" s="47" customFormat="1" ht="23.25" customHeight="1">
      <c r="A5" s="5"/>
      <c r="B5" s="6"/>
      <c r="C5" s="347" t="s">
        <v>54</v>
      </c>
      <c r="D5" s="347"/>
      <c r="E5" s="348"/>
      <c r="F5" s="349" t="s">
        <v>60</v>
      </c>
      <c r="G5" s="350"/>
      <c r="H5" s="350"/>
      <c r="I5" s="351"/>
    </row>
    <row r="6" spans="1:9" s="47" customFormat="1" ht="23.25">
      <c r="A6" s="5"/>
      <c r="B6" s="6"/>
      <c r="C6" s="352" t="s">
        <v>1627</v>
      </c>
      <c r="D6" s="352"/>
      <c r="E6" s="353"/>
      <c r="F6" s="354" t="s">
        <v>61</v>
      </c>
      <c r="G6" s="355"/>
      <c r="H6" s="355"/>
      <c r="I6" s="356"/>
    </row>
    <row r="7" spans="1:9" s="47" customFormat="1" ht="23.25">
      <c r="A7" s="5"/>
      <c r="B7" s="6"/>
      <c r="C7" s="357"/>
      <c r="D7" s="357"/>
      <c r="E7" s="358"/>
      <c r="F7" s="354" t="s">
        <v>41</v>
      </c>
      <c r="G7" s="355"/>
      <c r="H7" s="355"/>
      <c r="I7" s="356"/>
    </row>
    <row r="8" spans="1:9" s="47" customFormat="1" ht="20.25">
      <c r="A8" s="9"/>
      <c r="B8" s="10"/>
      <c r="C8" s="11"/>
      <c r="D8" s="50"/>
      <c r="E8" s="12"/>
      <c r="F8" s="337" t="s">
        <v>3</v>
      </c>
      <c r="G8" s="338"/>
      <c r="H8" s="338"/>
      <c r="I8" s="339"/>
    </row>
    <row r="9" spans="1:9" s="47" customFormat="1" ht="18" customHeight="1">
      <c r="A9" s="340" t="s">
        <v>1859</v>
      </c>
      <c r="B9" s="341"/>
      <c r="C9" s="341"/>
      <c r="D9" s="341"/>
      <c r="E9" s="341"/>
      <c r="F9" s="341"/>
      <c r="G9" s="341"/>
      <c r="H9" s="341"/>
      <c r="I9" s="341"/>
    </row>
    <row r="10" spans="1:9" s="47" customFormat="1" ht="18.75">
      <c r="A10" s="342" t="s">
        <v>4</v>
      </c>
      <c r="B10" s="343" t="s">
        <v>5</v>
      </c>
      <c r="C10" s="344" t="s">
        <v>6</v>
      </c>
      <c r="D10" s="342" t="s">
        <v>7</v>
      </c>
      <c r="E10" s="345" t="s">
        <v>8</v>
      </c>
      <c r="F10" s="346" t="s">
        <v>9</v>
      </c>
      <c r="G10" s="346"/>
      <c r="H10" s="346"/>
      <c r="I10" s="346"/>
    </row>
    <row r="11" spans="1:9" s="47" customFormat="1" ht="18.75">
      <c r="A11" s="342"/>
      <c r="B11" s="343"/>
      <c r="C11" s="344"/>
      <c r="D11" s="342"/>
      <c r="E11" s="345"/>
      <c r="F11" s="51" t="s">
        <v>10</v>
      </c>
      <c r="G11" s="51" t="s">
        <v>11</v>
      </c>
      <c r="H11" s="51" t="s">
        <v>12</v>
      </c>
      <c r="I11" s="327" t="s">
        <v>13</v>
      </c>
    </row>
    <row r="12" spans="1:9" ht="14.25" customHeight="1">
      <c r="A12" s="53" t="s">
        <v>14</v>
      </c>
      <c r="B12" s="54"/>
      <c r="C12" s="334" t="s">
        <v>15</v>
      </c>
      <c r="D12" s="334"/>
      <c r="E12" s="334"/>
      <c r="F12" s="334"/>
      <c r="G12" s="334"/>
      <c r="H12" s="334"/>
      <c r="I12" s="334"/>
    </row>
    <row r="13" spans="1:9" s="57" customFormat="1" ht="45">
      <c r="A13" s="116" t="s">
        <v>16</v>
      </c>
      <c r="B13" s="117" t="s">
        <v>1603</v>
      </c>
      <c r="C13" s="118" t="s">
        <v>1604</v>
      </c>
      <c r="D13" s="119" t="s">
        <v>17</v>
      </c>
      <c r="E13" s="120">
        <v>12</v>
      </c>
      <c r="F13" s="121">
        <f>TRUNC('MEMÓRIA DESONERADA'!F13,2)</f>
        <v>124.01</v>
      </c>
      <c r="G13" s="121">
        <f t="shared" ref="G13:G44" si="0">TRUNC(F13*1.2882,2)</f>
        <v>159.74</v>
      </c>
      <c r="H13" s="121">
        <f t="shared" ref="H13:H44" si="1">TRUNC(F13*E13,2)</f>
        <v>1488.12</v>
      </c>
      <c r="I13" s="122">
        <f t="shared" ref="I13:I44" si="2">TRUNC(E13*G13,2)</f>
        <v>1916.88</v>
      </c>
    </row>
    <row r="14" spans="1:9" s="57" customFormat="1" ht="30">
      <c r="A14" s="116" t="s">
        <v>64</v>
      </c>
      <c r="B14" s="117" t="s">
        <v>81</v>
      </c>
      <c r="C14" s="118" t="s">
        <v>65</v>
      </c>
      <c r="D14" s="119" t="s">
        <v>7</v>
      </c>
      <c r="E14" s="120">
        <v>53</v>
      </c>
      <c r="F14" s="121">
        <f>TRUNC('MEMÓRIA DESONERADA'!F18,2)</f>
        <v>22.13</v>
      </c>
      <c r="G14" s="121">
        <f t="shared" si="0"/>
        <v>28.5</v>
      </c>
      <c r="H14" s="121">
        <f t="shared" si="1"/>
        <v>1172.8900000000001</v>
      </c>
      <c r="I14" s="122">
        <f t="shared" si="2"/>
        <v>1510.5</v>
      </c>
    </row>
    <row r="15" spans="1:9" s="57" customFormat="1" ht="15">
      <c r="A15" s="116" t="s">
        <v>68</v>
      </c>
      <c r="B15" s="117" t="s">
        <v>80</v>
      </c>
      <c r="C15" s="118" t="s">
        <v>67</v>
      </c>
      <c r="D15" s="119" t="s">
        <v>17</v>
      </c>
      <c r="E15" s="120">
        <v>55.3</v>
      </c>
      <c r="F15" s="121">
        <f>TRUNC('MEMÓRIA DESONERADA'!F23,2)</f>
        <v>15.65</v>
      </c>
      <c r="G15" s="121">
        <f t="shared" si="0"/>
        <v>20.16</v>
      </c>
      <c r="H15" s="121">
        <f t="shared" si="1"/>
        <v>865.44</v>
      </c>
      <c r="I15" s="122">
        <f t="shared" si="2"/>
        <v>1114.8399999999999</v>
      </c>
    </row>
    <row r="16" spans="1:9" s="57" customFormat="1" ht="30">
      <c r="A16" s="116" t="s">
        <v>69</v>
      </c>
      <c r="B16" s="117" t="s">
        <v>79</v>
      </c>
      <c r="C16" s="118" t="s">
        <v>70</v>
      </c>
      <c r="D16" s="119" t="s">
        <v>55</v>
      </c>
      <c r="E16" s="120">
        <v>75</v>
      </c>
      <c r="F16" s="121">
        <f>TRUNC('MEMÓRIA DESONERADA'!F27,2)</f>
        <v>80.180000000000007</v>
      </c>
      <c r="G16" s="121">
        <f t="shared" si="0"/>
        <v>103.28</v>
      </c>
      <c r="H16" s="121">
        <f t="shared" si="1"/>
        <v>6013.5</v>
      </c>
      <c r="I16" s="122">
        <f t="shared" si="2"/>
        <v>7746</v>
      </c>
    </row>
    <row r="17" spans="1:13" s="57" customFormat="1" ht="15">
      <c r="A17" s="116" t="s">
        <v>71</v>
      </c>
      <c r="B17" s="117" t="s">
        <v>78</v>
      </c>
      <c r="C17" s="118" t="s">
        <v>72</v>
      </c>
      <c r="D17" s="119" t="s">
        <v>7</v>
      </c>
      <c r="E17" s="120">
        <v>14</v>
      </c>
      <c r="F17" s="121">
        <f>TRUNC('MEMÓRIA DESONERADA'!F32,2)</f>
        <v>18.63</v>
      </c>
      <c r="G17" s="121">
        <f t="shared" si="0"/>
        <v>23.99</v>
      </c>
      <c r="H17" s="121">
        <f t="shared" si="1"/>
        <v>260.82</v>
      </c>
      <c r="I17" s="122">
        <f t="shared" si="2"/>
        <v>335.86</v>
      </c>
    </row>
    <row r="18" spans="1:13" s="57" customFormat="1" ht="30">
      <c r="A18" s="116" t="s">
        <v>73</v>
      </c>
      <c r="B18" s="117" t="s">
        <v>74</v>
      </c>
      <c r="C18" s="118" t="s">
        <v>75</v>
      </c>
      <c r="D18" s="119" t="s">
        <v>23</v>
      </c>
      <c r="E18" s="120">
        <v>4</v>
      </c>
      <c r="F18" s="121">
        <f>TRUNC('MEMÓRIA DESONERADA'!F37,2)</f>
        <v>37.28</v>
      </c>
      <c r="G18" s="121">
        <f t="shared" si="0"/>
        <v>48.02</v>
      </c>
      <c r="H18" s="121">
        <f t="shared" si="1"/>
        <v>149.12</v>
      </c>
      <c r="I18" s="122">
        <f t="shared" si="2"/>
        <v>192.08</v>
      </c>
    </row>
    <row r="19" spans="1:13" s="57" customFormat="1" ht="30">
      <c r="A19" s="116" t="s">
        <v>84</v>
      </c>
      <c r="B19" s="117" t="s">
        <v>85</v>
      </c>
      <c r="C19" s="118" t="s">
        <v>86</v>
      </c>
      <c r="D19" s="119" t="s">
        <v>23</v>
      </c>
      <c r="E19" s="120">
        <v>232</v>
      </c>
      <c r="F19" s="121">
        <f>TRUNC('MEMÓRIA DESONERADA'!F43,2)</f>
        <v>2.72</v>
      </c>
      <c r="G19" s="121">
        <f t="shared" si="0"/>
        <v>3.5</v>
      </c>
      <c r="H19" s="121">
        <f t="shared" si="1"/>
        <v>631.04</v>
      </c>
      <c r="I19" s="122">
        <f t="shared" si="2"/>
        <v>812</v>
      </c>
    </row>
    <row r="20" spans="1:13" ht="30" customHeight="1">
      <c r="A20" s="116" t="s">
        <v>89</v>
      </c>
      <c r="B20" s="117" t="s">
        <v>90</v>
      </c>
      <c r="C20" s="118" t="s">
        <v>91</v>
      </c>
      <c r="D20" s="119" t="s">
        <v>17</v>
      </c>
      <c r="E20" s="120">
        <v>295</v>
      </c>
      <c r="F20" s="121">
        <f>TRUNC('MEMÓRIA DESONERADA'!F48,2)</f>
        <v>13.73</v>
      </c>
      <c r="G20" s="121">
        <f t="shared" si="0"/>
        <v>17.68</v>
      </c>
      <c r="H20" s="121">
        <f t="shared" si="1"/>
        <v>4050.35</v>
      </c>
      <c r="I20" s="122">
        <f t="shared" si="2"/>
        <v>5215.6000000000004</v>
      </c>
    </row>
    <row r="21" spans="1:13" ht="30" customHeight="1">
      <c r="A21" s="116" t="s">
        <v>98</v>
      </c>
      <c r="B21" s="117" t="s">
        <v>103</v>
      </c>
      <c r="C21" s="118" t="s">
        <v>104</v>
      </c>
      <c r="D21" s="119" t="s">
        <v>17</v>
      </c>
      <c r="E21" s="120">
        <v>24.95</v>
      </c>
      <c r="F21" s="121">
        <f>TRUNC('MEMÓRIA DESONERADA'!F55,2)</f>
        <v>26.6</v>
      </c>
      <c r="G21" s="121">
        <f t="shared" si="0"/>
        <v>34.26</v>
      </c>
      <c r="H21" s="121">
        <f t="shared" si="1"/>
        <v>663.67</v>
      </c>
      <c r="I21" s="122">
        <f t="shared" si="2"/>
        <v>854.78</v>
      </c>
    </row>
    <row r="22" spans="1:13" s="57" customFormat="1" ht="30">
      <c r="A22" s="116" t="s">
        <v>105</v>
      </c>
      <c r="B22" s="117" t="s">
        <v>106</v>
      </c>
      <c r="C22" s="318" t="s">
        <v>107</v>
      </c>
      <c r="D22" s="119" t="s">
        <v>17</v>
      </c>
      <c r="E22" s="120">
        <v>411</v>
      </c>
      <c r="F22" s="121">
        <f>TRUNC('MEMÓRIA DESONERADA'!F62,2)</f>
        <v>23.48</v>
      </c>
      <c r="G22" s="121">
        <f t="shared" si="0"/>
        <v>30.24</v>
      </c>
      <c r="H22" s="121">
        <f t="shared" si="1"/>
        <v>9650.2800000000007</v>
      </c>
      <c r="I22" s="122">
        <f t="shared" si="2"/>
        <v>12428.64</v>
      </c>
    </row>
    <row r="23" spans="1:13" s="57" customFormat="1" ht="30">
      <c r="A23" s="123" t="s">
        <v>108</v>
      </c>
      <c r="B23" s="117" t="s">
        <v>109</v>
      </c>
      <c r="C23" s="318" t="s">
        <v>110</v>
      </c>
      <c r="D23" s="119" t="s">
        <v>55</v>
      </c>
      <c r="E23" s="120">
        <v>3.1</v>
      </c>
      <c r="F23" s="121">
        <f>TRUNC('MEMÓRIA DESONERADA'!F66,2)</f>
        <v>142.08000000000001</v>
      </c>
      <c r="G23" s="121">
        <f t="shared" si="0"/>
        <v>183.02</v>
      </c>
      <c r="H23" s="121">
        <f t="shared" si="1"/>
        <v>440.44</v>
      </c>
      <c r="I23" s="122">
        <f t="shared" si="2"/>
        <v>567.36</v>
      </c>
      <c r="J23" s="69"/>
      <c r="K23" s="70"/>
      <c r="L23" s="71"/>
      <c r="M23" s="71"/>
    </row>
    <row r="24" spans="1:13" s="57" customFormat="1" ht="30">
      <c r="A24" s="123" t="s">
        <v>115</v>
      </c>
      <c r="B24" s="117" t="s">
        <v>111</v>
      </c>
      <c r="C24" s="318" t="s">
        <v>112</v>
      </c>
      <c r="D24" s="119" t="s">
        <v>55</v>
      </c>
      <c r="E24" s="120">
        <v>8.6999999999999993</v>
      </c>
      <c r="F24" s="121">
        <f>TRUNC('MEMÓRIA DESONERADA'!F73,2)</f>
        <v>324.01</v>
      </c>
      <c r="G24" s="121">
        <f t="shared" si="0"/>
        <v>417.38</v>
      </c>
      <c r="H24" s="121">
        <f t="shared" si="1"/>
        <v>2818.88</v>
      </c>
      <c r="I24" s="122">
        <f t="shared" si="2"/>
        <v>3631.2</v>
      </c>
      <c r="J24" s="69"/>
      <c r="K24" s="70"/>
      <c r="L24" s="71"/>
      <c r="M24" s="71"/>
    </row>
    <row r="25" spans="1:13" ht="30.75">
      <c r="A25" s="123" t="s">
        <v>116</v>
      </c>
      <c r="B25" s="124" t="s">
        <v>109</v>
      </c>
      <c r="C25" s="125" t="s">
        <v>1672</v>
      </c>
      <c r="D25" s="126" t="s">
        <v>55</v>
      </c>
      <c r="E25" s="122">
        <v>12.6</v>
      </c>
      <c r="F25" s="121">
        <f>TRUNC('MEMÓRIA DESONERADA'!F81,2)</f>
        <v>143.9</v>
      </c>
      <c r="G25" s="121">
        <f t="shared" si="0"/>
        <v>185.37</v>
      </c>
      <c r="H25" s="121">
        <f t="shared" si="1"/>
        <v>1813.14</v>
      </c>
      <c r="I25" s="122">
        <f t="shared" si="2"/>
        <v>2335.66</v>
      </c>
    </row>
    <row r="26" spans="1:13" s="57" customFormat="1" ht="30">
      <c r="A26" s="116" t="s">
        <v>117</v>
      </c>
      <c r="B26" s="117" t="s">
        <v>118</v>
      </c>
      <c r="C26" s="125" t="s">
        <v>119</v>
      </c>
      <c r="D26" s="126" t="s">
        <v>17</v>
      </c>
      <c r="E26" s="122">
        <v>61.5</v>
      </c>
      <c r="F26" s="121">
        <f>TRUNC('MEMÓRIA DESONERADA'!F88,2)</f>
        <v>16.71</v>
      </c>
      <c r="G26" s="121">
        <f t="shared" si="0"/>
        <v>21.52</v>
      </c>
      <c r="H26" s="121">
        <f t="shared" si="1"/>
        <v>1027.6600000000001</v>
      </c>
      <c r="I26" s="122">
        <f t="shared" si="2"/>
        <v>1323.48</v>
      </c>
    </row>
    <row r="27" spans="1:13" s="57" customFormat="1" ht="15">
      <c r="A27" s="116" t="s">
        <v>122</v>
      </c>
      <c r="B27" s="117" t="s">
        <v>1606</v>
      </c>
      <c r="C27" s="125" t="s">
        <v>1607</v>
      </c>
      <c r="D27" s="126" t="s">
        <v>17</v>
      </c>
      <c r="E27" s="122">
        <v>42.15</v>
      </c>
      <c r="F27" s="121">
        <f>TRUNC('MEMÓRIA DESONERADA'!F93,2)</f>
        <v>34.43</v>
      </c>
      <c r="G27" s="121">
        <f t="shared" si="0"/>
        <v>44.35</v>
      </c>
      <c r="H27" s="121">
        <f t="shared" si="1"/>
        <v>1451.22</v>
      </c>
      <c r="I27" s="122">
        <f t="shared" si="2"/>
        <v>1869.35</v>
      </c>
    </row>
    <row r="28" spans="1:13" ht="15">
      <c r="A28" s="123" t="s">
        <v>127</v>
      </c>
      <c r="B28" s="124" t="s">
        <v>128</v>
      </c>
      <c r="C28" s="125" t="s">
        <v>129</v>
      </c>
      <c r="D28" s="126" t="s">
        <v>23</v>
      </c>
      <c r="E28" s="122">
        <f>0.8+1.4</f>
        <v>2.2000000000000002</v>
      </c>
      <c r="F28" s="121">
        <f>TRUNC('MEMÓRIA DESONERADA'!F99,2)</f>
        <v>54.07</v>
      </c>
      <c r="G28" s="121">
        <f t="shared" si="0"/>
        <v>69.650000000000006</v>
      </c>
      <c r="H28" s="121">
        <f t="shared" si="1"/>
        <v>118.95</v>
      </c>
      <c r="I28" s="122">
        <f t="shared" si="2"/>
        <v>153.22999999999999</v>
      </c>
    </row>
    <row r="29" spans="1:13" ht="30">
      <c r="A29" s="123" t="s">
        <v>130</v>
      </c>
      <c r="B29" s="124" t="s">
        <v>123</v>
      </c>
      <c r="C29" s="125" t="s">
        <v>124</v>
      </c>
      <c r="D29" s="126" t="s">
        <v>23</v>
      </c>
      <c r="E29" s="122">
        <v>1500</v>
      </c>
      <c r="F29" s="121">
        <f>TRUNC('MEMÓRIA DESONERADA'!F103,2)</f>
        <v>0.7</v>
      </c>
      <c r="G29" s="121">
        <f t="shared" si="0"/>
        <v>0.9</v>
      </c>
      <c r="H29" s="121">
        <f t="shared" si="1"/>
        <v>1050</v>
      </c>
      <c r="I29" s="122">
        <f t="shared" si="2"/>
        <v>1350</v>
      </c>
    </row>
    <row r="30" spans="1:13" ht="15">
      <c r="A30" s="123" t="s">
        <v>135</v>
      </c>
      <c r="B30" s="124" t="s">
        <v>132</v>
      </c>
      <c r="C30" s="125" t="s">
        <v>131</v>
      </c>
      <c r="D30" s="126" t="s">
        <v>7</v>
      </c>
      <c r="E30" s="122">
        <v>67</v>
      </c>
      <c r="F30" s="121">
        <f>TRUNC('MEMÓRIA DESONERADA'!F108,2)</f>
        <v>5.4</v>
      </c>
      <c r="G30" s="121">
        <f t="shared" si="0"/>
        <v>6.95</v>
      </c>
      <c r="H30" s="121">
        <f t="shared" si="1"/>
        <v>361.8</v>
      </c>
      <c r="I30" s="122">
        <f t="shared" si="2"/>
        <v>465.65</v>
      </c>
    </row>
    <row r="31" spans="1:13" ht="45">
      <c r="A31" s="314" t="s">
        <v>140</v>
      </c>
      <c r="B31" s="124" t="s">
        <v>136</v>
      </c>
      <c r="C31" s="125" t="s">
        <v>137</v>
      </c>
      <c r="D31" s="126" t="s">
        <v>17</v>
      </c>
      <c r="E31" s="122">
        <v>246</v>
      </c>
      <c r="F31" s="121">
        <f>TRUNC('MEMÓRIA DESONERADA'!F112,2)</f>
        <v>13.6</v>
      </c>
      <c r="G31" s="121">
        <f t="shared" si="0"/>
        <v>17.510000000000002</v>
      </c>
      <c r="H31" s="121">
        <f t="shared" si="1"/>
        <v>3345.6</v>
      </c>
      <c r="I31" s="122">
        <f t="shared" si="2"/>
        <v>4307.46</v>
      </c>
    </row>
    <row r="32" spans="1:13" ht="30">
      <c r="A32" s="123" t="s">
        <v>143</v>
      </c>
      <c r="B32" s="124" t="s">
        <v>141</v>
      </c>
      <c r="C32" s="125" t="s">
        <v>142</v>
      </c>
      <c r="D32" s="126" t="s">
        <v>17</v>
      </c>
      <c r="E32" s="122">
        <v>12.1</v>
      </c>
      <c r="F32" s="121">
        <f>TRUNC('MEMÓRIA DESONERADA'!F117,2)</f>
        <v>10.95</v>
      </c>
      <c r="G32" s="121">
        <f t="shared" si="0"/>
        <v>14.1</v>
      </c>
      <c r="H32" s="121">
        <f t="shared" si="1"/>
        <v>132.49</v>
      </c>
      <c r="I32" s="122">
        <f t="shared" si="2"/>
        <v>170.61</v>
      </c>
    </row>
    <row r="33" spans="1:9" ht="30" customHeight="1">
      <c r="A33" s="123" t="s">
        <v>149</v>
      </c>
      <c r="B33" s="124" t="s">
        <v>144</v>
      </c>
      <c r="C33" s="125" t="s">
        <v>148</v>
      </c>
      <c r="D33" s="126" t="s">
        <v>7</v>
      </c>
      <c r="E33" s="122">
        <v>2</v>
      </c>
      <c r="F33" s="121">
        <f>TRUNC('MEMÓRIA DESONERADA'!F121,2)</f>
        <v>129.30000000000001</v>
      </c>
      <c r="G33" s="121">
        <f t="shared" si="0"/>
        <v>166.56</v>
      </c>
      <c r="H33" s="121">
        <f t="shared" si="1"/>
        <v>258.60000000000002</v>
      </c>
      <c r="I33" s="122">
        <f t="shared" si="2"/>
        <v>333.12</v>
      </c>
    </row>
    <row r="34" spans="1:9" ht="30" customHeight="1">
      <c r="A34" s="123" t="s">
        <v>152</v>
      </c>
      <c r="B34" s="124" t="s">
        <v>150</v>
      </c>
      <c r="C34" s="125" t="s">
        <v>1611</v>
      </c>
      <c r="D34" s="126" t="s">
        <v>23</v>
      </c>
      <c r="E34" s="122">
        <v>5.8</v>
      </c>
      <c r="F34" s="121">
        <f>TRUNC('MEMÓRIA DESONERADA'!F126,2)</f>
        <v>5.4</v>
      </c>
      <c r="G34" s="121">
        <f t="shared" si="0"/>
        <v>6.95</v>
      </c>
      <c r="H34" s="121">
        <f t="shared" si="1"/>
        <v>31.32</v>
      </c>
      <c r="I34" s="122">
        <f t="shared" si="2"/>
        <v>40.31</v>
      </c>
    </row>
    <row r="35" spans="1:9" ht="48.75" customHeight="1">
      <c r="A35" s="116" t="s">
        <v>154</v>
      </c>
      <c r="B35" s="117" t="s">
        <v>103</v>
      </c>
      <c r="C35" s="118" t="s">
        <v>153</v>
      </c>
      <c r="D35" s="119" t="s">
        <v>17</v>
      </c>
      <c r="E35" s="120">
        <v>9.5</v>
      </c>
      <c r="F35" s="121">
        <f>TRUNC('MEMÓRIA DESONERADA'!F130,2)</f>
        <v>26.6</v>
      </c>
      <c r="G35" s="121">
        <f t="shared" si="0"/>
        <v>34.26</v>
      </c>
      <c r="H35" s="121">
        <f t="shared" si="1"/>
        <v>252.7</v>
      </c>
      <c r="I35" s="122">
        <f t="shared" si="2"/>
        <v>325.47000000000003</v>
      </c>
    </row>
    <row r="36" spans="1:9" s="57" customFormat="1" ht="15">
      <c r="A36" s="116" t="s">
        <v>157</v>
      </c>
      <c r="B36" s="117" t="s">
        <v>156</v>
      </c>
      <c r="C36" s="118" t="s">
        <v>155</v>
      </c>
      <c r="D36" s="119" t="s">
        <v>7</v>
      </c>
      <c r="E36" s="120">
        <v>1</v>
      </c>
      <c r="F36" s="121">
        <f>TRUNC('MEMÓRIA DESONERADA'!F137,2)</f>
        <v>27</v>
      </c>
      <c r="G36" s="121">
        <f t="shared" si="0"/>
        <v>34.78</v>
      </c>
      <c r="H36" s="121">
        <f t="shared" si="1"/>
        <v>27</v>
      </c>
      <c r="I36" s="122">
        <f t="shared" si="2"/>
        <v>34.78</v>
      </c>
    </row>
    <row r="37" spans="1:9" ht="30">
      <c r="A37" s="123" t="s">
        <v>160</v>
      </c>
      <c r="B37" s="124" t="s">
        <v>158</v>
      </c>
      <c r="C37" s="125" t="s">
        <v>159</v>
      </c>
      <c r="D37" s="126" t="s">
        <v>17</v>
      </c>
      <c r="E37" s="122">
        <v>7.6</v>
      </c>
      <c r="F37" s="121">
        <f>TRUNC('MEMÓRIA DESONERADA'!F160,2)</f>
        <v>7.82</v>
      </c>
      <c r="G37" s="121">
        <f t="shared" si="0"/>
        <v>10.07</v>
      </c>
      <c r="H37" s="121">
        <f t="shared" si="1"/>
        <v>59.43</v>
      </c>
      <c r="I37" s="122">
        <f t="shared" si="2"/>
        <v>76.53</v>
      </c>
    </row>
    <row r="38" spans="1:9" ht="15">
      <c r="A38" s="123" t="s">
        <v>162</v>
      </c>
      <c r="B38" s="315" t="s">
        <v>128</v>
      </c>
      <c r="C38" s="125" t="s">
        <v>161</v>
      </c>
      <c r="D38" s="126" t="s">
        <v>23</v>
      </c>
      <c r="E38" s="122">
        <v>63.45</v>
      </c>
      <c r="F38" s="121">
        <f>TRUNC('MEMÓRIA DESONERADA'!F164,2)</f>
        <v>51.01</v>
      </c>
      <c r="G38" s="121">
        <f t="shared" si="0"/>
        <v>65.709999999999994</v>
      </c>
      <c r="H38" s="121">
        <f t="shared" si="1"/>
        <v>3236.58</v>
      </c>
      <c r="I38" s="122">
        <f t="shared" si="2"/>
        <v>4169.29</v>
      </c>
    </row>
    <row r="39" spans="1:9" ht="31.5">
      <c r="A39" s="123" t="s">
        <v>164</v>
      </c>
      <c r="B39" s="124" t="s">
        <v>128</v>
      </c>
      <c r="C39" s="125" t="s">
        <v>163</v>
      </c>
      <c r="D39" s="126" t="s">
        <v>23</v>
      </c>
      <c r="E39" s="122">
        <v>3.7</v>
      </c>
      <c r="F39" s="121">
        <f>TRUNC('MEMÓRIA DESONERADA'!F168,2)</f>
        <v>54.07</v>
      </c>
      <c r="G39" s="121">
        <f t="shared" si="0"/>
        <v>69.650000000000006</v>
      </c>
      <c r="H39" s="121">
        <f t="shared" si="1"/>
        <v>200.05</v>
      </c>
      <c r="I39" s="122">
        <f t="shared" si="2"/>
        <v>257.7</v>
      </c>
    </row>
    <row r="40" spans="1:9" ht="30" customHeight="1">
      <c r="A40" s="123" t="s">
        <v>1468</v>
      </c>
      <c r="B40" s="124" t="s">
        <v>165</v>
      </c>
      <c r="C40" s="125" t="s">
        <v>166</v>
      </c>
      <c r="D40" s="126" t="s">
        <v>7</v>
      </c>
      <c r="E40" s="122">
        <v>1</v>
      </c>
      <c r="F40" s="121">
        <f>TRUNC('MEMÓRIA DESONERADA'!F172,2)</f>
        <v>231.4</v>
      </c>
      <c r="G40" s="121">
        <f t="shared" si="0"/>
        <v>298.08</v>
      </c>
      <c r="H40" s="121">
        <f t="shared" si="1"/>
        <v>231.4</v>
      </c>
      <c r="I40" s="122">
        <f t="shared" si="2"/>
        <v>298.08</v>
      </c>
    </row>
    <row r="41" spans="1:9" ht="30" customHeight="1">
      <c r="A41" s="123" t="s">
        <v>1474</v>
      </c>
      <c r="B41" s="124" t="s">
        <v>1469</v>
      </c>
      <c r="C41" s="125" t="s">
        <v>1470</v>
      </c>
      <c r="D41" s="126" t="s">
        <v>17</v>
      </c>
      <c r="E41" s="122">
        <v>140.52000000000001</v>
      </c>
      <c r="F41" s="121">
        <f>TRUNC('MEMÓRIA DESONERADA'!F177,2)</f>
        <v>3.18</v>
      </c>
      <c r="G41" s="121">
        <f t="shared" si="0"/>
        <v>4.09</v>
      </c>
      <c r="H41" s="121">
        <f t="shared" si="1"/>
        <v>446.85</v>
      </c>
      <c r="I41" s="122">
        <f t="shared" si="2"/>
        <v>574.72</v>
      </c>
    </row>
    <row r="42" spans="1:9" ht="48" customHeight="1">
      <c r="A42" s="123" t="s">
        <v>1475</v>
      </c>
      <c r="B42" s="124" t="s">
        <v>1476</v>
      </c>
      <c r="C42" s="125" t="s">
        <v>1477</v>
      </c>
      <c r="D42" s="126" t="s">
        <v>55</v>
      </c>
      <c r="E42" s="122">
        <f>31.02+6.38+7.99+33.81-E43</f>
        <v>69.12</v>
      </c>
      <c r="F42" s="121">
        <f>TRUNC('MEMÓRIA DESONERADA'!F186,2)</f>
        <v>53.23</v>
      </c>
      <c r="G42" s="121">
        <f t="shared" si="0"/>
        <v>68.569999999999993</v>
      </c>
      <c r="H42" s="121">
        <f t="shared" si="1"/>
        <v>3679.25</v>
      </c>
      <c r="I42" s="122">
        <f t="shared" si="2"/>
        <v>4739.55</v>
      </c>
    </row>
    <row r="43" spans="1:9" ht="48" customHeight="1">
      <c r="A43" s="123" t="s">
        <v>1501</v>
      </c>
      <c r="B43" s="124" t="s">
        <v>1502</v>
      </c>
      <c r="C43" s="125" t="s">
        <v>1477</v>
      </c>
      <c r="D43" s="126" t="s">
        <v>55</v>
      </c>
      <c r="E43" s="122">
        <f>(20.4/2.4)*0.9+(6.48/2.4)*0.9</f>
        <v>10.08</v>
      </c>
      <c r="F43" s="121">
        <f>TRUNC('MEMÓRIA DESONERADA'!F190,2)</f>
        <v>67.319999999999993</v>
      </c>
      <c r="G43" s="121">
        <f t="shared" si="0"/>
        <v>86.72</v>
      </c>
      <c r="H43" s="121">
        <f t="shared" si="1"/>
        <v>678.58</v>
      </c>
      <c r="I43" s="122">
        <f t="shared" si="2"/>
        <v>874.13</v>
      </c>
    </row>
    <row r="44" spans="1:9" ht="30" customHeight="1">
      <c r="A44" s="123" t="s">
        <v>1610</v>
      </c>
      <c r="B44" s="124" t="s">
        <v>1478</v>
      </c>
      <c r="C44" s="125" t="s">
        <v>1479</v>
      </c>
      <c r="D44" s="126" t="s">
        <v>55</v>
      </c>
      <c r="E44" s="122">
        <f>24.58+4.74+4.88+28.69</f>
        <v>62.89</v>
      </c>
      <c r="F44" s="121">
        <f>TRUNC('MEMÓRIA DESONERADA'!F194,2)</f>
        <v>21.08</v>
      </c>
      <c r="G44" s="121">
        <f t="shared" si="0"/>
        <v>27.15</v>
      </c>
      <c r="H44" s="121">
        <f t="shared" si="1"/>
        <v>1325.72</v>
      </c>
      <c r="I44" s="122">
        <f t="shared" si="2"/>
        <v>1707.46</v>
      </c>
    </row>
    <row r="45" spans="1:9" s="169" customFormat="1" ht="15.75">
      <c r="A45" s="328" t="s">
        <v>18</v>
      </c>
      <c r="B45" s="316"/>
      <c r="C45" s="288"/>
      <c r="D45" s="328"/>
      <c r="E45" s="289"/>
      <c r="F45" s="131"/>
      <c r="G45" s="325" t="s">
        <v>172</v>
      </c>
      <c r="H45" s="131">
        <f>SUM(H13:H44)</f>
        <v>47932.890000000007</v>
      </c>
      <c r="I45" s="131">
        <f>SUM(I13:I44)</f>
        <v>61732.32</v>
      </c>
    </row>
    <row r="46" spans="1:9" ht="14.25" customHeight="1">
      <c r="A46" s="328" t="s">
        <v>19</v>
      </c>
      <c r="B46" s="128"/>
      <c r="C46" s="372" t="s">
        <v>171</v>
      </c>
      <c r="D46" s="372"/>
      <c r="E46" s="372"/>
      <c r="F46" s="372"/>
      <c r="G46" s="372"/>
      <c r="H46" s="372"/>
      <c r="I46" s="372"/>
    </row>
    <row r="47" spans="1:9" s="57" customFormat="1" ht="30" customHeight="1">
      <c r="A47" s="116" t="s">
        <v>173</v>
      </c>
      <c r="B47" s="117" t="s">
        <v>174</v>
      </c>
      <c r="C47" s="318" t="s">
        <v>175</v>
      </c>
      <c r="D47" s="317" t="s">
        <v>55</v>
      </c>
      <c r="E47" s="317">
        <v>4.2</v>
      </c>
      <c r="F47" s="121">
        <f>TRUNC('MEMÓRIA DESONERADA'!F203,2)</f>
        <v>2256.23</v>
      </c>
      <c r="G47" s="121">
        <f t="shared" ref="G47:G56" si="3">TRUNC(F47*1.2882,2)</f>
        <v>2906.47</v>
      </c>
      <c r="H47" s="121">
        <f t="shared" ref="H47:H56" si="4">TRUNC(F47*E47,2)</f>
        <v>9476.16</v>
      </c>
      <c r="I47" s="122">
        <f t="shared" ref="I47:I56" si="5">TRUNC(E47*G47,2)</f>
        <v>12207.17</v>
      </c>
    </row>
    <row r="48" spans="1:9" ht="45.75">
      <c r="A48" s="123" t="s">
        <v>1473</v>
      </c>
      <c r="B48" s="124" t="s">
        <v>1486</v>
      </c>
      <c r="C48" s="318" t="s">
        <v>1673</v>
      </c>
      <c r="D48" s="126" t="s">
        <v>55</v>
      </c>
      <c r="E48" s="122">
        <f>0.72+0.18+0.44+0.55</f>
        <v>1.89</v>
      </c>
      <c r="F48" s="121">
        <f>TRUNC('MEMÓRIA DESONERADA'!F215,2)</f>
        <v>457.18</v>
      </c>
      <c r="G48" s="121">
        <f t="shared" si="3"/>
        <v>588.92999999999995</v>
      </c>
      <c r="H48" s="121">
        <f t="shared" si="4"/>
        <v>864.07</v>
      </c>
      <c r="I48" s="122">
        <f t="shared" si="5"/>
        <v>1113.07</v>
      </c>
    </row>
    <row r="49" spans="1:9" s="57" customFormat="1" ht="60">
      <c r="A49" s="116" t="s">
        <v>1494</v>
      </c>
      <c r="B49" s="117" t="s">
        <v>1495</v>
      </c>
      <c r="C49" s="318" t="s">
        <v>1496</v>
      </c>
      <c r="D49" s="317" t="s">
        <v>55</v>
      </c>
      <c r="E49" s="317">
        <f>7.99+(12.5*(145.37/317.78))+17.51+8.77</f>
        <v>39.988185537164078</v>
      </c>
      <c r="F49" s="121">
        <f>TRUNC('MEMÓRIA DESONERADA'!F223,2)</f>
        <v>604.27</v>
      </c>
      <c r="G49" s="121">
        <f t="shared" si="3"/>
        <v>778.42</v>
      </c>
      <c r="H49" s="121">
        <f t="shared" si="4"/>
        <v>24163.66</v>
      </c>
      <c r="I49" s="122">
        <f t="shared" si="5"/>
        <v>31127.599999999999</v>
      </c>
    </row>
    <row r="50" spans="1:9" ht="61.5">
      <c r="A50" s="123" t="s">
        <v>1504</v>
      </c>
      <c r="B50" s="124" t="s">
        <v>1505</v>
      </c>
      <c r="C50" s="318" t="s">
        <v>1515</v>
      </c>
      <c r="D50" s="126" t="s">
        <v>55</v>
      </c>
      <c r="E50" s="122">
        <f>(12.5*(172.41/317.78))</f>
        <v>6.7818144628359249</v>
      </c>
      <c r="F50" s="121">
        <f>TRUNC('MEMÓRIA DESONERADA'!F231,2)</f>
        <v>561.55999999999995</v>
      </c>
      <c r="G50" s="121">
        <f t="shared" si="3"/>
        <v>723.4</v>
      </c>
      <c r="H50" s="121">
        <f t="shared" si="4"/>
        <v>3808.39</v>
      </c>
      <c r="I50" s="122">
        <f t="shared" si="5"/>
        <v>4905.96</v>
      </c>
    </row>
    <row r="51" spans="1:9" ht="45">
      <c r="A51" s="123" t="s">
        <v>1516</v>
      </c>
      <c r="B51" s="124" t="s">
        <v>1520</v>
      </c>
      <c r="C51" s="318" t="s">
        <v>1521</v>
      </c>
      <c r="D51" s="126" t="s">
        <v>17</v>
      </c>
      <c r="E51" s="122">
        <v>317.77999999999997</v>
      </c>
      <c r="F51" s="121">
        <f>TRUNC('MEMÓRIA DESONERADA'!F243,2)</f>
        <v>196.98</v>
      </c>
      <c r="G51" s="121">
        <f t="shared" si="3"/>
        <v>253.74</v>
      </c>
      <c r="H51" s="121">
        <f t="shared" si="4"/>
        <v>62596.3</v>
      </c>
      <c r="I51" s="122">
        <f t="shared" si="5"/>
        <v>80633.490000000005</v>
      </c>
    </row>
    <row r="52" spans="1:9" ht="30">
      <c r="A52" s="123" t="s">
        <v>1517</v>
      </c>
      <c r="B52" s="124" t="s">
        <v>1532</v>
      </c>
      <c r="C52" s="318" t="s">
        <v>1533</v>
      </c>
      <c r="D52" s="126" t="s">
        <v>46</v>
      </c>
      <c r="E52" s="122">
        <f>250.04+208.23</f>
        <v>458.27</v>
      </c>
      <c r="F52" s="121">
        <f>TRUNC('MEMÓRIA DESONERADA'!F254,2)</f>
        <v>16.7</v>
      </c>
      <c r="G52" s="121">
        <f t="shared" si="3"/>
        <v>21.51</v>
      </c>
      <c r="H52" s="121">
        <f t="shared" si="4"/>
        <v>7653.1</v>
      </c>
      <c r="I52" s="122">
        <f t="shared" si="5"/>
        <v>9857.3799999999992</v>
      </c>
    </row>
    <row r="53" spans="1:9" ht="30">
      <c r="A53" s="123" t="s">
        <v>1518</v>
      </c>
      <c r="B53" s="124" t="s">
        <v>1537</v>
      </c>
      <c r="C53" s="318" t="s">
        <v>1538</v>
      </c>
      <c r="D53" s="126" t="s">
        <v>46</v>
      </c>
      <c r="E53" s="122">
        <f>601.93+757.64</f>
        <v>1359.57</v>
      </c>
      <c r="F53" s="121">
        <f>TRUNC('MEMÓRIA DESONERADA'!F262,2)</f>
        <v>13.74</v>
      </c>
      <c r="G53" s="121">
        <f t="shared" si="3"/>
        <v>17.690000000000001</v>
      </c>
      <c r="H53" s="121">
        <f t="shared" si="4"/>
        <v>18680.490000000002</v>
      </c>
      <c r="I53" s="122">
        <f t="shared" si="5"/>
        <v>24050.79</v>
      </c>
    </row>
    <row r="54" spans="1:9" ht="30">
      <c r="A54" s="123" t="s">
        <v>1519</v>
      </c>
      <c r="B54" s="124" t="s">
        <v>1540</v>
      </c>
      <c r="C54" s="125" t="s">
        <v>1541</v>
      </c>
      <c r="D54" s="126" t="s">
        <v>46</v>
      </c>
      <c r="E54" s="122">
        <v>558.71</v>
      </c>
      <c r="F54" s="121">
        <f>TRUNC('MEMÓRIA DESONERADA'!F270,2)</f>
        <v>11.61</v>
      </c>
      <c r="G54" s="121">
        <f t="shared" si="3"/>
        <v>14.95</v>
      </c>
      <c r="H54" s="121">
        <f t="shared" si="4"/>
        <v>6486.62</v>
      </c>
      <c r="I54" s="122">
        <f t="shared" si="5"/>
        <v>8352.7099999999991</v>
      </c>
    </row>
    <row r="55" spans="1:9" ht="45">
      <c r="A55" s="123" t="s">
        <v>1543</v>
      </c>
      <c r="B55" s="124" t="s">
        <v>1589</v>
      </c>
      <c r="C55" s="125" t="s">
        <v>1590</v>
      </c>
      <c r="D55" s="126" t="s">
        <v>17</v>
      </c>
      <c r="E55" s="122">
        <f>789.97-317.78</f>
        <v>472.19000000000005</v>
      </c>
      <c r="F55" s="121">
        <f>TRUNC('MEMÓRIA DESONERADA'!F278,2)</f>
        <v>57.43</v>
      </c>
      <c r="G55" s="121">
        <f t="shared" si="3"/>
        <v>73.98</v>
      </c>
      <c r="H55" s="121">
        <f t="shared" si="4"/>
        <v>27117.87</v>
      </c>
      <c r="I55" s="122">
        <f t="shared" si="5"/>
        <v>34932.61</v>
      </c>
    </row>
    <row r="56" spans="1:9" ht="30">
      <c r="A56" s="123" t="s">
        <v>1544</v>
      </c>
      <c r="B56" s="124" t="s">
        <v>1598</v>
      </c>
      <c r="C56" s="125" t="s">
        <v>1599</v>
      </c>
      <c r="D56" s="126" t="s">
        <v>17</v>
      </c>
      <c r="E56" s="122">
        <f>E55</f>
        <v>472.19000000000005</v>
      </c>
      <c r="F56" s="121">
        <f>TRUNC('MEMÓRIA DESONERADA'!F289,2)</f>
        <v>50.27</v>
      </c>
      <c r="G56" s="121">
        <f t="shared" si="3"/>
        <v>64.75</v>
      </c>
      <c r="H56" s="121">
        <f t="shared" si="4"/>
        <v>23736.99</v>
      </c>
      <c r="I56" s="122">
        <f t="shared" si="5"/>
        <v>30574.3</v>
      </c>
    </row>
    <row r="57" spans="1:9" s="169" customFormat="1" ht="15.75">
      <c r="A57" s="328" t="s">
        <v>18</v>
      </c>
      <c r="B57" s="316"/>
      <c r="C57" s="288" t="s">
        <v>1605</v>
      </c>
      <c r="D57" s="328"/>
      <c r="E57" s="289"/>
      <c r="F57" s="131"/>
      <c r="G57" s="130"/>
      <c r="H57" s="130"/>
      <c r="I57" s="131"/>
    </row>
    <row r="58" spans="1:9" s="57" customFormat="1" ht="60">
      <c r="A58" s="116" t="s">
        <v>1545</v>
      </c>
      <c r="B58" s="117" t="s">
        <v>1495</v>
      </c>
      <c r="C58" s="318" t="s">
        <v>1496</v>
      </c>
      <c r="D58" s="317" t="s">
        <v>55</v>
      </c>
      <c r="E58" s="317">
        <v>8.35</v>
      </c>
      <c r="F58" s="121">
        <f>TRUNC('MEMÓRIA DESONERADA'!F299,2)</f>
        <v>604.27</v>
      </c>
      <c r="G58" s="121">
        <f t="shared" ref="G58:G71" si="6">TRUNC(F58*1.2882,2)</f>
        <v>778.42</v>
      </c>
      <c r="H58" s="121">
        <f t="shared" ref="H58:H71" si="7">TRUNC(F58*E58,2)</f>
        <v>5045.6499999999996</v>
      </c>
      <c r="I58" s="122">
        <f t="shared" ref="I58:I71" si="8">TRUNC(E58*G58,2)</f>
        <v>6499.8</v>
      </c>
    </row>
    <row r="59" spans="1:9" ht="30">
      <c r="A59" s="123" t="s">
        <v>1546</v>
      </c>
      <c r="B59" s="124" t="s">
        <v>1532</v>
      </c>
      <c r="C59" s="125" t="s">
        <v>1533</v>
      </c>
      <c r="D59" s="126" t="s">
        <v>46</v>
      </c>
      <c r="E59" s="122">
        <f>32.67+36.59</f>
        <v>69.260000000000005</v>
      </c>
      <c r="F59" s="121">
        <f>TRUNC('MEMÓRIA DESONERADA'!F307,2)</f>
        <v>16.7</v>
      </c>
      <c r="G59" s="121">
        <f t="shared" si="6"/>
        <v>21.51</v>
      </c>
      <c r="H59" s="121">
        <f t="shared" si="7"/>
        <v>1156.6400000000001</v>
      </c>
      <c r="I59" s="122">
        <f t="shared" si="8"/>
        <v>1489.78</v>
      </c>
    </row>
    <row r="60" spans="1:9" ht="30">
      <c r="A60" s="123" t="s">
        <v>1547</v>
      </c>
      <c r="B60" s="124" t="s">
        <v>1537</v>
      </c>
      <c r="C60" s="125" t="s">
        <v>1538</v>
      </c>
      <c r="D60" s="126" t="s">
        <v>46</v>
      </c>
      <c r="E60" s="122">
        <f>151.36+91.56+69.66</f>
        <v>312.58000000000004</v>
      </c>
      <c r="F60" s="121">
        <f>TRUNC('MEMÓRIA DESONERADA'!F315,2)</f>
        <v>13.74</v>
      </c>
      <c r="G60" s="121">
        <f t="shared" si="6"/>
        <v>17.690000000000001</v>
      </c>
      <c r="H60" s="121">
        <f t="shared" si="7"/>
        <v>4294.84</v>
      </c>
      <c r="I60" s="122">
        <f t="shared" si="8"/>
        <v>5529.54</v>
      </c>
    </row>
    <row r="61" spans="1:9" ht="30">
      <c r="A61" s="123" t="s">
        <v>1548</v>
      </c>
      <c r="B61" s="124" t="s">
        <v>1540</v>
      </c>
      <c r="C61" s="125" t="s">
        <v>1541</v>
      </c>
      <c r="D61" s="126" t="s">
        <v>46</v>
      </c>
      <c r="E61" s="122">
        <v>165.25</v>
      </c>
      <c r="F61" s="121">
        <f>TRUNC('MEMÓRIA DESONERADA'!F323,2)</f>
        <v>11.61</v>
      </c>
      <c r="G61" s="121">
        <f t="shared" si="6"/>
        <v>14.95</v>
      </c>
      <c r="H61" s="121">
        <f t="shared" si="7"/>
        <v>1918.55</v>
      </c>
      <c r="I61" s="122">
        <f t="shared" si="8"/>
        <v>2470.48</v>
      </c>
    </row>
    <row r="62" spans="1:9" ht="60">
      <c r="A62" s="123" t="s">
        <v>1553</v>
      </c>
      <c r="B62" s="124" t="s">
        <v>200</v>
      </c>
      <c r="C62" s="127" t="s">
        <v>201</v>
      </c>
      <c r="D62" s="126" t="s">
        <v>17</v>
      </c>
      <c r="E62" s="122">
        <v>18.600000000000001</v>
      </c>
      <c r="F62" s="121">
        <f>TRUNC('MEMÓRIA DESONERADA'!F331,2)</f>
        <v>99.93</v>
      </c>
      <c r="G62" s="121">
        <f t="shared" si="6"/>
        <v>128.72</v>
      </c>
      <c r="H62" s="121">
        <f t="shared" si="7"/>
        <v>1858.69</v>
      </c>
      <c r="I62" s="122">
        <f t="shared" si="8"/>
        <v>2394.19</v>
      </c>
    </row>
    <row r="63" spans="1:9" ht="45">
      <c r="A63" s="123" t="s">
        <v>1558</v>
      </c>
      <c r="B63" s="124" t="s">
        <v>1549</v>
      </c>
      <c r="C63" s="125" t="s">
        <v>1550</v>
      </c>
      <c r="D63" s="126" t="s">
        <v>17</v>
      </c>
      <c r="E63" s="122">
        <v>18.600000000000001</v>
      </c>
      <c r="F63" s="121">
        <f>TRUNC('MEMÓRIA DESONERADA'!F338,2)</f>
        <v>75.59</v>
      </c>
      <c r="G63" s="121">
        <f t="shared" si="6"/>
        <v>97.37</v>
      </c>
      <c r="H63" s="121">
        <f t="shared" si="7"/>
        <v>1405.97</v>
      </c>
      <c r="I63" s="122">
        <f t="shared" si="8"/>
        <v>1811.08</v>
      </c>
    </row>
    <row r="64" spans="1:9" ht="15">
      <c r="A64" s="123" t="s">
        <v>1563</v>
      </c>
      <c r="B64" s="124" t="s">
        <v>1554</v>
      </c>
      <c r="C64" s="125" t="s">
        <v>1555</v>
      </c>
      <c r="D64" s="126" t="s">
        <v>55</v>
      </c>
      <c r="E64" s="122">
        <v>11.89</v>
      </c>
      <c r="F64" s="121">
        <f>TRUNC('MEMÓRIA DESONERADA'!F344,2)</f>
        <v>124.26</v>
      </c>
      <c r="G64" s="121">
        <f t="shared" si="6"/>
        <v>160.07</v>
      </c>
      <c r="H64" s="121">
        <f t="shared" si="7"/>
        <v>1477.45</v>
      </c>
      <c r="I64" s="122">
        <f t="shared" si="8"/>
        <v>1903.23</v>
      </c>
    </row>
    <row r="65" spans="1:9" ht="30">
      <c r="A65" s="123" t="s">
        <v>1564</v>
      </c>
      <c r="B65" s="124" t="s">
        <v>1559</v>
      </c>
      <c r="C65" s="125" t="s">
        <v>1560</v>
      </c>
      <c r="D65" s="126" t="s">
        <v>17</v>
      </c>
      <c r="E65" s="122">
        <v>29.74</v>
      </c>
      <c r="F65" s="121">
        <f>TRUNC('MEMÓRIA DESONERADA'!F350,2)</f>
        <v>10.35</v>
      </c>
      <c r="G65" s="121">
        <f t="shared" si="6"/>
        <v>13.33</v>
      </c>
      <c r="H65" s="121">
        <f t="shared" si="7"/>
        <v>307.8</v>
      </c>
      <c r="I65" s="122">
        <f t="shared" si="8"/>
        <v>396.43</v>
      </c>
    </row>
    <row r="66" spans="1:9" ht="30">
      <c r="A66" s="123" t="s">
        <v>1565</v>
      </c>
      <c r="B66" s="124" t="s">
        <v>1566</v>
      </c>
      <c r="C66" s="125" t="s">
        <v>1567</v>
      </c>
      <c r="D66" s="126" t="s">
        <v>23</v>
      </c>
      <c r="E66" s="122">
        <v>18.23</v>
      </c>
      <c r="F66" s="121">
        <f>TRUNC('MEMÓRIA DESONERADA'!F356,2)</f>
        <v>13.69</v>
      </c>
      <c r="G66" s="121">
        <f t="shared" si="6"/>
        <v>17.63</v>
      </c>
      <c r="H66" s="121">
        <f t="shared" si="7"/>
        <v>249.56</v>
      </c>
      <c r="I66" s="122">
        <f t="shared" si="8"/>
        <v>321.39</v>
      </c>
    </row>
    <row r="67" spans="1:9" ht="30">
      <c r="A67" s="123" t="s">
        <v>1575</v>
      </c>
      <c r="B67" s="124" t="s">
        <v>1570</v>
      </c>
      <c r="C67" s="125" t="s">
        <v>1571</v>
      </c>
      <c r="D67" s="126" t="s">
        <v>23</v>
      </c>
      <c r="E67" s="122">
        <v>18.23</v>
      </c>
      <c r="F67" s="121">
        <f>TRUNC('MEMÓRIA DESONERADA'!F362,2)</f>
        <v>46.95</v>
      </c>
      <c r="G67" s="121">
        <f t="shared" si="6"/>
        <v>60.48</v>
      </c>
      <c r="H67" s="121">
        <f t="shared" si="7"/>
        <v>855.89</v>
      </c>
      <c r="I67" s="122">
        <f t="shared" si="8"/>
        <v>1102.55</v>
      </c>
    </row>
    <row r="68" spans="1:9" ht="30">
      <c r="A68" s="123" t="s">
        <v>1588</v>
      </c>
      <c r="B68" s="124" t="s">
        <v>1576</v>
      </c>
      <c r="C68" s="125" t="s">
        <v>1577</v>
      </c>
      <c r="D68" s="126" t="s">
        <v>7</v>
      </c>
      <c r="E68" s="122">
        <v>2</v>
      </c>
      <c r="F68" s="121">
        <f>TRUNC('MEMÓRIA DESONERADA'!F369,2)</f>
        <v>61.77</v>
      </c>
      <c r="G68" s="121">
        <f t="shared" si="6"/>
        <v>79.569999999999993</v>
      </c>
      <c r="H68" s="121">
        <f t="shared" si="7"/>
        <v>123.54</v>
      </c>
      <c r="I68" s="122">
        <f t="shared" si="8"/>
        <v>159.13999999999999</v>
      </c>
    </row>
    <row r="69" spans="1:9" ht="45">
      <c r="A69" s="123" t="s">
        <v>1597</v>
      </c>
      <c r="B69" s="124" t="s">
        <v>1589</v>
      </c>
      <c r="C69" s="125" t="s">
        <v>1590</v>
      </c>
      <c r="D69" s="126" t="s">
        <v>17</v>
      </c>
      <c r="E69" s="122">
        <v>55.93</v>
      </c>
      <c r="F69" s="121">
        <f>TRUNC('MEMÓRIA DESONERADA'!F378,2)</f>
        <v>62.57</v>
      </c>
      <c r="G69" s="121">
        <f t="shared" si="6"/>
        <v>80.599999999999994</v>
      </c>
      <c r="H69" s="121">
        <f t="shared" si="7"/>
        <v>3499.54</v>
      </c>
      <c r="I69" s="122">
        <f t="shared" si="8"/>
        <v>4507.95</v>
      </c>
    </row>
    <row r="70" spans="1:9" ht="61.5">
      <c r="A70" s="123" t="s">
        <v>1809</v>
      </c>
      <c r="B70" s="128" t="s">
        <v>812</v>
      </c>
      <c r="C70" s="127" t="s">
        <v>1674</v>
      </c>
      <c r="D70" s="123" t="s">
        <v>17</v>
      </c>
      <c r="E70" s="129">
        <v>45</v>
      </c>
      <c r="F70" s="129">
        <f>TRUNC('MEMÓRIA DESONERADA'!F388,2)</f>
        <v>18.670000000000002</v>
      </c>
      <c r="G70" s="129">
        <f t="shared" si="6"/>
        <v>24.05</v>
      </c>
      <c r="H70" s="129">
        <f t="shared" si="7"/>
        <v>840.15</v>
      </c>
      <c r="I70" s="129">
        <f t="shared" si="8"/>
        <v>1082.25</v>
      </c>
    </row>
    <row r="71" spans="1:9" ht="61.5">
      <c r="A71" s="123" t="s">
        <v>1860</v>
      </c>
      <c r="B71" s="128" t="s">
        <v>1861</v>
      </c>
      <c r="C71" s="127" t="s">
        <v>1867</v>
      </c>
      <c r="D71" s="123" t="s">
        <v>17</v>
      </c>
      <c r="E71" s="129">
        <v>4.4000000000000004</v>
      </c>
      <c r="F71" s="129">
        <f>TRUNC('MEMÓRIA DESONERADA'!F395,2)</f>
        <v>185.31</v>
      </c>
      <c r="G71" s="129">
        <f t="shared" si="6"/>
        <v>238.71</v>
      </c>
      <c r="H71" s="129">
        <f t="shared" si="7"/>
        <v>815.36</v>
      </c>
      <c r="I71" s="129">
        <f t="shared" si="8"/>
        <v>1050.32</v>
      </c>
    </row>
    <row r="72" spans="1:9" s="169" customFormat="1" ht="15.75">
      <c r="A72" s="328" t="s">
        <v>18</v>
      </c>
      <c r="B72" s="316"/>
      <c r="C72" s="288"/>
      <c r="D72" s="328"/>
      <c r="E72" s="289"/>
      <c r="F72" s="131"/>
      <c r="G72" s="325" t="s">
        <v>1857</v>
      </c>
      <c r="H72" s="131">
        <f>SUM(H47:H71)</f>
        <v>208433.28</v>
      </c>
      <c r="I72" s="131">
        <f>SUM(I47:I71)</f>
        <v>268473.21000000002</v>
      </c>
    </row>
    <row r="73" spans="1:9" ht="14.25" customHeight="1">
      <c r="A73" s="328" t="s">
        <v>20</v>
      </c>
      <c r="B73" s="128"/>
      <c r="C73" s="372" t="s">
        <v>186</v>
      </c>
      <c r="D73" s="372"/>
      <c r="E73" s="372"/>
      <c r="F73" s="372"/>
      <c r="G73" s="372"/>
      <c r="H73" s="372"/>
      <c r="I73" s="372"/>
    </row>
    <row r="74" spans="1:9" s="57" customFormat="1" ht="75">
      <c r="A74" s="116" t="s">
        <v>197</v>
      </c>
      <c r="B74" s="117" t="s">
        <v>187</v>
      </c>
      <c r="C74" s="318" t="s">
        <v>188</v>
      </c>
      <c r="D74" s="317" t="s">
        <v>17</v>
      </c>
      <c r="E74" s="317">
        <v>57</v>
      </c>
      <c r="F74" s="121">
        <f>TRUNC('MEMÓRIA DESONERADA'!F408,2)</f>
        <v>99.27</v>
      </c>
      <c r="G74" s="121">
        <f t="shared" ref="G74:G101" si="9">TRUNC(F74*1.2882,2)</f>
        <v>127.87</v>
      </c>
      <c r="H74" s="121">
        <f t="shared" ref="H74:H101" si="10">TRUNC(F74*E74,2)</f>
        <v>5658.39</v>
      </c>
      <c r="I74" s="122">
        <f t="shared" ref="I74:I101" si="11">TRUNC(E74*G74,2)</f>
        <v>7288.59</v>
      </c>
    </row>
    <row r="75" spans="1:9" ht="90" customHeight="1">
      <c r="A75" s="123" t="s">
        <v>198</v>
      </c>
      <c r="B75" s="124" t="s">
        <v>195</v>
      </c>
      <c r="C75" s="125" t="s">
        <v>196</v>
      </c>
      <c r="D75" s="126" t="s">
        <v>17</v>
      </c>
      <c r="E75" s="122">
        <v>595</v>
      </c>
      <c r="F75" s="121">
        <f>TRUNC('MEMÓRIA DESONERADA'!F416,2)</f>
        <v>48.7</v>
      </c>
      <c r="G75" s="121">
        <f t="shared" si="9"/>
        <v>62.73</v>
      </c>
      <c r="H75" s="121">
        <f t="shared" si="10"/>
        <v>28976.5</v>
      </c>
      <c r="I75" s="122">
        <f t="shared" si="11"/>
        <v>37324.35</v>
      </c>
    </row>
    <row r="76" spans="1:9" ht="60">
      <c r="A76" s="123" t="s">
        <v>199</v>
      </c>
      <c r="B76" s="124" t="s">
        <v>2023</v>
      </c>
      <c r="C76" s="127" t="s">
        <v>2022</v>
      </c>
      <c r="D76" s="126" t="s">
        <v>17</v>
      </c>
      <c r="E76" s="122">
        <v>1.9</v>
      </c>
      <c r="F76" s="121">
        <f>TRUNC('MEMÓRIA DESONERADA'!F424,2)</f>
        <v>55.43</v>
      </c>
      <c r="G76" s="121">
        <f t="shared" si="9"/>
        <v>71.400000000000006</v>
      </c>
      <c r="H76" s="121">
        <f t="shared" si="10"/>
        <v>105.31</v>
      </c>
      <c r="I76" s="122">
        <f t="shared" si="11"/>
        <v>135.66</v>
      </c>
    </row>
    <row r="77" spans="1:9" ht="60">
      <c r="A77" s="123" t="s">
        <v>206</v>
      </c>
      <c r="B77" s="124" t="s">
        <v>1935</v>
      </c>
      <c r="C77" s="125" t="s">
        <v>1934</v>
      </c>
      <c r="D77" s="126" t="s">
        <v>17</v>
      </c>
      <c r="E77" s="122">
        <v>1.9</v>
      </c>
      <c r="F77" s="121">
        <f>TRUNC('MEMÓRIA DESONERADA'!F431,2)</f>
        <v>67.650000000000006</v>
      </c>
      <c r="G77" s="121">
        <f t="shared" si="9"/>
        <v>87.14</v>
      </c>
      <c r="H77" s="121">
        <f t="shared" si="10"/>
        <v>128.53</v>
      </c>
      <c r="I77" s="122">
        <f t="shared" si="11"/>
        <v>165.56</v>
      </c>
    </row>
    <row r="78" spans="1:9" ht="30">
      <c r="A78" s="123" t="s">
        <v>217</v>
      </c>
      <c r="B78" s="124" t="s">
        <v>207</v>
      </c>
      <c r="C78" s="125" t="s">
        <v>208</v>
      </c>
      <c r="D78" s="126" t="s">
        <v>17</v>
      </c>
      <c r="E78" s="122">
        <v>40</v>
      </c>
      <c r="F78" s="121">
        <f>TRUNC('MEMÓRIA DESONERADA'!F444,2)</f>
        <v>148.38</v>
      </c>
      <c r="G78" s="121">
        <f t="shared" si="9"/>
        <v>191.14</v>
      </c>
      <c r="H78" s="121">
        <f t="shared" si="10"/>
        <v>5935.2</v>
      </c>
      <c r="I78" s="122">
        <f t="shared" si="11"/>
        <v>7645.6</v>
      </c>
    </row>
    <row r="79" spans="1:9" ht="75">
      <c r="A79" s="123" t="s">
        <v>218</v>
      </c>
      <c r="B79" s="128" t="s">
        <v>226</v>
      </c>
      <c r="C79" s="125" t="s">
        <v>225</v>
      </c>
      <c r="D79" s="126" t="s">
        <v>17</v>
      </c>
      <c r="E79" s="122">
        <v>2073.4499999999998</v>
      </c>
      <c r="F79" s="121">
        <f>TRUNC('MEMÓRIA DESONERADA'!F452,2)</f>
        <v>34.380000000000003</v>
      </c>
      <c r="G79" s="121">
        <f t="shared" si="9"/>
        <v>44.28</v>
      </c>
      <c r="H79" s="121">
        <f t="shared" si="10"/>
        <v>71285.210000000006</v>
      </c>
      <c r="I79" s="122">
        <f t="shared" si="11"/>
        <v>91812.36</v>
      </c>
    </row>
    <row r="80" spans="1:9" ht="45">
      <c r="A80" s="123" t="s">
        <v>227</v>
      </c>
      <c r="B80" s="124" t="s">
        <v>228</v>
      </c>
      <c r="C80" s="125" t="s">
        <v>1868</v>
      </c>
      <c r="D80" s="126" t="s">
        <v>17</v>
      </c>
      <c r="E80" s="122">
        <v>165.41</v>
      </c>
      <c r="F80" s="121">
        <f>TRUNC('MEMÓRIA DESONERADA'!F463,2)</f>
        <v>115.08</v>
      </c>
      <c r="G80" s="121">
        <f t="shared" si="9"/>
        <v>148.24</v>
      </c>
      <c r="H80" s="121">
        <f t="shared" si="10"/>
        <v>19035.38</v>
      </c>
      <c r="I80" s="122">
        <f t="shared" si="11"/>
        <v>24520.37</v>
      </c>
    </row>
    <row r="81" spans="1:9" s="57" customFormat="1" ht="45">
      <c r="A81" s="116" t="s">
        <v>242</v>
      </c>
      <c r="B81" s="117" t="s">
        <v>243</v>
      </c>
      <c r="C81" s="318" t="s">
        <v>1869</v>
      </c>
      <c r="D81" s="317" t="s">
        <v>17</v>
      </c>
      <c r="E81" s="317">
        <v>582.04999999999995</v>
      </c>
      <c r="F81" s="121">
        <f>TRUNC('MEMÓRIA DESONERADA'!F474,2)</f>
        <v>37.89</v>
      </c>
      <c r="G81" s="121">
        <f t="shared" si="9"/>
        <v>48.8</v>
      </c>
      <c r="H81" s="121">
        <f t="shared" si="10"/>
        <v>22053.87</v>
      </c>
      <c r="I81" s="122">
        <f t="shared" si="11"/>
        <v>28404.04</v>
      </c>
    </row>
    <row r="82" spans="1:9" ht="45.75">
      <c r="A82" s="123" t="s">
        <v>246</v>
      </c>
      <c r="B82" s="128" t="s">
        <v>1676</v>
      </c>
      <c r="C82" s="127" t="s">
        <v>1870</v>
      </c>
      <c r="D82" s="123" t="s">
        <v>17</v>
      </c>
      <c r="E82" s="129">
        <v>4.75</v>
      </c>
      <c r="F82" s="121">
        <f>TRUNC('MEMÓRIA DESONERADA'!F480,2)</f>
        <v>75.78</v>
      </c>
      <c r="G82" s="121">
        <f t="shared" si="9"/>
        <v>97.61</v>
      </c>
      <c r="H82" s="121">
        <f t="shared" si="10"/>
        <v>359.95</v>
      </c>
      <c r="I82" s="122">
        <f t="shared" si="11"/>
        <v>463.64</v>
      </c>
    </row>
    <row r="83" spans="1:9" s="57" customFormat="1" ht="75">
      <c r="A83" s="116" t="s">
        <v>247</v>
      </c>
      <c r="B83" s="117" t="s">
        <v>1876</v>
      </c>
      <c r="C83" s="318" t="s">
        <v>1875</v>
      </c>
      <c r="D83" s="119" t="s">
        <v>17</v>
      </c>
      <c r="E83" s="120">
        <v>512.04999999999995</v>
      </c>
      <c r="F83" s="121">
        <f>TRUNC('MEMÓRIA DESONERADA'!F486,2)</f>
        <v>102.4</v>
      </c>
      <c r="G83" s="121">
        <f t="shared" si="9"/>
        <v>131.91</v>
      </c>
      <c r="H83" s="121">
        <f t="shared" si="10"/>
        <v>52433.919999999998</v>
      </c>
      <c r="I83" s="122">
        <f t="shared" si="11"/>
        <v>67544.509999999995</v>
      </c>
    </row>
    <row r="84" spans="1:9" ht="60">
      <c r="A84" s="123" t="s">
        <v>266</v>
      </c>
      <c r="B84" s="124" t="s">
        <v>267</v>
      </c>
      <c r="C84" s="125" t="s">
        <v>268</v>
      </c>
      <c r="D84" s="126" t="s">
        <v>23</v>
      </c>
      <c r="E84" s="122">
        <v>432</v>
      </c>
      <c r="F84" s="121">
        <f>TRUNC('MEMÓRIA DESONERADA'!F505,2)</f>
        <v>22.85</v>
      </c>
      <c r="G84" s="121">
        <f t="shared" si="9"/>
        <v>29.43</v>
      </c>
      <c r="H84" s="121">
        <f t="shared" si="10"/>
        <v>9871.2000000000007</v>
      </c>
      <c r="I84" s="122">
        <f t="shared" si="11"/>
        <v>12713.76</v>
      </c>
    </row>
    <row r="85" spans="1:9" s="57" customFormat="1" ht="60.75">
      <c r="A85" s="116" t="s">
        <v>271</v>
      </c>
      <c r="B85" s="117" t="s">
        <v>1881</v>
      </c>
      <c r="C85" s="318" t="s">
        <v>1882</v>
      </c>
      <c r="D85" s="317" t="s">
        <v>17</v>
      </c>
      <c r="E85" s="121">
        <v>10.4</v>
      </c>
      <c r="F85" s="121">
        <f>TRUNC('MEMÓRIA DESONERADA'!F514,2)</f>
        <v>113.85</v>
      </c>
      <c r="G85" s="121">
        <f t="shared" si="9"/>
        <v>146.66</v>
      </c>
      <c r="H85" s="121">
        <f t="shared" si="10"/>
        <v>1184.04</v>
      </c>
      <c r="I85" s="122">
        <f t="shared" si="11"/>
        <v>1525.26</v>
      </c>
    </row>
    <row r="86" spans="1:9" ht="45">
      <c r="A86" s="123" t="s">
        <v>272</v>
      </c>
      <c r="B86" s="128" t="s">
        <v>279</v>
      </c>
      <c r="C86" s="127" t="s">
        <v>1883</v>
      </c>
      <c r="D86" s="123" t="s">
        <v>17</v>
      </c>
      <c r="E86" s="129">
        <v>70</v>
      </c>
      <c r="F86" s="121">
        <f>TRUNC('MEMÓRIA DESONERADA'!F530,2)</f>
        <v>156.99</v>
      </c>
      <c r="G86" s="121">
        <f t="shared" si="9"/>
        <v>202.23</v>
      </c>
      <c r="H86" s="121">
        <f t="shared" si="10"/>
        <v>10989.3</v>
      </c>
      <c r="I86" s="122">
        <f t="shared" si="11"/>
        <v>14156.1</v>
      </c>
    </row>
    <row r="87" spans="1:9" ht="45">
      <c r="A87" s="123" t="s">
        <v>287</v>
      </c>
      <c r="B87" s="124" t="s">
        <v>1614</v>
      </c>
      <c r="C87" s="125" t="s">
        <v>1884</v>
      </c>
      <c r="D87" s="126" t="s">
        <v>17</v>
      </c>
      <c r="E87" s="122">
        <v>377.95</v>
      </c>
      <c r="F87" s="121">
        <f>TRUNC('MEMÓRIA DESONERADA'!F538,2)</f>
        <v>83.02</v>
      </c>
      <c r="G87" s="121">
        <f t="shared" si="9"/>
        <v>106.94</v>
      </c>
      <c r="H87" s="121">
        <f t="shared" si="10"/>
        <v>31377.4</v>
      </c>
      <c r="I87" s="122">
        <f t="shared" si="11"/>
        <v>40417.97</v>
      </c>
    </row>
    <row r="88" spans="1:9" s="57" customFormat="1" ht="75.75">
      <c r="A88" s="116" t="s">
        <v>302</v>
      </c>
      <c r="B88" s="117" t="s">
        <v>303</v>
      </c>
      <c r="C88" s="318" t="s">
        <v>1677</v>
      </c>
      <c r="D88" s="317" t="s">
        <v>17</v>
      </c>
      <c r="E88" s="317">
        <v>501.15</v>
      </c>
      <c r="F88" s="121">
        <f>TRUNC('MEMÓRIA DESONERADA'!F548,2)</f>
        <v>104.35</v>
      </c>
      <c r="G88" s="121">
        <f t="shared" si="9"/>
        <v>134.41999999999999</v>
      </c>
      <c r="H88" s="121">
        <f t="shared" si="10"/>
        <v>52295</v>
      </c>
      <c r="I88" s="122">
        <f t="shared" si="11"/>
        <v>67364.58</v>
      </c>
    </row>
    <row r="89" spans="1:9" ht="45.75">
      <c r="A89" s="123" t="s">
        <v>307</v>
      </c>
      <c r="B89" s="128" t="s">
        <v>308</v>
      </c>
      <c r="C89" s="127" t="s">
        <v>1678</v>
      </c>
      <c r="D89" s="123" t="s">
        <v>17</v>
      </c>
      <c r="E89" s="129">
        <v>32.81</v>
      </c>
      <c r="F89" s="121">
        <f>TRUNC('MEMÓRIA DESONERADA'!F556,2)</f>
        <v>230.05</v>
      </c>
      <c r="G89" s="121">
        <f t="shared" si="9"/>
        <v>296.35000000000002</v>
      </c>
      <c r="H89" s="121">
        <f t="shared" si="10"/>
        <v>7547.94</v>
      </c>
      <c r="I89" s="122">
        <f t="shared" si="11"/>
        <v>9723.24</v>
      </c>
    </row>
    <row r="90" spans="1:9" ht="76.5">
      <c r="A90" s="123" t="s">
        <v>314</v>
      </c>
      <c r="B90" s="128" t="s">
        <v>315</v>
      </c>
      <c r="C90" s="127" t="s">
        <v>1679</v>
      </c>
      <c r="D90" s="123" t="s">
        <v>23</v>
      </c>
      <c r="E90" s="129">
        <v>11.83</v>
      </c>
      <c r="F90" s="121">
        <f>TRUNC('MEMÓRIA DESONERADA'!F563,2)</f>
        <v>68.16</v>
      </c>
      <c r="G90" s="121">
        <f t="shared" si="9"/>
        <v>87.8</v>
      </c>
      <c r="H90" s="121">
        <f t="shared" si="10"/>
        <v>806.33</v>
      </c>
      <c r="I90" s="122">
        <f t="shared" si="11"/>
        <v>1038.67</v>
      </c>
    </row>
    <row r="91" spans="1:9" ht="60">
      <c r="A91" s="123" t="s">
        <v>327</v>
      </c>
      <c r="B91" s="128" t="s">
        <v>315</v>
      </c>
      <c r="C91" s="127" t="s">
        <v>316</v>
      </c>
      <c r="D91" s="123" t="s">
        <v>23</v>
      </c>
      <c r="E91" s="129">
        <v>5.5</v>
      </c>
      <c r="F91" s="121">
        <f>TRUNC('MEMÓRIA DESONERADA'!F572,2)</f>
        <v>68.16</v>
      </c>
      <c r="G91" s="121">
        <f t="shared" si="9"/>
        <v>87.8</v>
      </c>
      <c r="H91" s="121">
        <f t="shared" si="10"/>
        <v>374.88</v>
      </c>
      <c r="I91" s="122">
        <f t="shared" si="11"/>
        <v>482.9</v>
      </c>
    </row>
    <row r="92" spans="1:9" ht="60">
      <c r="A92" s="123" t="s">
        <v>328</v>
      </c>
      <c r="B92" s="128" t="s">
        <v>317</v>
      </c>
      <c r="C92" s="127" t="s">
        <v>318</v>
      </c>
      <c r="D92" s="123" t="s">
        <v>23</v>
      </c>
      <c r="E92" s="129">
        <v>5</v>
      </c>
      <c r="F92" s="121">
        <f>TRUNC('MEMÓRIA DESONERADA'!F581,2)</f>
        <v>103.13</v>
      </c>
      <c r="G92" s="121">
        <f t="shared" si="9"/>
        <v>132.85</v>
      </c>
      <c r="H92" s="121">
        <f t="shared" si="10"/>
        <v>515.65</v>
      </c>
      <c r="I92" s="122">
        <f t="shared" si="11"/>
        <v>664.25</v>
      </c>
    </row>
    <row r="93" spans="1:9" ht="62.25">
      <c r="A93" s="123" t="s">
        <v>333</v>
      </c>
      <c r="B93" s="128" t="s">
        <v>329</v>
      </c>
      <c r="C93" s="127" t="s">
        <v>1885</v>
      </c>
      <c r="D93" s="123" t="s">
        <v>17</v>
      </c>
      <c r="E93" s="129">
        <f>73.45*0.17+54.7*0.27</f>
        <v>27.255500000000005</v>
      </c>
      <c r="F93" s="121">
        <f>TRUNC('MEMÓRIA DESONERADA'!F590,2)</f>
        <v>523.58000000000004</v>
      </c>
      <c r="G93" s="121">
        <f t="shared" si="9"/>
        <v>674.47</v>
      </c>
      <c r="H93" s="121">
        <f t="shared" si="10"/>
        <v>14270.43</v>
      </c>
      <c r="I93" s="122">
        <f t="shared" si="11"/>
        <v>18383.009999999998</v>
      </c>
    </row>
    <row r="94" spans="1:9" s="261" customFormat="1" ht="61.5">
      <c r="A94" s="123" t="s">
        <v>338</v>
      </c>
      <c r="B94" s="128" t="s">
        <v>1615</v>
      </c>
      <c r="C94" s="127" t="s">
        <v>2026</v>
      </c>
      <c r="D94" s="123" t="s">
        <v>23</v>
      </c>
      <c r="E94" s="129">
        <v>24.72</v>
      </c>
      <c r="F94" s="129">
        <f>TRUNC('MEMÓRIA DESONERADA'!F597,2)</f>
        <v>162.87</v>
      </c>
      <c r="G94" s="129">
        <f t="shared" si="9"/>
        <v>209.8</v>
      </c>
      <c r="H94" s="129">
        <f t="shared" si="10"/>
        <v>4026.14</v>
      </c>
      <c r="I94" s="129">
        <f t="shared" si="11"/>
        <v>5186.25</v>
      </c>
    </row>
    <row r="95" spans="1:9" s="261" customFormat="1" ht="61.5">
      <c r="A95" s="123" t="s">
        <v>339</v>
      </c>
      <c r="B95" s="128" t="s">
        <v>1616</v>
      </c>
      <c r="C95" s="127" t="s">
        <v>2027</v>
      </c>
      <c r="D95" s="123" t="s">
        <v>23</v>
      </c>
      <c r="E95" s="129">
        <v>47.82</v>
      </c>
      <c r="F95" s="129">
        <f>TRUNC('MEMÓRIA DESONERADA'!F606,2)</f>
        <v>108.58</v>
      </c>
      <c r="G95" s="129">
        <f t="shared" si="9"/>
        <v>139.87</v>
      </c>
      <c r="H95" s="129">
        <f t="shared" si="10"/>
        <v>5192.29</v>
      </c>
      <c r="I95" s="129">
        <f t="shared" si="11"/>
        <v>6688.58</v>
      </c>
    </row>
    <row r="96" spans="1:9" s="261" customFormat="1" ht="30.75">
      <c r="A96" s="123" t="s">
        <v>340</v>
      </c>
      <c r="B96" s="128" t="s">
        <v>1638</v>
      </c>
      <c r="C96" s="127" t="s">
        <v>1686</v>
      </c>
      <c r="D96" s="123" t="s">
        <v>23</v>
      </c>
      <c r="E96" s="129">
        <v>15.4</v>
      </c>
      <c r="F96" s="129">
        <f>TRUNC('MEMÓRIA DESONERADA'!F615,2)</f>
        <v>109.61</v>
      </c>
      <c r="G96" s="129">
        <f t="shared" si="9"/>
        <v>141.19</v>
      </c>
      <c r="H96" s="129">
        <f t="shared" si="10"/>
        <v>1687.99</v>
      </c>
      <c r="I96" s="129">
        <f t="shared" si="11"/>
        <v>2174.3200000000002</v>
      </c>
    </row>
    <row r="97" spans="1:9" s="261" customFormat="1" ht="30.75">
      <c r="A97" s="123" t="s">
        <v>341</v>
      </c>
      <c r="B97" s="128" t="s">
        <v>1681</v>
      </c>
      <c r="C97" s="127" t="s">
        <v>1685</v>
      </c>
      <c r="D97" s="123" t="s">
        <v>23</v>
      </c>
      <c r="E97" s="129">
        <v>18.61</v>
      </c>
      <c r="F97" s="129">
        <f>TRUNC('MEMÓRIA DESONERADA'!F621,2)</f>
        <v>77.22</v>
      </c>
      <c r="G97" s="129">
        <f t="shared" si="9"/>
        <v>99.47</v>
      </c>
      <c r="H97" s="129">
        <f t="shared" si="10"/>
        <v>1437.06</v>
      </c>
      <c r="I97" s="129">
        <f t="shared" si="11"/>
        <v>1851.13</v>
      </c>
    </row>
    <row r="98" spans="1:9" ht="35.25">
      <c r="A98" s="123" t="s">
        <v>348</v>
      </c>
      <c r="B98" s="128" t="s">
        <v>349</v>
      </c>
      <c r="C98" s="127" t="s">
        <v>347</v>
      </c>
      <c r="D98" s="123" t="s">
        <v>23</v>
      </c>
      <c r="E98" s="129">
        <v>2.5499999999999998</v>
      </c>
      <c r="F98" s="129">
        <f>TRUNC('MEMÓRIA DESONERADA'!F627,2)</f>
        <v>254.45</v>
      </c>
      <c r="G98" s="129">
        <f t="shared" si="9"/>
        <v>327.78</v>
      </c>
      <c r="H98" s="129">
        <f t="shared" si="10"/>
        <v>648.84</v>
      </c>
      <c r="I98" s="129">
        <f t="shared" si="11"/>
        <v>835.83</v>
      </c>
    </row>
    <row r="99" spans="1:9" ht="35.25">
      <c r="A99" s="123" t="s">
        <v>350</v>
      </c>
      <c r="B99" s="128" t="s">
        <v>349</v>
      </c>
      <c r="C99" s="127" t="s">
        <v>1617</v>
      </c>
      <c r="D99" s="123" t="s">
        <v>23</v>
      </c>
      <c r="E99" s="129">
        <v>2.1</v>
      </c>
      <c r="F99" s="129">
        <f>TRUNC('MEMÓRIA DESONERADA'!F633,2)</f>
        <v>137.01</v>
      </c>
      <c r="G99" s="129">
        <f t="shared" si="9"/>
        <v>176.49</v>
      </c>
      <c r="H99" s="129">
        <f t="shared" si="10"/>
        <v>287.72000000000003</v>
      </c>
      <c r="I99" s="129">
        <f t="shared" si="11"/>
        <v>370.62</v>
      </c>
    </row>
    <row r="100" spans="1:9" ht="45.75">
      <c r="A100" s="123" t="s">
        <v>355</v>
      </c>
      <c r="B100" s="128" t="s">
        <v>1687</v>
      </c>
      <c r="C100" s="127" t="s">
        <v>1886</v>
      </c>
      <c r="D100" s="123" t="s">
        <v>17</v>
      </c>
      <c r="E100" s="129">
        <v>14</v>
      </c>
      <c r="F100" s="129">
        <f>TRUNC('MEMÓRIA DESONERADA'!F639,2)</f>
        <v>99.55</v>
      </c>
      <c r="G100" s="129">
        <f t="shared" si="9"/>
        <v>128.24</v>
      </c>
      <c r="H100" s="129">
        <f t="shared" si="10"/>
        <v>1393.7</v>
      </c>
      <c r="I100" s="129">
        <f t="shared" si="11"/>
        <v>1795.36</v>
      </c>
    </row>
    <row r="101" spans="1:9" ht="46.5">
      <c r="A101" s="123" t="s">
        <v>1680</v>
      </c>
      <c r="B101" s="128" t="s">
        <v>1693</v>
      </c>
      <c r="C101" s="127" t="s">
        <v>1887</v>
      </c>
      <c r="D101" s="123" t="s">
        <v>17</v>
      </c>
      <c r="E101" s="129">
        <v>13</v>
      </c>
      <c r="F101" s="129">
        <f>TRUNC('MEMÓRIA DESONERADA'!F646,2)</f>
        <v>99.55</v>
      </c>
      <c r="G101" s="129">
        <f t="shared" si="9"/>
        <v>128.24</v>
      </c>
      <c r="H101" s="129">
        <f t="shared" si="10"/>
        <v>1294.1500000000001</v>
      </c>
      <c r="I101" s="129">
        <f t="shared" si="11"/>
        <v>1667.12</v>
      </c>
    </row>
    <row r="102" spans="1:9" s="169" customFormat="1" ht="15.75">
      <c r="A102" s="328" t="s">
        <v>18</v>
      </c>
      <c r="B102" s="316"/>
      <c r="C102" s="288"/>
      <c r="D102" s="328"/>
      <c r="E102" s="289"/>
      <c r="F102" s="131"/>
      <c r="G102" s="325" t="s">
        <v>356</v>
      </c>
      <c r="H102" s="131">
        <f>SUM(H74:H101)</f>
        <v>351172.32000000007</v>
      </c>
      <c r="I102" s="131">
        <f>SUM(I74:I101)</f>
        <v>452343.63000000006</v>
      </c>
    </row>
    <row r="103" spans="1:9" ht="14.25" customHeight="1">
      <c r="A103" s="328" t="s">
        <v>22</v>
      </c>
      <c r="B103" s="128"/>
      <c r="C103" s="372" t="s">
        <v>25</v>
      </c>
      <c r="D103" s="372"/>
      <c r="E103" s="372"/>
      <c r="F103" s="372"/>
      <c r="G103" s="372"/>
      <c r="H103" s="372"/>
      <c r="I103" s="372"/>
    </row>
    <row r="104" spans="1:9" ht="60">
      <c r="A104" s="123" t="s">
        <v>365</v>
      </c>
      <c r="B104" s="128" t="s">
        <v>1767</v>
      </c>
      <c r="C104" s="127" t="s">
        <v>1764</v>
      </c>
      <c r="D104" s="123" t="s">
        <v>7</v>
      </c>
      <c r="E104" s="129">
        <v>6</v>
      </c>
      <c r="F104" s="129">
        <f>TRUNC('MEMÓRIA DESONERADA'!F655,2)</f>
        <v>962.35</v>
      </c>
      <c r="G104" s="129">
        <f t="shared" ref="G104:G112" si="12">TRUNC(F104*1.2882,2)</f>
        <v>1239.69</v>
      </c>
      <c r="H104" s="129">
        <f t="shared" ref="H104:H136" si="13">TRUNC(F104*E104,2)</f>
        <v>5774.1</v>
      </c>
      <c r="I104" s="129">
        <f t="shared" ref="I104:I136" si="14">TRUNC(E104*G104,2)</f>
        <v>7438.14</v>
      </c>
    </row>
    <row r="105" spans="1:9" ht="60">
      <c r="A105" s="123" t="s">
        <v>366</v>
      </c>
      <c r="B105" s="128" t="s">
        <v>1767</v>
      </c>
      <c r="C105" s="127" t="s">
        <v>1768</v>
      </c>
      <c r="D105" s="123" t="s">
        <v>7</v>
      </c>
      <c r="E105" s="129">
        <v>3</v>
      </c>
      <c r="F105" s="129">
        <f>TRUNC('MEMÓRIA DESONERADA'!F672,2)</f>
        <v>792.35</v>
      </c>
      <c r="G105" s="129">
        <f t="shared" si="12"/>
        <v>1020.7</v>
      </c>
      <c r="H105" s="129">
        <f t="shared" si="13"/>
        <v>2377.0500000000002</v>
      </c>
      <c r="I105" s="129">
        <f t="shared" si="14"/>
        <v>3062.1</v>
      </c>
    </row>
    <row r="106" spans="1:9" ht="50.25">
      <c r="A106" s="123" t="s">
        <v>367</v>
      </c>
      <c r="B106" s="128" t="s">
        <v>363</v>
      </c>
      <c r="C106" s="127" t="s">
        <v>1697</v>
      </c>
      <c r="D106" s="123" t="s">
        <v>7</v>
      </c>
      <c r="E106" s="129">
        <v>3</v>
      </c>
      <c r="F106" s="129">
        <f>TRUNC('MEMÓRIA DESONERADA'!F689,2)</f>
        <v>942.03</v>
      </c>
      <c r="G106" s="129">
        <f t="shared" si="12"/>
        <v>1213.52</v>
      </c>
      <c r="H106" s="129">
        <f t="shared" si="13"/>
        <v>2826.09</v>
      </c>
      <c r="I106" s="129">
        <f t="shared" si="14"/>
        <v>3640.56</v>
      </c>
    </row>
    <row r="107" spans="1:9" ht="50.25">
      <c r="A107" s="123" t="s">
        <v>368</v>
      </c>
      <c r="B107" s="128" t="s">
        <v>363</v>
      </c>
      <c r="C107" s="127" t="s">
        <v>1698</v>
      </c>
      <c r="D107" s="123" t="s">
        <v>7</v>
      </c>
      <c r="E107" s="129">
        <v>5</v>
      </c>
      <c r="F107" s="129">
        <f>TRUNC('MEMÓRIA DESONERADA'!F699,2)</f>
        <v>772.03</v>
      </c>
      <c r="G107" s="129">
        <f t="shared" si="12"/>
        <v>994.52</v>
      </c>
      <c r="H107" s="129">
        <f t="shared" si="13"/>
        <v>3860.15</v>
      </c>
      <c r="I107" s="129">
        <f t="shared" si="14"/>
        <v>4972.6000000000004</v>
      </c>
    </row>
    <row r="108" spans="1:9" ht="45">
      <c r="A108" s="123" t="s">
        <v>369</v>
      </c>
      <c r="B108" s="128" t="s">
        <v>370</v>
      </c>
      <c r="C108" s="127" t="s">
        <v>2028</v>
      </c>
      <c r="D108" s="123" t="s">
        <v>17</v>
      </c>
      <c r="E108" s="129">
        <v>20.16</v>
      </c>
      <c r="F108" s="129">
        <f>TRUNC('MEMÓRIA DESONERADA'!F709,2)</f>
        <v>1315.66</v>
      </c>
      <c r="G108" s="129">
        <f t="shared" si="12"/>
        <v>1694.83</v>
      </c>
      <c r="H108" s="129">
        <f t="shared" si="13"/>
        <v>26523.7</v>
      </c>
      <c r="I108" s="129">
        <f t="shared" si="14"/>
        <v>34167.769999999997</v>
      </c>
    </row>
    <row r="109" spans="1:9" ht="75">
      <c r="A109" s="123" t="s">
        <v>376</v>
      </c>
      <c r="B109" s="128" t="s">
        <v>380</v>
      </c>
      <c r="C109" s="127" t="s">
        <v>2082</v>
      </c>
      <c r="D109" s="123" t="s">
        <v>379</v>
      </c>
      <c r="E109" s="129">
        <v>2</v>
      </c>
      <c r="F109" s="129">
        <f>TRUNC('MEMÓRIA DESONERADA'!F715,2)</f>
        <v>2519.48</v>
      </c>
      <c r="G109" s="129">
        <f t="shared" si="12"/>
        <v>3245.59</v>
      </c>
      <c r="H109" s="129">
        <f t="shared" si="13"/>
        <v>5038.96</v>
      </c>
      <c r="I109" s="129">
        <f t="shared" si="14"/>
        <v>6491.18</v>
      </c>
    </row>
    <row r="110" spans="1:9" ht="75">
      <c r="A110" s="123" t="s">
        <v>381</v>
      </c>
      <c r="B110" s="128" t="s">
        <v>380</v>
      </c>
      <c r="C110" s="127" t="s">
        <v>2083</v>
      </c>
      <c r="D110" s="123" t="s">
        <v>379</v>
      </c>
      <c r="E110" s="129">
        <v>1</v>
      </c>
      <c r="F110" s="129">
        <f>TRUNC('MEMÓRIA DESONERADA'!F726,2)</f>
        <v>2834.42</v>
      </c>
      <c r="G110" s="129">
        <f t="shared" si="12"/>
        <v>3651.29</v>
      </c>
      <c r="H110" s="129">
        <f t="shared" si="13"/>
        <v>2834.42</v>
      </c>
      <c r="I110" s="129">
        <f t="shared" si="14"/>
        <v>3651.29</v>
      </c>
    </row>
    <row r="111" spans="1:9" ht="75">
      <c r="A111" s="123" t="s">
        <v>382</v>
      </c>
      <c r="B111" s="128" t="s">
        <v>1699</v>
      </c>
      <c r="C111" s="127" t="s">
        <v>1700</v>
      </c>
      <c r="D111" s="123" t="s">
        <v>7</v>
      </c>
      <c r="E111" s="129">
        <v>17</v>
      </c>
      <c r="F111" s="129">
        <f>TRUNC('MEMÓRIA DESONERADA'!F737,2)</f>
        <v>96.76</v>
      </c>
      <c r="G111" s="129">
        <f t="shared" si="12"/>
        <v>124.64</v>
      </c>
      <c r="H111" s="129">
        <f t="shared" si="13"/>
        <v>1644.92</v>
      </c>
      <c r="I111" s="129">
        <f t="shared" si="14"/>
        <v>2118.88</v>
      </c>
    </row>
    <row r="112" spans="1:9" ht="120">
      <c r="A112" s="123" t="s">
        <v>384</v>
      </c>
      <c r="B112" s="128" t="s">
        <v>1778</v>
      </c>
      <c r="C112" s="127" t="s">
        <v>1777</v>
      </c>
      <c r="D112" s="123" t="s">
        <v>7</v>
      </c>
      <c r="E112" s="129">
        <v>14</v>
      </c>
      <c r="F112" s="129">
        <f>TRUNC('MEMÓRIA DESONERADA'!F742,2)</f>
        <v>150.94</v>
      </c>
      <c r="G112" s="129">
        <f t="shared" si="12"/>
        <v>194.44</v>
      </c>
      <c r="H112" s="129">
        <f t="shared" si="13"/>
        <v>2113.16</v>
      </c>
      <c r="I112" s="129">
        <f t="shared" si="14"/>
        <v>2722.16</v>
      </c>
    </row>
    <row r="113" spans="1:9" s="115" customFormat="1" ht="45.75">
      <c r="A113" s="123" t="s">
        <v>385</v>
      </c>
      <c r="B113" s="128" t="s">
        <v>1620</v>
      </c>
      <c r="C113" s="127" t="s">
        <v>2068</v>
      </c>
      <c r="D113" s="123" t="s">
        <v>383</v>
      </c>
      <c r="E113" s="129">
        <f>TRUNC('MEMÓRIA DESONERADA'!E749,2)</f>
        <v>1</v>
      </c>
      <c r="F113" s="129">
        <f>TRUNC('MEMÓRIA DESONERADA'!F749,2)</f>
        <v>5035</v>
      </c>
      <c r="G113" s="129">
        <f t="shared" ref="G113:G123" si="15">TRUNC(F113*1.2285,2)</f>
        <v>6185.49</v>
      </c>
      <c r="H113" s="129">
        <f t="shared" si="13"/>
        <v>5035</v>
      </c>
      <c r="I113" s="129">
        <f t="shared" si="14"/>
        <v>6185.49</v>
      </c>
    </row>
    <row r="114" spans="1:9" s="115" customFormat="1" ht="45.75">
      <c r="A114" s="123" t="s">
        <v>386</v>
      </c>
      <c r="B114" s="128" t="s">
        <v>1620</v>
      </c>
      <c r="C114" s="127" t="s">
        <v>2069</v>
      </c>
      <c r="D114" s="123" t="s">
        <v>383</v>
      </c>
      <c r="E114" s="129">
        <v>1</v>
      </c>
      <c r="F114" s="129">
        <f>TRUNC('MEMÓRIA DESONERADA'!F761,2)</f>
        <v>744.61</v>
      </c>
      <c r="G114" s="129">
        <f t="shared" si="15"/>
        <v>914.75</v>
      </c>
      <c r="H114" s="129">
        <f t="shared" si="13"/>
        <v>744.61</v>
      </c>
      <c r="I114" s="129">
        <f t="shared" si="14"/>
        <v>914.75</v>
      </c>
    </row>
    <row r="115" spans="1:9" s="115" customFormat="1" ht="45.75">
      <c r="A115" s="123" t="s">
        <v>387</v>
      </c>
      <c r="B115" s="128" t="s">
        <v>1620</v>
      </c>
      <c r="C115" s="127" t="s">
        <v>2070</v>
      </c>
      <c r="D115" s="123" t="s">
        <v>383</v>
      </c>
      <c r="E115" s="129">
        <v>2</v>
      </c>
      <c r="F115" s="129">
        <f>TRUNC('MEMÓRIA DESONERADA'!F773,2)</f>
        <v>1210</v>
      </c>
      <c r="G115" s="129">
        <f t="shared" si="15"/>
        <v>1486.48</v>
      </c>
      <c r="H115" s="129">
        <f t="shared" si="13"/>
        <v>2420</v>
      </c>
      <c r="I115" s="129">
        <f t="shared" si="14"/>
        <v>2972.96</v>
      </c>
    </row>
    <row r="116" spans="1:9" s="115" customFormat="1" ht="45.75">
      <c r="A116" s="123" t="s">
        <v>388</v>
      </c>
      <c r="B116" s="128" t="s">
        <v>1620</v>
      </c>
      <c r="C116" s="127" t="s">
        <v>2071</v>
      </c>
      <c r="D116" s="123" t="s">
        <v>383</v>
      </c>
      <c r="E116" s="129">
        <v>1</v>
      </c>
      <c r="F116" s="129">
        <f>TRUNC('MEMÓRIA DESONERADA'!F785,2)</f>
        <v>1258</v>
      </c>
      <c r="G116" s="129">
        <f t="shared" si="15"/>
        <v>1545.45</v>
      </c>
      <c r="H116" s="129">
        <f t="shared" si="13"/>
        <v>1258</v>
      </c>
      <c r="I116" s="129">
        <f t="shared" si="14"/>
        <v>1545.45</v>
      </c>
    </row>
    <row r="117" spans="1:9" s="115" customFormat="1" ht="45.75">
      <c r="A117" s="123" t="s">
        <v>389</v>
      </c>
      <c r="B117" s="128" t="s">
        <v>1620</v>
      </c>
      <c r="C117" s="127" t="s">
        <v>2072</v>
      </c>
      <c r="D117" s="123" t="s">
        <v>383</v>
      </c>
      <c r="E117" s="129">
        <v>1</v>
      </c>
      <c r="F117" s="129">
        <f>TRUNC('MEMÓRIA DESONERADA'!F797,2)</f>
        <v>1312</v>
      </c>
      <c r="G117" s="129">
        <f t="shared" si="15"/>
        <v>1611.79</v>
      </c>
      <c r="H117" s="129">
        <f t="shared" si="13"/>
        <v>1312</v>
      </c>
      <c r="I117" s="129">
        <f t="shared" si="14"/>
        <v>1611.79</v>
      </c>
    </row>
    <row r="118" spans="1:9" s="115" customFormat="1" ht="45.75">
      <c r="A118" s="123" t="s">
        <v>390</v>
      </c>
      <c r="B118" s="128" t="s">
        <v>1620</v>
      </c>
      <c r="C118" s="127" t="s">
        <v>2073</v>
      </c>
      <c r="D118" s="123" t="s">
        <v>383</v>
      </c>
      <c r="E118" s="129">
        <v>5</v>
      </c>
      <c r="F118" s="129">
        <f>TRUNC('MEMÓRIA DESONERADA'!F809,2)</f>
        <v>1316</v>
      </c>
      <c r="G118" s="129">
        <f t="shared" si="15"/>
        <v>1616.7</v>
      </c>
      <c r="H118" s="129">
        <f t="shared" si="13"/>
        <v>6580</v>
      </c>
      <c r="I118" s="129">
        <f t="shared" si="14"/>
        <v>8083.5</v>
      </c>
    </row>
    <row r="119" spans="1:9" s="115" customFormat="1" ht="45.75">
      <c r="A119" s="123" t="s">
        <v>391</v>
      </c>
      <c r="B119" s="128" t="s">
        <v>1620</v>
      </c>
      <c r="C119" s="127" t="s">
        <v>2074</v>
      </c>
      <c r="D119" s="123" t="s">
        <v>383</v>
      </c>
      <c r="E119" s="129">
        <v>2</v>
      </c>
      <c r="F119" s="129">
        <f>TRUNC('MEMÓRIA DESONERADA'!F821,2)</f>
        <v>1354</v>
      </c>
      <c r="G119" s="129">
        <f t="shared" si="15"/>
        <v>1663.38</v>
      </c>
      <c r="H119" s="129">
        <f t="shared" si="13"/>
        <v>2708</v>
      </c>
      <c r="I119" s="129">
        <f t="shared" si="14"/>
        <v>3326.76</v>
      </c>
    </row>
    <row r="120" spans="1:9" s="115" customFormat="1" ht="45.75">
      <c r="A120" s="123" t="s">
        <v>398</v>
      </c>
      <c r="B120" s="128" t="s">
        <v>1620</v>
      </c>
      <c r="C120" s="127" t="s">
        <v>2075</v>
      </c>
      <c r="D120" s="123" t="s">
        <v>383</v>
      </c>
      <c r="E120" s="129">
        <v>5</v>
      </c>
      <c r="F120" s="129">
        <f>TRUNC('MEMÓRIA DESONERADA'!F833,2)</f>
        <v>1531.5</v>
      </c>
      <c r="G120" s="129">
        <f t="shared" si="15"/>
        <v>1881.44</v>
      </c>
      <c r="H120" s="129">
        <f t="shared" si="13"/>
        <v>7657.5</v>
      </c>
      <c r="I120" s="129">
        <f t="shared" si="14"/>
        <v>9407.2000000000007</v>
      </c>
    </row>
    <row r="121" spans="1:9" s="115" customFormat="1" ht="45.75">
      <c r="A121" s="123" t="s">
        <v>399</v>
      </c>
      <c r="B121" s="128" t="s">
        <v>1620</v>
      </c>
      <c r="C121" s="127" t="s">
        <v>2076</v>
      </c>
      <c r="D121" s="123" t="s">
        <v>383</v>
      </c>
      <c r="E121" s="129">
        <v>2</v>
      </c>
      <c r="F121" s="129">
        <f>TRUNC('MEMÓRIA DESONERADA'!F845,2)</f>
        <v>1753</v>
      </c>
      <c r="G121" s="129">
        <f t="shared" si="15"/>
        <v>2153.56</v>
      </c>
      <c r="H121" s="129">
        <f t="shared" si="13"/>
        <v>3506</v>
      </c>
      <c r="I121" s="129">
        <f t="shared" si="14"/>
        <v>4307.12</v>
      </c>
    </row>
    <row r="122" spans="1:9" s="115" customFormat="1" ht="45.75">
      <c r="A122" s="123" t="s">
        <v>410</v>
      </c>
      <c r="B122" s="128" t="s">
        <v>1620</v>
      </c>
      <c r="C122" s="127" t="s">
        <v>2077</v>
      </c>
      <c r="D122" s="123" t="s">
        <v>383</v>
      </c>
      <c r="E122" s="129">
        <v>1</v>
      </c>
      <c r="F122" s="129">
        <f>TRUNC('MEMÓRIA DESONERADA'!F857,2)</f>
        <v>1903</v>
      </c>
      <c r="G122" s="129">
        <f t="shared" si="15"/>
        <v>2337.83</v>
      </c>
      <c r="H122" s="129">
        <f t="shared" si="13"/>
        <v>1903</v>
      </c>
      <c r="I122" s="129">
        <f t="shared" si="14"/>
        <v>2337.83</v>
      </c>
    </row>
    <row r="123" spans="1:9" s="115" customFormat="1" ht="45.75">
      <c r="A123" s="123" t="s">
        <v>411</v>
      </c>
      <c r="B123" s="128" t="s">
        <v>1620</v>
      </c>
      <c r="C123" s="127" t="s">
        <v>2078</v>
      </c>
      <c r="D123" s="123" t="s">
        <v>383</v>
      </c>
      <c r="E123" s="129">
        <v>3</v>
      </c>
      <c r="F123" s="129">
        <f>TRUNC('MEMÓRIA DESONERADA'!F869,2)</f>
        <v>1990</v>
      </c>
      <c r="G123" s="129">
        <f t="shared" si="15"/>
        <v>2444.71</v>
      </c>
      <c r="H123" s="129">
        <f t="shared" si="13"/>
        <v>5970</v>
      </c>
      <c r="I123" s="129">
        <f t="shared" si="14"/>
        <v>7334.13</v>
      </c>
    </row>
    <row r="124" spans="1:9" s="115" customFormat="1" ht="75">
      <c r="A124" s="123" t="s">
        <v>416</v>
      </c>
      <c r="B124" s="128" t="s">
        <v>2039</v>
      </c>
      <c r="C124" s="127" t="s">
        <v>2040</v>
      </c>
      <c r="D124" s="123" t="s">
        <v>17</v>
      </c>
      <c r="E124" s="129">
        <f>0.8*0.8</f>
        <v>0.64000000000000012</v>
      </c>
      <c r="F124" s="129">
        <f>TRUNC('MEMÓRIA DESONERADA'!F880,2)</f>
        <v>763.13</v>
      </c>
      <c r="G124" s="129">
        <f t="shared" ref="G124:G134" si="16">TRUNC(F124*1.2882,2)</f>
        <v>983.06</v>
      </c>
      <c r="H124" s="129">
        <f t="shared" si="13"/>
        <v>488.4</v>
      </c>
      <c r="I124" s="129">
        <f t="shared" si="14"/>
        <v>629.15</v>
      </c>
    </row>
    <row r="125" spans="1:9" ht="105.75">
      <c r="A125" s="123" t="s">
        <v>1624</v>
      </c>
      <c r="B125" s="128" t="s">
        <v>1719</v>
      </c>
      <c r="C125" s="127" t="s">
        <v>2042</v>
      </c>
      <c r="D125" s="123" t="s">
        <v>17</v>
      </c>
      <c r="E125" s="129">
        <v>92.14</v>
      </c>
      <c r="F125" s="129">
        <f>TRUNC('MEMÓRIA DESONERADA'!F890,2)</f>
        <v>403.44</v>
      </c>
      <c r="G125" s="129">
        <f t="shared" si="16"/>
        <v>519.71</v>
      </c>
      <c r="H125" s="129">
        <f t="shared" si="13"/>
        <v>37172.959999999999</v>
      </c>
      <c r="I125" s="129">
        <f t="shared" si="14"/>
        <v>47886.07</v>
      </c>
    </row>
    <row r="126" spans="1:9" ht="30">
      <c r="A126" s="123" t="s">
        <v>1625</v>
      </c>
      <c r="B126" s="128" t="s">
        <v>406</v>
      </c>
      <c r="C126" s="127" t="s">
        <v>407</v>
      </c>
      <c r="D126" s="123" t="s">
        <v>17</v>
      </c>
      <c r="E126" s="129">
        <v>20.71</v>
      </c>
      <c r="F126" s="129">
        <f>TRUNC('MEMÓRIA DESONERADA'!F900,2)</f>
        <v>261.29000000000002</v>
      </c>
      <c r="G126" s="129">
        <f t="shared" si="16"/>
        <v>336.59</v>
      </c>
      <c r="H126" s="129">
        <f t="shared" si="13"/>
        <v>5411.31</v>
      </c>
      <c r="I126" s="129">
        <f t="shared" si="14"/>
        <v>6970.77</v>
      </c>
    </row>
    <row r="127" spans="1:9" ht="30.75">
      <c r="A127" s="123" t="s">
        <v>1626</v>
      </c>
      <c r="B127" s="128" t="s">
        <v>412</v>
      </c>
      <c r="C127" s="127" t="s">
        <v>1721</v>
      </c>
      <c r="D127" s="123" t="s">
        <v>17</v>
      </c>
      <c r="E127" s="129">
        <v>6.31</v>
      </c>
      <c r="F127" s="129">
        <f>TRUNC('MEMÓRIA DESONERADA'!F908,2)</f>
        <v>240.36</v>
      </c>
      <c r="G127" s="129">
        <f t="shared" si="16"/>
        <v>309.63</v>
      </c>
      <c r="H127" s="129">
        <f t="shared" si="13"/>
        <v>1516.67</v>
      </c>
      <c r="I127" s="129">
        <f t="shared" si="14"/>
        <v>1953.76</v>
      </c>
    </row>
    <row r="128" spans="1:9" ht="75.75">
      <c r="A128" s="123" t="s">
        <v>1706</v>
      </c>
      <c r="B128" s="128" t="s">
        <v>1781</v>
      </c>
      <c r="C128" s="127" t="s">
        <v>2043</v>
      </c>
      <c r="D128" s="123" t="s">
        <v>17</v>
      </c>
      <c r="E128" s="129">
        <v>12.82</v>
      </c>
      <c r="F128" s="129">
        <f>TRUNC('MEMÓRIA DESONERADA'!F916,2)</f>
        <v>1018.22</v>
      </c>
      <c r="G128" s="129">
        <f t="shared" si="16"/>
        <v>1311.67</v>
      </c>
      <c r="H128" s="129">
        <f t="shared" si="13"/>
        <v>13053.58</v>
      </c>
      <c r="I128" s="129">
        <f t="shared" si="14"/>
        <v>16815.599999999999</v>
      </c>
    </row>
    <row r="129" spans="1:9" ht="45">
      <c r="A129" s="123" t="s">
        <v>1724</v>
      </c>
      <c r="B129" s="128" t="s">
        <v>1937</v>
      </c>
      <c r="C129" s="127" t="s">
        <v>1936</v>
      </c>
      <c r="D129" s="123" t="s">
        <v>17</v>
      </c>
      <c r="E129" s="129">
        <v>0.99</v>
      </c>
      <c r="F129" s="129">
        <f>TRUNC('MEMÓRIA DESONERADA'!F925,2)</f>
        <v>524.71</v>
      </c>
      <c r="G129" s="129">
        <f t="shared" si="16"/>
        <v>675.93</v>
      </c>
      <c r="H129" s="129">
        <f t="shared" si="13"/>
        <v>519.46</v>
      </c>
      <c r="I129" s="129">
        <f t="shared" si="14"/>
        <v>669.17</v>
      </c>
    </row>
    <row r="130" spans="1:9" ht="43.5" customHeight="1">
      <c r="A130" s="123" t="s">
        <v>1725</v>
      </c>
      <c r="B130" s="128" t="s">
        <v>1938</v>
      </c>
      <c r="C130" s="127" t="s">
        <v>1940</v>
      </c>
      <c r="D130" s="123" t="s">
        <v>17</v>
      </c>
      <c r="E130" s="129">
        <v>4.5999999999999996</v>
      </c>
      <c r="F130" s="129">
        <f>TRUNC('MEMÓRIA DESONERADA'!F931,2)</f>
        <v>617.42999999999995</v>
      </c>
      <c r="G130" s="129">
        <f t="shared" si="16"/>
        <v>795.37</v>
      </c>
      <c r="H130" s="129">
        <f t="shared" si="13"/>
        <v>2840.17</v>
      </c>
      <c r="I130" s="129">
        <f t="shared" si="14"/>
        <v>3658.7</v>
      </c>
    </row>
    <row r="131" spans="1:9" ht="45">
      <c r="A131" s="123" t="s">
        <v>1742</v>
      </c>
      <c r="B131" s="128" t="s">
        <v>1938</v>
      </c>
      <c r="C131" s="127" t="s">
        <v>1941</v>
      </c>
      <c r="D131" s="123" t="s">
        <v>17</v>
      </c>
      <c r="E131" s="129">
        <v>7.28</v>
      </c>
      <c r="F131" s="129">
        <f>TRUNC('MEMÓRIA DESONERADA'!F937,2)</f>
        <v>617.42999999999995</v>
      </c>
      <c r="G131" s="129">
        <f t="shared" si="16"/>
        <v>795.37</v>
      </c>
      <c r="H131" s="129">
        <f t="shared" si="13"/>
        <v>4494.8900000000003</v>
      </c>
      <c r="I131" s="129">
        <f t="shared" si="14"/>
        <v>5790.29</v>
      </c>
    </row>
    <row r="132" spans="1:9" ht="45">
      <c r="A132" s="123" t="s">
        <v>1743</v>
      </c>
      <c r="B132" s="128" t="s">
        <v>1938</v>
      </c>
      <c r="C132" s="127" t="s">
        <v>1941</v>
      </c>
      <c r="D132" s="123" t="s">
        <v>17</v>
      </c>
      <c r="E132" s="129">
        <v>5.6</v>
      </c>
      <c r="F132" s="129">
        <f>TRUNC('MEMÓRIA DESONERADA'!F943,2)</f>
        <v>617.42999999999995</v>
      </c>
      <c r="G132" s="129">
        <f t="shared" si="16"/>
        <v>795.37</v>
      </c>
      <c r="H132" s="129">
        <f t="shared" si="13"/>
        <v>3457.6</v>
      </c>
      <c r="I132" s="129">
        <f t="shared" si="14"/>
        <v>4454.07</v>
      </c>
    </row>
    <row r="133" spans="1:9" ht="46.5">
      <c r="A133" s="123" t="s">
        <v>1744</v>
      </c>
      <c r="B133" s="128" t="s">
        <v>377</v>
      </c>
      <c r="C133" s="127" t="s">
        <v>1751</v>
      </c>
      <c r="D133" s="123" t="s">
        <v>17</v>
      </c>
      <c r="E133" s="129">
        <v>3.84</v>
      </c>
      <c r="F133" s="129">
        <f>TRUNC('MEMÓRIA DESONERADA'!F949,2)</f>
        <v>966.14</v>
      </c>
      <c r="G133" s="129">
        <f t="shared" si="16"/>
        <v>1244.58</v>
      </c>
      <c r="H133" s="129">
        <f t="shared" si="13"/>
        <v>3709.97</v>
      </c>
      <c r="I133" s="129">
        <f t="shared" si="14"/>
        <v>4779.18</v>
      </c>
    </row>
    <row r="134" spans="1:9" ht="46.5">
      <c r="A134" s="123" t="s">
        <v>1747</v>
      </c>
      <c r="B134" s="128" t="s">
        <v>1750</v>
      </c>
      <c r="C134" s="127" t="s">
        <v>1752</v>
      </c>
      <c r="D134" s="123" t="s">
        <v>17</v>
      </c>
      <c r="E134" s="129">
        <v>4.71</v>
      </c>
      <c r="F134" s="129">
        <f>TRUNC('MEMÓRIA DESONERADA'!F955,2)</f>
        <v>966.14</v>
      </c>
      <c r="G134" s="129">
        <f t="shared" si="16"/>
        <v>1244.58</v>
      </c>
      <c r="H134" s="129">
        <f t="shared" si="13"/>
        <v>4550.51</v>
      </c>
      <c r="I134" s="129">
        <f t="shared" si="14"/>
        <v>5861.97</v>
      </c>
    </row>
    <row r="135" spans="1:9" s="115" customFormat="1" ht="30.75">
      <c r="A135" s="123" t="s">
        <v>1782</v>
      </c>
      <c r="B135" s="128" t="s">
        <v>1620</v>
      </c>
      <c r="C135" s="127" t="s">
        <v>1749</v>
      </c>
      <c r="D135" s="123" t="s">
        <v>383</v>
      </c>
      <c r="E135" s="129">
        <v>1</v>
      </c>
      <c r="F135" s="129">
        <f>TRUNC('MEMÓRIA DESONERADA'!F961,2)</f>
        <v>1531.5</v>
      </c>
      <c r="G135" s="129">
        <f>TRUNC(F135*1.2285,2)</f>
        <v>1881.44</v>
      </c>
      <c r="H135" s="129">
        <f t="shared" si="13"/>
        <v>1531.5</v>
      </c>
      <c r="I135" s="129">
        <f t="shared" si="14"/>
        <v>1881.44</v>
      </c>
    </row>
    <row r="136" spans="1:9" s="115" customFormat="1" ht="60.75">
      <c r="A136" s="123" t="s">
        <v>1946</v>
      </c>
      <c r="B136" s="128" t="s">
        <v>1719</v>
      </c>
      <c r="C136" s="127" t="s">
        <v>2085</v>
      </c>
      <c r="D136" s="123" t="s">
        <v>1949</v>
      </c>
      <c r="E136" s="129">
        <v>3.35</v>
      </c>
      <c r="F136" s="129">
        <f>TRUNC('MEMÓRIA DESONERADA'!F972,2)</f>
        <v>575.48</v>
      </c>
      <c r="G136" s="129">
        <f>TRUNC(F136*1.2285,2)</f>
        <v>706.97</v>
      </c>
      <c r="H136" s="129">
        <f t="shared" si="13"/>
        <v>1927.85</v>
      </c>
      <c r="I136" s="129">
        <f t="shared" si="14"/>
        <v>2368.34</v>
      </c>
    </row>
    <row r="137" spans="1:9" s="115" customFormat="1" ht="45.75">
      <c r="A137" s="123" t="s">
        <v>2036</v>
      </c>
      <c r="B137" s="128" t="s">
        <v>2035</v>
      </c>
      <c r="C137" s="127" t="s">
        <v>2086</v>
      </c>
      <c r="D137" s="123" t="s">
        <v>383</v>
      </c>
      <c r="E137" s="129">
        <v>10</v>
      </c>
      <c r="F137" s="129">
        <f>TRUNC('MEMÓRIA DESONERADA'!F982,2)</f>
        <v>640.11</v>
      </c>
      <c r="G137" s="129">
        <f>TRUNC(F137*1.2285,2)</f>
        <v>786.37</v>
      </c>
      <c r="H137" s="129">
        <f t="shared" ref="H137" si="17">TRUNC(F137*E137,2)</f>
        <v>6401.1</v>
      </c>
      <c r="I137" s="129">
        <f t="shared" ref="I137" si="18">TRUNC(E137*G137,2)</f>
        <v>7863.7</v>
      </c>
    </row>
    <row r="138" spans="1:9" s="115" customFormat="1" ht="120">
      <c r="A138" s="123" t="s">
        <v>2044</v>
      </c>
      <c r="B138" s="128" t="s">
        <v>2045</v>
      </c>
      <c r="C138" s="127" t="s">
        <v>2093</v>
      </c>
      <c r="D138" s="123" t="s">
        <v>17</v>
      </c>
      <c r="E138" s="129">
        <v>1.8</v>
      </c>
      <c r="F138" s="129">
        <f>TRUNC('MEMÓRIA DESONERADA'!F991,2)</f>
        <v>1183.93</v>
      </c>
      <c r="G138" s="129">
        <f>TRUNC(F138*1.2285,2)</f>
        <v>1454.45</v>
      </c>
      <c r="H138" s="129">
        <f t="shared" ref="H138" si="19">TRUNC(F138*E138,2)</f>
        <v>2131.0700000000002</v>
      </c>
      <c r="I138" s="129">
        <f t="shared" ref="I138" si="20">TRUNC(E138*G138,2)</f>
        <v>2618.0100000000002</v>
      </c>
    </row>
    <row r="139" spans="1:9" s="115" customFormat="1" ht="90">
      <c r="A139" s="123" t="s">
        <v>2079</v>
      </c>
      <c r="B139" s="128" t="s">
        <v>2080</v>
      </c>
      <c r="C139" s="127" t="s">
        <v>2081</v>
      </c>
      <c r="D139" s="123" t="s">
        <v>379</v>
      </c>
      <c r="E139" s="129">
        <v>1</v>
      </c>
      <c r="F139" s="129">
        <f>TRUNC('MEMÓRIA DESONERADA'!F999,2)</f>
        <v>4980.9399999999996</v>
      </c>
      <c r="G139" s="129">
        <f>TRUNC(F139*1.2285,2)</f>
        <v>6119.08</v>
      </c>
      <c r="H139" s="129">
        <f t="shared" ref="H139" si="21">TRUNC(F139*E139,2)</f>
        <v>4980.9399999999996</v>
      </c>
      <c r="I139" s="129">
        <f t="shared" ref="I139" si="22">TRUNC(E139*G139,2)</f>
        <v>6119.08</v>
      </c>
    </row>
    <row r="140" spans="1:9" s="169" customFormat="1" ht="15.75">
      <c r="A140" s="328" t="s">
        <v>18</v>
      </c>
      <c r="B140" s="316"/>
      <c r="C140" s="288"/>
      <c r="D140" s="328"/>
      <c r="E140" s="289"/>
      <c r="F140" s="131"/>
      <c r="G140" s="325" t="s">
        <v>421</v>
      </c>
      <c r="H140" s="131">
        <f>SUM(H104:H139)</f>
        <v>186274.64000000004</v>
      </c>
      <c r="I140" s="131">
        <f>SUM(I104:I139)</f>
        <v>236610.96000000005</v>
      </c>
    </row>
    <row r="141" spans="1:9" ht="14.25" customHeight="1">
      <c r="A141" s="328" t="s">
        <v>24</v>
      </c>
      <c r="B141" s="128"/>
      <c r="C141" s="372" t="s">
        <v>422</v>
      </c>
      <c r="D141" s="372"/>
      <c r="E141" s="372"/>
      <c r="F141" s="372"/>
      <c r="G141" s="372"/>
      <c r="H141" s="372"/>
      <c r="I141" s="372"/>
    </row>
    <row r="142" spans="1:9" ht="45">
      <c r="A142" s="123" t="s">
        <v>423</v>
      </c>
      <c r="B142" s="128" t="s">
        <v>433</v>
      </c>
      <c r="C142" s="127" t="s">
        <v>1895</v>
      </c>
      <c r="D142" s="123" t="s">
        <v>23</v>
      </c>
      <c r="E142" s="129">
        <v>8.85</v>
      </c>
      <c r="F142" s="129">
        <f>TRUNC('MEMÓRIA DESONERADA'!F1012,2)</f>
        <v>217.61</v>
      </c>
      <c r="G142" s="129">
        <f t="shared" ref="G142:G161" si="23">TRUNC(F142*1.2882,2)</f>
        <v>280.32</v>
      </c>
      <c r="H142" s="129">
        <f t="shared" ref="H142:H162" si="24">TRUNC(F142*E142,2)</f>
        <v>1925.84</v>
      </c>
      <c r="I142" s="129">
        <f t="shared" ref="I142:I162" si="25">TRUNC(E142*G142,2)</f>
        <v>2480.83</v>
      </c>
    </row>
    <row r="143" spans="1:9" ht="45">
      <c r="A143" s="123" t="s">
        <v>432</v>
      </c>
      <c r="B143" s="128" t="s">
        <v>433</v>
      </c>
      <c r="C143" s="127" t="s">
        <v>1894</v>
      </c>
      <c r="D143" s="123" t="s">
        <v>23</v>
      </c>
      <c r="E143" s="129">
        <v>6</v>
      </c>
      <c r="F143" s="129">
        <f>TRUNC('MEMÓRIA DESONERADA'!F1021,2)</f>
        <v>217.61</v>
      </c>
      <c r="G143" s="129">
        <f t="shared" si="23"/>
        <v>280.32</v>
      </c>
      <c r="H143" s="129">
        <f t="shared" si="24"/>
        <v>1305.6600000000001</v>
      </c>
      <c r="I143" s="129">
        <f t="shared" si="25"/>
        <v>1681.92</v>
      </c>
    </row>
    <row r="144" spans="1:9" ht="60">
      <c r="A144" s="123" t="s">
        <v>434</v>
      </c>
      <c r="B144" s="128" t="s">
        <v>435</v>
      </c>
      <c r="C144" s="127" t="s">
        <v>1753</v>
      </c>
      <c r="D144" s="123" t="s">
        <v>17</v>
      </c>
      <c r="E144" s="129">
        <v>30.8</v>
      </c>
      <c r="F144" s="129">
        <f>TRUNC('MEMÓRIA DESONERADA'!F1030,2)</f>
        <v>493.88</v>
      </c>
      <c r="G144" s="129">
        <f t="shared" si="23"/>
        <v>636.21</v>
      </c>
      <c r="H144" s="129">
        <f t="shared" si="24"/>
        <v>15211.5</v>
      </c>
      <c r="I144" s="129">
        <f t="shared" si="25"/>
        <v>19595.259999999998</v>
      </c>
    </row>
    <row r="145" spans="1:9" ht="75">
      <c r="A145" s="123" t="s">
        <v>439</v>
      </c>
      <c r="B145" s="128" t="s">
        <v>440</v>
      </c>
      <c r="C145" s="127" t="s">
        <v>1754</v>
      </c>
      <c r="D145" s="123" t="s">
        <v>7</v>
      </c>
      <c r="E145" s="129">
        <v>17</v>
      </c>
      <c r="F145" s="129">
        <f>TRUNC('MEMÓRIA DESONERADA'!F1036,2)</f>
        <v>219.08</v>
      </c>
      <c r="G145" s="129">
        <f t="shared" si="23"/>
        <v>282.20999999999998</v>
      </c>
      <c r="H145" s="129">
        <f t="shared" si="24"/>
        <v>3724.36</v>
      </c>
      <c r="I145" s="129">
        <f t="shared" si="25"/>
        <v>4797.57</v>
      </c>
    </row>
    <row r="146" spans="1:9" ht="36">
      <c r="A146" s="123" t="s">
        <v>446</v>
      </c>
      <c r="B146" s="128" t="s">
        <v>1755</v>
      </c>
      <c r="C146" s="127" t="s">
        <v>1950</v>
      </c>
      <c r="D146" s="123" t="s">
        <v>23</v>
      </c>
      <c r="E146" s="129">
        <v>28</v>
      </c>
      <c r="F146" s="129">
        <f>TRUNC('MEMÓRIA DESONERADA'!F1041,2)</f>
        <v>98.05</v>
      </c>
      <c r="G146" s="129">
        <f t="shared" si="23"/>
        <v>126.3</v>
      </c>
      <c r="H146" s="129">
        <f t="shared" si="24"/>
        <v>2745.4</v>
      </c>
      <c r="I146" s="129">
        <f t="shared" si="25"/>
        <v>3536.4</v>
      </c>
    </row>
    <row r="147" spans="1:9" ht="61.5">
      <c r="A147" s="123" t="s">
        <v>451</v>
      </c>
      <c r="B147" s="128" t="s">
        <v>452</v>
      </c>
      <c r="C147" s="127" t="s">
        <v>2087</v>
      </c>
      <c r="D147" s="123" t="s">
        <v>17</v>
      </c>
      <c r="E147" s="129">
        <v>9.66</v>
      </c>
      <c r="F147" s="129">
        <f>TRUNC('MEMÓRIA DESONERADA'!F1050,2)</f>
        <v>582.88</v>
      </c>
      <c r="G147" s="129">
        <f t="shared" si="23"/>
        <v>750.86</v>
      </c>
      <c r="H147" s="129">
        <f t="shared" si="24"/>
        <v>5630.62</v>
      </c>
      <c r="I147" s="129">
        <f t="shared" si="25"/>
        <v>7253.3</v>
      </c>
    </row>
    <row r="148" spans="1:9" ht="61.5">
      <c r="A148" s="123" t="s">
        <v>456</v>
      </c>
      <c r="B148" s="128" t="s">
        <v>452</v>
      </c>
      <c r="C148" s="127" t="s">
        <v>2088</v>
      </c>
      <c r="D148" s="123" t="s">
        <v>17</v>
      </c>
      <c r="E148" s="129">
        <v>2</v>
      </c>
      <c r="F148" s="129">
        <f>TRUNC('MEMÓRIA DESONERADA'!F1058,2)</f>
        <v>582.88</v>
      </c>
      <c r="G148" s="129">
        <f t="shared" si="23"/>
        <v>750.86</v>
      </c>
      <c r="H148" s="129">
        <f t="shared" si="24"/>
        <v>1165.76</v>
      </c>
      <c r="I148" s="129">
        <f t="shared" si="25"/>
        <v>1501.72</v>
      </c>
    </row>
    <row r="149" spans="1:9" ht="105">
      <c r="A149" s="123" t="s">
        <v>465</v>
      </c>
      <c r="B149" s="128" t="s">
        <v>2091</v>
      </c>
      <c r="C149" s="127" t="s">
        <v>2089</v>
      </c>
      <c r="D149" s="123" t="s">
        <v>7</v>
      </c>
      <c r="E149" s="129">
        <v>2</v>
      </c>
      <c r="F149" s="129">
        <f>TRUNC('MEMÓRIA DESONERADA'!F1066,2)</f>
        <v>1785.84</v>
      </c>
      <c r="G149" s="129">
        <f t="shared" si="23"/>
        <v>2300.5100000000002</v>
      </c>
      <c r="H149" s="129">
        <f t="shared" si="24"/>
        <v>3571.68</v>
      </c>
      <c r="I149" s="129">
        <f t="shared" si="25"/>
        <v>4601.0200000000004</v>
      </c>
    </row>
    <row r="150" spans="1:9" ht="105">
      <c r="A150" s="123" t="s">
        <v>466</v>
      </c>
      <c r="B150" s="128" t="s">
        <v>2092</v>
      </c>
      <c r="C150" s="127" t="s">
        <v>2090</v>
      </c>
      <c r="D150" s="123" t="s">
        <v>7</v>
      </c>
      <c r="E150" s="129">
        <v>1</v>
      </c>
      <c r="F150" s="129">
        <f>TRUNC('MEMÓRIA DESONERADA'!F1080,2)</f>
        <v>1922.78</v>
      </c>
      <c r="G150" s="129">
        <f t="shared" si="23"/>
        <v>2476.92</v>
      </c>
      <c r="H150" s="129">
        <f t="shared" si="24"/>
        <v>1922.78</v>
      </c>
      <c r="I150" s="129">
        <f t="shared" si="25"/>
        <v>2476.92</v>
      </c>
    </row>
    <row r="151" spans="1:9" ht="30.75">
      <c r="A151" s="123" t="s">
        <v>485</v>
      </c>
      <c r="B151" s="128" t="s">
        <v>484</v>
      </c>
      <c r="C151" s="127" t="s">
        <v>2053</v>
      </c>
      <c r="D151" s="123" t="s">
        <v>7</v>
      </c>
      <c r="E151" s="129">
        <v>5</v>
      </c>
      <c r="F151" s="129">
        <f>TRUNC('MEMÓRIA DESONERADA'!F1094,2)</f>
        <v>1903.57</v>
      </c>
      <c r="G151" s="129">
        <f t="shared" si="23"/>
        <v>2452.17</v>
      </c>
      <c r="H151" s="129">
        <f t="shared" si="24"/>
        <v>9517.85</v>
      </c>
      <c r="I151" s="129">
        <f t="shared" si="25"/>
        <v>12260.85</v>
      </c>
    </row>
    <row r="152" spans="1:9" ht="30.75">
      <c r="A152" s="123" t="s">
        <v>490</v>
      </c>
      <c r="B152" s="128" t="s">
        <v>491</v>
      </c>
      <c r="C152" s="127" t="s">
        <v>2054</v>
      </c>
      <c r="D152" s="123" t="s">
        <v>7</v>
      </c>
      <c r="E152" s="129">
        <v>3</v>
      </c>
      <c r="F152" s="129">
        <f>TRUNC('MEMÓRIA DESONERADA'!F1106,2)</f>
        <v>674.66</v>
      </c>
      <c r="G152" s="129">
        <f t="shared" si="23"/>
        <v>869.09</v>
      </c>
      <c r="H152" s="129">
        <f t="shared" si="24"/>
        <v>2023.98</v>
      </c>
      <c r="I152" s="129">
        <f t="shared" si="25"/>
        <v>2607.27</v>
      </c>
    </row>
    <row r="153" spans="1:9" ht="30.75">
      <c r="A153" s="123" t="s">
        <v>492</v>
      </c>
      <c r="B153" s="128" t="s">
        <v>491</v>
      </c>
      <c r="C153" s="127" t="s">
        <v>2055</v>
      </c>
      <c r="D153" s="123" t="s">
        <v>7</v>
      </c>
      <c r="E153" s="129">
        <v>3</v>
      </c>
      <c r="F153" s="129">
        <f>TRUNC('MEMÓRIA DESONERADA'!F1118,2)</f>
        <v>674.66</v>
      </c>
      <c r="G153" s="129">
        <f t="shared" si="23"/>
        <v>869.09</v>
      </c>
      <c r="H153" s="129">
        <f t="shared" si="24"/>
        <v>2023.98</v>
      </c>
      <c r="I153" s="129">
        <f t="shared" si="25"/>
        <v>2607.27</v>
      </c>
    </row>
    <row r="154" spans="1:9" ht="90">
      <c r="A154" s="123" t="s">
        <v>497</v>
      </c>
      <c r="B154" s="128" t="s">
        <v>1902</v>
      </c>
      <c r="C154" s="127" t="s">
        <v>2057</v>
      </c>
      <c r="D154" s="123" t="s">
        <v>23</v>
      </c>
      <c r="E154" s="129">
        <v>47</v>
      </c>
      <c r="F154" s="129">
        <f>TRUNC('MEMÓRIA DESONERADA'!F1130,2)</f>
        <v>97.38</v>
      </c>
      <c r="G154" s="129">
        <f t="shared" si="23"/>
        <v>125.44</v>
      </c>
      <c r="H154" s="129">
        <f t="shared" si="24"/>
        <v>4576.8599999999997</v>
      </c>
      <c r="I154" s="129">
        <f t="shared" si="25"/>
        <v>5895.68</v>
      </c>
    </row>
    <row r="155" spans="1:9" ht="90.75">
      <c r="A155" s="123" t="s">
        <v>498</v>
      </c>
      <c r="B155" s="128" t="s">
        <v>1903</v>
      </c>
      <c r="C155" s="127" t="s">
        <v>2056</v>
      </c>
      <c r="D155" s="123" t="s">
        <v>23</v>
      </c>
      <c r="E155" s="129">
        <v>207.7</v>
      </c>
      <c r="F155" s="129">
        <f>TRUNC('MEMÓRIA DESONERADA'!F1145,2)</f>
        <v>45.43</v>
      </c>
      <c r="G155" s="129">
        <f t="shared" si="23"/>
        <v>58.52</v>
      </c>
      <c r="H155" s="129">
        <f t="shared" si="24"/>
        <v>9435.81</v>
      </c>
      <c r="I155" s="129">
        <f t="shared" si="25"/>
        <v>12154.6</v>
      </c>
    </row>
    <row r="156" spans="1:9" ht="30">
      <c r="A156" s="123" t="s">
        <v>505</v>
      </c>
      <c r="B156" s="128" t="s">
        <v>502</v>
      </c>
      <c r="C156" s="127" t="s">
        <v>499</v>
      </c>
      <c r="D156" s="123" t="s">
        <v>7</v>
      </c>
      <c r="E156" s="129">
        <v>2</v>
      </c>
      <c r="F156" s="129">
        <f>TRUNC('MEMÓRIA DESONERADA'!F1160,2)</f>
        <v>301.64</v>
      </c>
      <c r="G156" s="129">
        <f t="shared" si="23"/>
        <v>388.57</v>
      </c>
      <c r="H156" s="129">
        <f t="shared" si="24"/>
        <v>603.28</v>
      </c>
      <c r="I156" s="129">
        <f t="shared" si="25"/>
        <v>777.14</v>
      </c>
    </row>
    <row r="157" spans="1:9" ht="75">
      <c r="A157" s="123" t="s">
        <v>506</v>
      </c>
      <c r="B157" s="128" t="s">
        <v>512</v>
      </c>
      <c r="C157" s="127" t="s">
        <v>513</v>
      </c>
      <c r="D157" s="123" t="s">
        <v>7</v>
      </c>
      <c r="E157" s="129">
        <v>6</v>
      </c>
      <c r="F157" s="129">
        <f>TRUNC('MEMÓRIA DESONERADA'!F1167,2)</f>
        <v>87.33</v>
      </c>
      <c r="G157" s="129">
        <f t="shared" si="23"/>
        <v>112.49</v>
      </c>
      <c r="H157" s="129">
        <f t="shared" si="24"/>
        <v>523.98</v>
      </c>
      <c r="I157" s="129">
        <f t="shared" si="25"/>
        <v>674.94</v>
      </c>
    </row>
    <row r="158" spans="1:9" ht="30">
      <c r="A158" s="123" t="s">
        <v>507</v>
      </c>
      <c r="B158" s="128" t="s">
        <v>508</v>
      </c>
      <c r="C158" s="127" t="s">
        <v>509</v>
      </c>
      <c r="D158" s="123" t="s">
        <v>7</v>
      </c>
      <c r="E158" s="129">
        <v>6</v>
      </c>
      <c r="F158" s="129">
        <f>TRUNC('MEMÓRIA DESONERADA'!F1173,2)</f>
        <v>308.79000000000002</v>
      </c>
      <c r="G158" s="129">
        <f t="shared" si="23"/>
        <v>397.78</v>
      </c>
      <c r="H158" s="129">
        <f t="shared" si="24"/>
        <v>1852.74</v>
      </c>
      <c r="I158" s="129">
        <f t="shared" si="25"/>
        <v>2386.6799999999998</v>
      </c>
    </row>
    <row r="159" spans="1:9" ht="30">
      <c r="A159" s="123" t="s">
        <v>520</v>
      </c>
      <c r="B159" s="128" t="s">
        <v>518</v>
      </c>
      <c r="C159" s="127" t="s">
        <v>1904</v>
      </c>
      <c r="D159" s="123" t="s">
        <v>17</v>
      </c>
      <c r="E159" s="129">
        <v>8.3000000000000007</v>
      </c>
      <c r="F159" s="129">
        <f>TRUNC('MEMÓRIA DESONERADA'!F1180,2)</f>
        <v>622.79</v>
      </c>
      <c r="G159" s="129">
        <f t="shared" si="23"/>
        <v>802.27</v>
      </c>
      <c r="H159" s="129">
        <f t="shared" si="24"/>
        <v>5169.1499999999996</v>
      </c>
      <c r="I159" s="129">
        <f t="shared" si="25"/>
        <v>6658.84</v>
      </c>
    </row>
    <row r="160" spans="1:9" ht="30">
      <c r="A160" s="123" t="s">
        <v>525</v>
      </c>
      <c r="B160" s="128" t="s">
        <v>521</v>
      </c>
      <c r="C160" s="127" t="s">
        <v>522</v>
      </c>
      <c r="D160" s="123" t="s">
        <v>7</v>
      </c>
      <c r="E160" s="129">
        <v>15</v>
      </c>
      <c r="F160" s="129">
        <f>TRUNC('MEMÓRIA DESONERADA'!F1187,2)</f>
        <v>16.190000000000001</v>
      </c>
      <c r="G160" s="129">
        <f t="shared" si="23"/>
        <v>20.85</v>
      </c>
      <c r="H160" s="129">
        <f t="shared" si="24"/>
        <v>242.85</v>
      </c>
      <c r="I160" s="129">
        <f t="shared" si="25"/>
        <v>312.75</v>
      </c>
    </row>
    <row r="161" spans="1:9" ht="30">
      <c r="A161" s="123" t="s">
        <v>1783</v>
      </c>
      <c r="B161" s="128" t="s">
        <v>526</v>
      </c>
      <c r="C161" s="127" t="s">
        <v>527</v>
      </c>
      <c r="D161" s="123" t="s">
        <v>7</v>
      </c>
      <c r="E161" s="129">
        <v>12</v>
      </c>
      <c r="F161" s="129">
        <f>TRUNC('MEMÓRIA DESONERADA'!F1192,2)</f>
        <v>34.19</v>
      </c>
      <c r="G161" s="129">
        <f t="shared" si="23"/>
        <v>44.04</v>
      </c>
      <c r="H161" s="129">
        <f t="shared" si="24"/>
        <v>410.28</v>
      </c>
      <c r="I161" s="129">
        <f t="shared" si="25"/>
        <v>528.48</v>
      </c>
    </row>
    <row r="162" spans="1:9" s="115" customFormat="1" ht="45">
      <c r="A162" s="123" t="s">
        <v>1852</v>
      </c>
      <c r="B162" s="128" t="s">
        <v>1620</v>
      </c>
      <c r="C162" s="127" t="s">
        <v>2094</v>
      </c>
      <c r="D162" s="123" t="s">
        <v>383</v>
      </c>
      <c r="E162" s="129">
        <v>1</v>
      </c>
      <c r="F162" s="129">
        <f>TRUNC('MEMÓRIA DESONERADA'!F1197,2)</f>
        <v>63960</v>
      </c>
      <c r="G162" s="129">
        <f>TRUNC(F162*1.2285,2)</f>
        <v>78574.86</v>
      </c>
      <c r="H162" s="129">
        <f t="shared" si="24"/>
        <v>63960</v>
      </c>
      <c r="I162" s="129">
        <f t="shared" si="25"/>
        <v>78574.86</v>
      </c>
    </row>
    <row r="163" spans="1:9" s="169" customFormat="1" ht="15.75">
      <c r="A163" s="328" t="s">
        <v>18</v>
      </c>
      <c r="B163" s="316"/>
      <c r="C163" s="288"/>
      <c r="D163" s="328"/>
      <c r="E163" s="289"/>
      <c r="F163" s="131"/>
      <c r="G163" s="325" t="s">
        <v>530</v>
      </c>
      <c r="H163" s="131">
        <f>SUM(H142:H162)</f>
        <v>137544.35999999999</v>
      </c>
      <c r="I163" s="131">
        <f>SUM(I142:I162)</f>
        <v>173364.3</v>
      </c>
    </row>
    <row r="164" spans="1:9" s="261" customFormat="1" ht="14.25" customHeight="1">
      <c r="A164" s="328" t="s">
        <v>26</v>
      </c>
      <c r="B164" s="128"/>
      <c r="C164" s="372" t="s">
        <v>531</v>
      </c>
      <c r="D164" s="372"/>
      <c r="E164" s="372"/>
      <c r="F164" s="372"/>
      <c r="G164" s="372"/>
      <c r="H164" s="372"/>
      <c r="I164" s="372"/>
    </row>
    <row r="165" spans="1:9" ht="60.75">
      <c r="A165" s="123" t="s">
        <v>532</v>
      </c>
      <c r="B165" s="128" t="s">
        <v>533</v>
      </c>
      <c r="C165" s="127" t="s">
        <v>1784</v>
      </c>
      <c r="D165" s="123" t="s">
        <v>17</v>
      </c>
      <c r="E165" s="129">
        <v>3.61</v>
      </c>
      <c r="F165" s="129">
        <f>TRUNC('MEMÓRIA DESONERADA'!F1208,2)</f>
        <v>725.54</v>
      </c>
      <c r="G165" s="129">
        <f t="shared" ref="G165:G196" si="26">TRUNC(F165*1.2882,2)</f>
        <v>934.64</v>
      </c>
      <c r="H165" s="129">
        <f t="shared" ref="H165:H196" si="27">TRUNC(F165*E165,2)</f>
        <v>2619.19</v>
      </c>
      <c r="I165" s="129">
        <f t="shared" ref="I165:I196" si="28">TRUNC(E165*G165,2)</f>
        <v>3374.05</v>
      </c>
    </row>
    <row r="166" spans="1:9" ht="45.75">
      <c r="A166" s="123" t="s">
        <v>537</v>
      </c>
      <c r="B166" s="128" t="s">
        <v>424</v>
      </c>
      <c r="C166" s="127" t="s">
        <v>1785</v>
      </c>
      <c r="D166" s="123" t="s">
        <v>23</v>
      </c>
      <c r="E166" s="129">
        <f>1.2+1</f>
        <v>2.2000000000000002</v>
      </c>
      <c r="F166" s="129">
        <f>TRUNC('MEMÓRIA DESONERADA'!F1216,2)</f>
        <v>288.77999999999997</v>
      </c>
      <c r="G166" s="129">
        <f t="shared" si="26"/>
        <v>372</v>
      </c>
      <c r="H166" s="129">
        <f t="shared" si="27"/>
        <v>635.30999999999995</v>
      </c>
      <c r="I166" s="129">
        <f t="shared" si="28"/>
        <v>818.4</v>
      </c>
    </row>
    <row r="167" spans="1:9" ht="47.25">
      <c r="A167" s="123" t="s">
        <v>538</v>
      </c>
      <c r="B167" s="128" t="s">
        <v>1787</v>
      </c>
      <c r="C167" s="127" t="s">
        <v>1786</v>
      </c>
      <c r="D167" s="123" t="s">
        <v>23</v>
      </c>
      <c r="E167" s="129">
        <v>1.1000000000000001</v>
      </c>
      <c r="F167" s="129">
        <f>TRUNC('MEMÓRIA DESONERADA'!F1224,2)</f>
        <v>226.46</v>
      </c>
      <c r="G167" s="129">
        <f t="shared" si="26"/>
        <v>291.72000000000003</v>
      </c>
      <c r="H167" s="129">
        <f t="shared" si="27"/>
        <v>249.1</v>
      </c>
      <c r="I167" s="129">
        <f t="shared" si="28"/>
        <v>320.89</v>
      </c>
    </row>
    <row r="168" spans="1:9" ht="30">
      <c r="A168" s="123" t="s">
        <v>543</v>
      </c>
      <c r="B168" s="128" t="s">
        <v>539</v>
      </c>
      <c r="C168" s="127" t="s">
        <v>540</v>
      </c>
      <c r="D168" s="123" t="s">
        <v>23</v>
      </c>
      <c r="E168" s="129">
        <v>21.6</v>
      </c>
      <c r="F168" s="129">
        <f>TRUNC('MEMÓRIA DESONERADA'!F1232,2)</f>
        <v>58.95</v>
      </c>
      <c r="G168" s="129">
        <f t="shared" si="26"/>
        <v>75.930000000000007</v>
      </c>
      <c r="H168" s="129">
        <f t="shared" si="27"/>
        <v>1273.32</v>
      </c>
      <c r="I168" s="129">
        <f t="shared" si="28"/>
        <v>1640.08</v>
      </c>
    </row>
    <row r="169" spans="1:9" ht="30">
      <c r="A169" s="123" t="s">
        <v>548</v>
      </c>
      <c r="B169" s="128" t="s">
        <v>1788</v>
      </c>
      <c r="C169" s="127" t="s">
        <v>1789</v>
      </c>
      <c r="D169" s="123" t="s">
        <v>23</v>
      </c>
      <c r="E169" s="129">
        <v>19.7</v>
      </c>
      <c r="F169" s="129">
        <f>TRUNC('MEMÓRIA DESONERADA'!F1242,2)</f>
        <v>168.33</v>
      </c>
      <c r="G169" s="129">
        <f t="shared" si="26"/>
        <v>216.84</v>
      </c>
      <c r="H169" s="129">
        <f t="shared" si="27"/>
        <v>3316.1</v>
      </c>
      <c r="I169" s="129">
        <f t="shared" si="28"/>
        <v>4271.74</v>
      </c>
    </row>
    <row r="170" spans="1:9" ht="45">
      <c r="A170" s="123" t="s">
        <v>553</v>
      </c>
      <c r="B170" s="128" t="s">
        <v>1792</v>
      </c>
      <c r="C170" s="127" t="s">
        <v>1905</v>
      </c>
      <c r="D170" s="123" t="s">
        <v>23</v>
      </c>
      <c r="E170" s="129">
        <v>6.05</v>
      </c>
      <c r="F170" s="129">
        <f>TRUNC('MEMÓRIA DESONERADA'!F1252,2)</f>
        <v>169.48</v>
      </c>
      <c r="G170" s="129">
        <f t="shared" si="26"/>
        <v>218.32</v>
      </c>
      <c r="H170" s="129">
        <f t="shared" si="27"/>
        <v>1025.3499999999999</v>
      </c>
      <c r="I170" s="129">
        <f t="shared" si="28"/>
        <v>1320.83</v>
      </c>
    </row>
    <row r="171" spans="1:9" ht="60.75">
      <c r="A171" s="123" t="s">
        <v>558</v>
      </c>
      <c r="B171" s="128" t="s">
        <v>549</v>
      </c>
      <c r="C171" s="127" t="s">
        <v>1951</v>
      </c>
      <c r="D171" s="123" t="s">
        <v>17</v>
      </c>
      <c r="E171" s="129">
        <v>0.85</v>
      </c>
      <c r="F171" s="129">
        <f>TRUNC('MEMÓRIA DESONERADA'!F1259,2)</f>
        <v>627.14</v>
      </c>
      <c r="G171" s="129">
        <f t="shared" si="26"/>
        <v>807.88</v>
      </c>
      <c r="H171" s="129">
        <f t="shared" si="27"/>
        <v>533.05999999999995</v>
      </c>
      <c r="I171" s="129">
        <f t="shared" si="28"/>
        <v>686.69</v>
      </c>
    </row>
    <row r="172" spans="1:9" ht="60.75">
      <c r="A172" s="123" t="s">
        <v>567</v>
      </c>
      <c r="B172" s="128" t="s">
        <v>554</v>
      </c>
      <c r="C172" s="127" t="s">
        <v>2095</v>
      </c>
      <c r="D172" s="123" t="s">
        <v>17</v>
      </c>
      <c r="E172" s="129">
        <v>3.1</v>
      </c>
      <c r="F172" s="129">
        <f>TRUNC('MEMÓRIA DESONERADA'!F1268,2)</f>
        <v>740.54</v>
      </c>
      <c r="G172" s="129">
        <f t="shared" si="26"/>
        <v>953.96</v>
      </c>
      <c r="H172" s="129">
        <f t="shared" si="27"/>
        <v>2295.67</v>
      </c>
      <c r="I172" s="129">
        <f t="shared" si="28"/>
        <v>2957.27</v>
      </c>
    </row>
    <row r="173" spans="1:9" ht="60.75">
      <c r="A173" s="123" t="s">
        <v>573</v>
      </c>
      <c r="B173" s="128" t="s">
        <v>549</v>
      </c>
      <c r="C173" s="127" t="s">
        <v>2059</v>
      </c>
      <c r="D173" s="123" t="s">
        <v>17</v>
      </c>
      <c r="E173" s="129">
        <v>0.4</v>
      </c>
      <c r="F173" s="129">
        <f>TRUNC('MEMÓRIA DESONERADA'!F1277,2)</f>
        <v>627.14</v>
      </c>
      <c r="G173" s="129">
        <f t="shared" si="26"/>
        <v>807.88</v>
      </c>
      <c r="H173" s="129">
        <f t="shared" si="27"/>
        <v>250.85</v>
      </c>
      <c r="I173" s="129">
        <f t="shared" si="28"/>
        <v>323.14999999999998</v>
      </c>
    </row>
    <row r="174" spans="1:9" ht="60.75">
      <c r="A174" s="123" t="s">
        <v>574</v>
      </c>
      <c r="B174" s="128" t="s">
        <v>554</v>
      </c>
      <c r="C174" s="127" t="s">
        <v>1952</v>
      </c>
      <c r="D174" s="123" t="s">
        <v>17</v>
      </c>
      <c r="E174" s="129">
        <f>2*0.55</f>
        <v>1.1000000000000001</v>
      </c>
      <c r="F174" s="129">
        <f>TRUNC('MEMÓRIA DESONERADA'!F1286,2)</f>
        <v>755.6</v>
      </c>
      <c r="G174" s="129">
        <f t="shared" si="26"/>
        <v>973.36</v>
      </c>
      <c r="H174" s="129">
        <f t="shared" si="27"/>
        <v>831.16</v>
      </c>
      <c r="I174" s="129">
        <f t="shared" si="28"/>
        <v>1070.69</v>
      </c>
    </row>
    <row r="175" spans="1:9" ht="45">
      <c r="A175" s="123" t="s">
        <v>575</v>
      </c>
      <c r="B175" s="128" t="s">
        <v>559</v>
      </c>
      <c r="C175" s="127" t="s">
        <v>560</v>
      </c>
      <c r="D175" s="123" t="s">
        <v>7</v>
      </c>
      <c r="E175" s="129">
        <v>2</v>
      </c>
      <c r="F175" s="129">
        <f>TRUNC('MEMÓRIA DESONERADA'!F1295,2)</f>
        <v>686.82</v>
      </c>
      <c r="G175" s="129">
        <f t="shared" si="26"/>
        <v>884.76</v>
      </c>
      <c r="H175" s="129">
        <f t="shared" si="27"/>
        <v>1373.64</v>
      </c>
      <c r="I175" s="129">
        <f t="shared" si="28"/>
        <v>1769.52</v>
      </c>
    </row>
    <row r="176" spans="1:9" ht="60">
      <c r="A176" s="123" t="s">
        <v>582</v>
      </c>
      <c r="B176" s="128" t="s">
        <v>1741</v>
      </c>
      <c r="C176" s="127" t="s">
        <v>1796</v>
      </c>
      <c r="D176" s="123" t="s">
        <v>7</v>
      </c>
      <c r="E176" s="129">
        <v>1</v>
      </c>
      <c r="F176" s="129">
        <f>TRUNC('MEMÓRIA DESONERADA'!F1303,2)</f>
        <v>460.87</v>
      </c>
      <c r="G176" s="129">
        <f t="shared" si="26"/>
        <v>593.69000000000005</v>
      </c>
      <c r="H176" s="129">
        <f t="shared" si="27"/>
        <v>460.87</v>
      </c>
      <c r="I176" s="129">
        <f t="shared" si="28"/>
        <v>593.69000000000005</v>
      </c>
    </row>
    <row r="177" spans="1:9" ht="60">
      <c r="A177" s="123" t="s">
        <v>583</v>
      </c>
      <c r="B177" s="128" t="s">
        <v>1741</v>
      </c>
      <c r="C177" s="127" t="s">
        <v>1795</v>
      </c>
      <c r="D177" s="123" t="s">
        <v>7</v>
      </c>
      <c r="E177" s="129">
        <v>1</v>
      </c>
      <c r="F177" s="129">
        <f>TRUNC('MEMÓRIA DESONERADA'!F1309,2)</f>
        <v>2061.52</v>
      </c>
      <c r="G177" s="129">
        <f t="shared" si="26"/>
        <v>2655.65</v>
      </c>
      <c r="H177" s="129">
        <f t="shared" si="27"/>
        <v>2061.52</v>
      </c>
      <c r="I177" s="129">
        <f t="shared" si="28"/>
        <v>2655.65</v>
      </c>
    </row>
    <row r="178" spans="1:9" ht="60">
      <c r="A178" s="123" t="s">
        <v>600</v>
      </c>
      <c r="B178" s="128" t="s">
        <v>1733</v>
      </c>
      <c r="C178" s="127" t="s">
        <v>1794</v>
      </c>
      <c r="D178" s="123" t="s">
        <v>7</v>
      </c>
      <c r="E178" s="129">
        <v>1</v>
      </c>
      <c r="F178" s="129">
        <f>TRUNC('MEMÓRIA DESONERADA'!F1321,2)</f>
        <v>440.57</v>
      </c>
      <c r="G178" s="129">
        <f t="shared" si="26"/>
        <v>567.54</v>
      </c>
      <c r="H178" s="129">
        <f t="shared" si="27"/>
        <v>440.57</v>
      </c>
      <c r="I178" s="129">
        <f t="shared" si="28"/>
        <v>567.54</v>
      </c>
    </row>
    <row r="179" spans="1:9" ht="30">
      <c r="A179" s="123" t="s">
        <v>601</v>
      </c>
      <c r="B179" s="128" t="s">
        <v>1793</v>
      </c>
      <c r="C179" s="127" t="s">
        <v>1797</v>
      </c>
      <c r="D179" s="123" t="s">
        <v>7</v>
      </c>
      <c r="E179" s="129">
        <v>11</v>
      </c>
      <c r="F179" s="129">
        <f>TRUNC('MEMÓRIA DESONERADA'!F1327,2)</f>
        <v>387.67</v>
      </c>
      <c r="G179" s="129">
        <f t="shared" si="26"/>
        <v>499.39</v>
      </c>
      <c r="H179" s="129">
        <f t="shared" si="27"/>
        <v>4264.37</v>
      </c>
      <c r="I179" s="129">
        <f t="shared" si="28"/>
        <v>5493.29</v>
      </c>
    </row>
    <row r="180" spans="1:9" ht="30">
      <c r="A180" s="123" t="s">
        <v>609</v>
      </c>
      <c r="B180" s="128" t="s">
        <v>1793</v>
      </c>
      <c r="C180" s="127" t="s">
        <v>1798</v>
      </c>
      <c r="D180" s="123" t="s">
        <v>7</v>
      </c>
      <c r="E180" s="129">
        <v>1</v>
      </c>
      <c r="F180" s="129">
        <f>TRUNC('MEMÓRIA DESONERADA'!F1333,2)</f>
        <v>387.67</v>
      </c>
      <c r="G180" s="129">
        <f t="shared" si="26"/>
        <v>499.39</v>
      </c>
      <c r="H180" s="129">
        <f t="shared" si="27"/>
        <v>387.67</v>
      </c>
      <c r="I180" s="129">
        <f t="shared" si="28"/>
        <v>499.39</v>
      </c>
    </row>
    <row r="181" spans="1:9" ht="60">
      <c r="A181" s="123" t="s">
        <v>616</v>
      </c>
      <c r="B181" s="128" t="s">
        <v>596</v>
      </c>
      <c r="C181" s="127" t="s">
        <v>1908</v>
      </c>
      <c r="D181" s="123" t="s">
        <v>7</v>
      </c>
      <c r="E181" s="129">
        <v>1</v>
      </c>
      <c r="F181" s="129">
        <f>TRUNC('MEMÓRIA DESONERADA'!F1339,2)</f>
        <v>227.4</v>
      </c>
      <c r="G181" s="129">
        <f t="shared" si="26"/>
        <v>292.93</v>
      </c>
      <c r="H181" s="129">
        <f t="shared" si="27"/>
        <v>227.4</v>
      </c>
      <c r="I181" s="129">
        <f t="shared" si="28"/>
        <v>292.93</v>
      </c>
    </row>
    <row r="182" spans="1:9" ht="75">
      <c r="A182" s="123" t="s">
        <v>617</v>
      </c>
      <c r="B182" s="128" t="s">
        <v>1907</v>
      </c>
      <c r="C182" s="127" t="s">
        <v>1906</v>
      </c>
      <c r="D182" s="123" t="s">
        <v>7</v>
      </c>
      <c r="E182" s="129">
        <v>2</v>
      </c>
      <c r="F182" s="129">
        <f>TRUNC('MEMÓRIA DESONERADA'!F1348,2)</f>
        <v>427.97</v>
      </c>
      <c r="G182" s="129">
        <f t="shared" si="26"/>
        <v>551.30999999999995</v>
      </c>
      <c r="H182" s="129">
        <f t="shared" si="27"/>
        <v>855.94</v>
      </c>
      <c r="I182" s="129">
        <f t="shared" si="28"/>
        <v>1102.6199999999999</v>
      </c>
    </row>
    <row r="183" spans="1:9" ht="60">
      <c r="A183" s="123" t="s">
        <v>618</v>
      </c>
      <c r="B183" s="128" t="s">
        <v>1803</v>
      </c>
      <c r="C183" s="127" t="s">
        <v>1909</v>
      </c>
      <c r="D183" s="123" t="s">
        <v>7</v>
      </c>
      <c r="E183" s="129">
        <v>2</v>
      </c>
      <c r="F183" s="129">
        <f>TRUNC('MEMÓRIA DESONERADA'!F1357,2)</f>
        <v>925.73</v>
      </c>
      <c r="G183" s="129">
        <f t="shared" si="26"/>
        <v>1192.52</v>
      </c>
      <c r="H183" s="129">
        <f t="shared" si="27"/>
        <v>1851.46</v>
      </c>
      <c r="I183" s="129">
        <f t="shared" si="28"/>
        <v>2385.04</v>
      </c>
    </row>
    <row r="184" spans="1:9" ht="60">
      <c r="A184" s="123" t="s">
        <v>619</v>
      </c>
      <c r="B184" s="128" t="s">
        <v>1805</v>
      </c>
      <c r="C184" s="127" t="s">
        <v>1804</v>
      </c>
      <c r="D184" s="123" t="s">
        <v>7</v>
      </c>
      <c r="E184" s="129">
        <v>10</v>
      </c>
      <c r="F184" s="129">
        <f>TRUNC('MEMÓRIA DESONERADA'!F1367,2)</f>
        <v>496.72</v>
      </c>
      <c r="G184" s="129">
        <f t="shared" si="26"/>
        <v>639.87</v>
      </c>
      <c r="H184" s="129">
        <f t="shared" si="27"/>
        <v>4967.2</v>
      </c>
      <c r="I184" s="129">
        <f t="shared" si="28"/>
        <v>6398.7</v>
      </c>
    </row>
    <row r="185" spans="1:9" ht="60">
      <c r="A185" s="123" t="s">
        <v>620</v>
      </c>
      <c r="B185" s="128" t="s">
        <v>2061</v>
      </c>
      <c r="C185" s="127" t="s">
        <v>2060</v>
      </c>
      <c r="D185" s="123" t="s">
        <v>7</v>
      </c>
      <c r="E185" s="129">
        <v>3</v>
      </c>
      <c r="F185" s="129">
        <f>TRUNC('MEMÓRIA DESONERADA'!F1379,2)</f>
        <v>429.97</v>
      </c>
      <c r="G185" s="129">
        <f t="shared" si="26"/>
        <v>553.88</v>
      </c>
      <c r="H185" s="129">
        <f t="shared" si="27"/>
        <v>1289.9100000000001</v>
      </c>
      <c r="I185" s="129">
        <f t="shared" si="28"/>
        <v>1661.64</v>
      </c>
    </row>
    <row r="186" spans="1:9" ht="60">
      <c r="A186" s="123" t="s">
        <v>621</v>
      </c>
      <c r="B186" s="128" t="s">
        <v>655</v>
      </c>
      <c r="C186" s="127" t="s">
        <v>654</v>
      </c>
      <c r="D186" s="123" t="s">
        <v>7</v>
      </c>
      <c r="E186" s="129">
        <v>4</v>
      </c>
      <c r="F186" s="129">
        <f>TRUNC('MEMÓRIA DESONERADA'!F1388,2)</f>
        <v>207.13</v>
      </c>
      <c r="G186" s="129">
        <f t="shared" si="26"/>
        <v>266.82</v>
      </c>
      <c r="H186" s="129">
        <f t="shared" si="27"/>
        <v>828.52</v>
      </c>
      <c r="I186" s="129">
        <f t="shared" si="28"/>
        <v>1067.28</v>
      </c>
    </row>
    <row r="187" spans="1:9" ht="61.5">
      <c r="A187" s="123" t="s">
        <v>1063</v>
      </c>
      <c r="B187" s="128" t="s">
        <v>656</v>
      </c>
      <c r="C187" s="127" t="s">
        <v>1910</v>
      </c>
      <c r="D187" s="123" t="s">
        <v>7</v>
      </c>
      <c r="E187" s="129">
        <v>9</v>
      </c>
      <c r="F187" s="129">
        <f>TRUNC('MEMÓRIA DESONERADA'!F1403,2)</f>
        <v>61.69</v>
      </c>
      <c r="G187" s="129">
        <f t="shared" si="26"/>
        <v>79.459999999999994</v>
      </c>
      <c r="H187" s="129">
        <f t="shared" si="27"/>
        <v>555.21</v>
      </c>
      <c r="I187" s="129">
        <f t="shared" si="28"/>
        <v>715.14</v>
      </c>
    </row>
    <row r="188" spans="1:9" ht="30.75">
      <c r="A188" s="123" t="s">
        <v>1072</v>
      </c>
      <c r="B188" s="128" t="s">
        <v>1806</v>
      </c>
      <c r="C188" s="127" t="s">
        <v>1911</v>
      </c>
      <c r="D188" s="123" t="s">
        <v>7</v>
      </c>
      <c r="E188" s="129">
        <v>2</v>
      </c>
      <c r="F188" s="129">
        <f>TRUNC('MEMÓRIA DESONERADA'!F1407,2)</f>
        <v>108.41</v>
      </c>
      <c r="G188" s="129">
        <f t="shared" si="26"/>
        <v>139.65</v>
      </c>
      <c r="H188" s="129">
        <f t="shared" si="27"/>
        <v>216.82</v>
      </c>
      <c r="I188" s="129">
        <f t="shared" si="28"/>
        <v>279.3</v>
      </c>
    </row>
    <row r="189" spans="1:9" ht="30.75">
      <c r="A189" s="123" t="s">
        <v>1073</v>
      </c>
      <c r="B189" s="128" t="s">
        <v>1618</v>
      </c>
      <c r="C189" s="127" t="s">
        <v>1912</v>
      </c>
      <c r="D189" s="123" t="s">
        <v>7</v>
      </c>
      <c r="E189" s="129">
        <v>4</v>
      </c>
      <c r="F189" s="129">
        <f>TRUNC('MEMÓRIA DESONERADA'!F1411,2)</f>
        <v>80.12</v>
      </c>
      <c r="G189" s="129">
        <f t="shared" si="26"/>
        <v>103.21</v>
      </c>
      <c r="H189" s="129">
        <f t="shared" si="27"/>
        <v>320.48</v>
      </c>
      <c r="I189" s="129">
        <f t="shared" si="28"/>
        <v>412.84</v>
      </c>
    </row>
    <row r="190" spans="1:9" ht="30">
      <c r="A190" s="123" t="s">
        <v>1074</v>
      </c>
      <c r="B190" s="128" t="s">
        <v>1619</v>
      </c>
      <c r="C190" s="127" t="s">
        <v>669</v>
      </c>
      <c r="D190" s="123" t="s">
        <v>7</v>
      </c>
      <c r="E190" s="129">
        <v>11</v>
      </c>
      <c r="F190" s="129">
        <f>TRUNC('MEMÓRIA DESONERADA'!F1418,2)</f>
        <v>58.02</v>
      </c>
      <c r="G190" s="129">
        <f t="shared" si="26"/>
        <v>74.739999999999995</v>
      </c>
      <c r="H190" s="129">
        <f t="shared" si="27"/>
        <v>638.22</v>
      </c>
      <c r="I190" s="129">
        <f t="shared" si="28"/>
        <v>822.14</v>
      </c>
    </row>
    <row r="191" spans="1:9" ht="45">
      <c r="A191" s="123" t="s">
        <v>1075</v>
      </c>
      <c r="B191" s="128" t="s">
        <v>1064</v>
      </c>
      <c r="C191" s="127" t="s">
        <v>1065</v>
      </c>
      <c r="D191" s="123" t="s">
        <v>23</v>
      </c>
      <c r="E191" s="129">
        <v>10</v>
      </c>
      <c r="F191" s="129">
        <f>TRUNC('MEMÓRIA DESONERADA'!F1425,2)</f>
        <v>38.26</v>
      </c>
      <c r="G191" s="129">
        <f t="shared" si="26"/>
        <v>49.28</v>
      </c>
      <c r="H191" s="129">
        <f t="shared" si="27"/>
        <v>382.6</v>
      </c>
      <c r="I191" s="129">
        <f t="shared" si="28"/>
        <v>492.8</v>
      </c>
    </row>
    <row r="192" spans="1:9" ht="45">
      <c r="A192" s="123" t="s">
        <v>1076</v>
      </c>
      <c r="B192" s="128" t="s">
        <v>1068</v>
      </c>
      <c r="C192" s="127" t="s">
        <v>1069</v>
      </c>
      <c r="D192" s="123" t="s">
        <v>23</v>
      </c>
      <c r="E192" s="129">
        <v>20</v>
      </c>
      <c r="F192" s="129">
        <f>TRUNC('MEMÓRIA DESONERADA'!F1432,2)</f>
        <v>22.92</v>
      </c>
      <c r="G192" s="129">
        <f t="shared" si="26"/>
        <v>29.52</v>
      </c>
      <c r="H192" s="129">
        <f t="shared" si="27"/>
        <v>458.4</v>
      </c>
      <c r="I192" s="129">
        <f t="shared" si="28"/>
        <v>590.4</v>
      </c>
    </row>
    <row r="193" spans="1:9" ht="45">
      <c r="A193" s="123" t="s">
        <v>1077</v>
      </c>
      <c r="B193" s="128" t="s">
        <v>1085</v>
      </c>
      <c r="C193" s="127" t="s">
        <v>1086</v>
      </c>
      <c r="D193" s="123" t="s">
        <v>23</v>
      </c>
      <c r="E193" s="129">
        <f>52 + 1 + 1 +1 + 1.5 + 4 + 3.9 + 1.1</f>
        <v>65.5</v>
      </c>
      <c r="F193" s="129">
        <f>TRUNC('MEMÓRIA DESONERADA'!F1439,2)</f>
        <v>16.690000000000001</v>
      </c>
      <c r="G193" s="129">
        <f t="shared" si="26"/>
        <v>21.5</v>
      </c>
      <c r="H193" s="129">
        <f t="shared" si="27"/>
        <v>1093.19</v>
      </c>
      <c r="I193" s="129">
        <f t="shared" si="28"/>
        <v>1408.25</v>
      </c>
    </row>
    <row r="194" spans="1:9" ht="45">
      <c r="A194" s="123" t="s">
        <v>1078</v>
      </c>
      <c r="B194" s="128" t="s">
        <v>1089</v>
      </c>
      <c r="C194" s="127" t="s">
        <v>1090</v>
      </c>
      <c r="D194" s="123" t="s">
        <v>23</v>
      </c>
      <c r="E194" s="129">
        <f>50 + 4.6 + 4.7 + 8.8 + 3.8 + 3.2 + 7.3 + 1.7</f>
        <v>84.100000000000009</v>
      </c>
      <c r="F194" s="129">
        <f>TRUNC('MEMÓRIA DESONERADA'!F1446,2)</f>
        <v>10.65</v>
      </c>
      <c r="G194" s="129">
        <f t="shared" si="26"/>
        <v>13.71</v>
      </c>
      <c r="H194" s="129">
        <f t="shared" si="27"/>
        <v>895.66</v>
      </c>
      <c r="I194" s="129">
        <f t="shared" si="28"/>
        <v>1153.01</v>
      </c>
    </row>
    <row r="195" spans="1:9" ht="45">
      <c r="A195" s="123" t="s">
        <v>1079</v>
      </c>
      <c r="B195" s="128" t="s">
        <v>1091</v>
      </c>
      <c r="C195" s="127" t="s">
        <v>1092</v>
      </c>
      <c r="D195" s="123" t="s">
        <v>23</v>
      </c>
      <c r="E195" s="129">
        <f>4 + 4 + 3.9 + 5.3 + 4.4 + 3.5 + 3.3 + 0.8 + 6.5</f>
        <v>35.700000000000003</v>
      </c>
      <c r="F195" s="129">
        <f>TRUNC('MEMÓRIA DESONERADA'!F1453,2)</f>
        <v>9.59</v>
      </c>
      <c r="G195" s="129">
        <f t="shared" si="26"/>
        <v>12.35</v>
      </c>
      <c r="H195" s="129">
        <f t="shared" si="27"/>
        <v>342.36</v>
      </c>
      <c r="I195" s="129">
        <f t="shared" si="28"/>
        <v>440.89</v>
      </c>
    </row>
    <row r="196" spans="1:9" ht="30">
      <c r="A196" s="123" t="s">
        <v>1080</v>
      </c>
      <c r="B196" s="128" t="s">
        <v>1095</v>
      </c>
      <c r="C196" s="127" t="s">
        <v>1096</v>
      </c>
      <c r="D196" s="123" t="s">
        <v>7</v>
      </c>
      <c r="E196" s="129">
        <v>2</v>
      </c>
      <c r="F196" s="129">
        <f>TRUNC('MEMÓRIA DESONERADA'!F1460,2)</f>
        <v>47.62</v>
      </c>
      <c r="G196" s="129">
        <f t="shared" si="26"/>
        <v>61.34</v>
      </c>
      <c r="H196" s="129">
        <f t="shared" si="27"/>
        <v>95.24</v>
      </c>
      <c r="I196" s="129">
        <f t="shared" si="28"/>
        <v>122.68</v>
      </c>
    </row>
    <row r="197" spans="1:9" ht="30">
      <c r="A197" s="123" t="s">
        <v>1081</v>
      </c>
      <c r="B197" s="128" t="s">
        <v>1107</v>
      </c>
      <c r="C197" s="127" t="s">
        <v>1108</v>
      </c>
      <c r="D197" s="123" t="s">
        <v>7</v>
      </c>
      <c r="E197" s="129">
        <v>6</v>
      </c>
      <c r="F197" s="129">
        <f>TRUNC('MEMÓRIA DESONERADA'!F1469,2)</f>
        <v>15.19</v>
      </c>
      <c r="G197" s="129">
        <f t="shared" ref="G197:G228" si="29">TRUNC(F197*1.2882,2)</f>
        <v>19.559999999999999</v>
      </c>
      <c r="H197" s="129">
        <f t="shared" ref="H197:H228" si="30">TRUNC(F197*E197,2)</f>
        <v>91.14</v>
      </c>
      <c r="I197" s="129">
        <f t="shared" ref="I197:I228" si="31">TRUNC(E197*G197,2)</f>
        <v>117.36</v>
      </c>
    </row>
    <row r="198" spans="1:9" ht="30">
      <c r="A198" s="123" t="s">
        <v>1082</v>
      </c>
      <c r="B198" s="128" t="s">
        <v>1111</v>
      </c>
      <c r="C198" s="127" t="s">
        <v>1112</v>
      </c>
      <c r="D198" s="123" t="s">
        <v>7</v>
      </c>
      <c r="E198" s="129">
        <v>14</v>
      </c>
      <c r="F198" s="129">
        <f>TRUNC('MEMÓRIA DESONERADA'!F1478,2)</f>
        <v>13.47</v>
      </c>
      <c r="G198" s="129">
        <f t="shared" si="29"/>
        <v>17.350000000000001</v>
      </c>
      <c r="H198" s="129">
        <f t="shared" si="30"/>
        <v>188.58</v>
      </c>
      <c r="I198" s="129">
        <f t="shared" si="31"/>
        <v>242.9</v>
      </c>
    </row>
    <row r="199" spans="1:9" ht="30">
      <c r="A199" s="123" t="s">
        <v>1083</v>
      </c>
      <c r="B199" s="128" t="s">
        <v>1115</v>
      </c>
      <c r="C199" s="127" t="s">
        <v>1116</v>
      </c>
      <c r="D199" s="123" t="s">
        <v>7</v>
      </c>
      <c r="E199" s="129">
        <f>24+2+6+1+1+7+1+1+3</f>
        <v>46</v>
      </c>
      <c r="F199" s="129">
        <f>TRUNC('MEMÓRIA DESONERADA'!F1487,2)</f>
        <v>9.5399999999999991</v>
      </c>
      <c r="G199" s="129">
        <f t="shared" si="29"/>
        <v>12.28</v>
      </c>
      <c r="H199" s="129">
        <f t="shared" si="30"/>
        <v>438.84</v>
      </c>
      <c r="I199" s="129">
        <f t="shared" si="31"/>
        <v>564.88</v>
      </c>
    </row>
    <row r="200" spans="1:9" ht="30">
      <c r="A200" s="123" t="s">
        <v>1084</v>
      </c>
      <c r="B200" s="128" t="s">
        <v>1119</v>
      </c>
      <c r="C200" s="127" t="s">
        <v>1120</v>
      </c>
      <c r="D200" s="123" t="s">
        <v>7</v>
      </c>
      <c r="E200" s="129">
        <f>1+2+1+1+2+1+4</f>
        <v>12</v>
      </c>
      <c r="F200" s="129">
        <f>TRUNC('MEMÓRIA DESONERADA'!F1496,2)</f>
        <v>7.87</v>
      </c>
      <c r="G200" s="129">
        <f t="shared" si="29"/>
        <v>10.130000000000001</v>
      </c>
      <c r="H200" s="129">
        <f t="shared" si="30"/>
        <v>94.44</v>
      </c>
      <c r="I200" s="129">
        <f t="shared" si="31"/>
        <v>121.56</v>
      </c>
    </row>
    <row r="201" spans="1:9" ht="45">
      <c r="A201" s="123" t="s">
        <v>1141</v>
      </c>
      <c r="B201" s="128" t="s">
        <v>1123</v>
      </c>
      <c r="C201" s="127" t="s">
        <v>1124</v>
      </c>
      <c r="D201" s="123" t="s">
        <v>7</v>
      </c>
      <c r="E201" s="129">
        <v>5</v>
      </c>
      <c r="F201" s="129">
        <f>TRUNC('MEMÓRIA DESONERADA'!F1505,2)</f>
        <v>74.459999999999994</v>
      </c>
      <c r="G201" s="129">
        <f t="shared" si="29"/>
        <v>95.91</v>
      </c>
      <c r="H201" s="129">
        <f t="shared" si="30"/>
        <v>372.3</v>
      </c>
      <c r="I201" s="129">
        <f t="shared" si="31"/>
        <v>479.55</v>
      </c>
    </row>
    <row r="202" spans="1:9" ht="45">
      <c r="A202" s="123" t="s">
        <v>1142</v>
      </c>
      <c r="B202" s="128" t="s">
        <v>1129</v>
      </c>
      <c r="C202" s="127" t="s">
        <v>1130</v>
      </c>
      <c r="D202" s="123" t="s">
        <v>7</v>
      </c>
      <c r="E202" s="129">
        <v>5</v>
      </c>
      <c r="F202" s="129">
        <f>TRUNC('MEMÓRIA DESONERADA'!F1514,2)</f>
        <v>30.21</v>
      </c>
      <c r="G202" s="129">
        <f t="shared" si="29"/>
        <v>38.909999999999997</v>
      </c>
      <c r="H202" s="129">
        <f t="shared" si="30"/>
        <v>151.05000000000001</v>
      </c>
      <c r="I202" s="129">
        <f t="shared" si="31"/>
        <v>194.55</v>
      </c>
    </row>
    <row r="203" spans="1:9" ht="45">
      <c r="A203" s="123" t="s">
        <v>1143</v>
      </c>
      <c r="B203" s="128" t="s">
        <v>1133</v>
      </c>
      <c r="C203" s="127" t="s">
        <v>1134</v>
      </c>
      <c r="D203" s="123" t="s">
        <v>7</v>
      </c>
      <c r="E203" s="129">
        <v>1</v>
      </c>
      <c r="F203" s="129">
        <f>TRUNC('MEMÓRIA DESONERADA'!F1523,2)</f>
        <v>17.16</v>
      </c>
      <c r="G203" s="129">
        <f t="shared" si="29"/>
        <v>22.1</v>
      </c>
      <c r="H203" s="129">
        <f t="shared" si="30"/>
        <v>17.16</v>
      </c>
      <c r="I203" s="129">
        <f t="shared" si="31"/>
        <v>22.1</v>
      </c>
    </row>
    <row r="204" spans="1:9" ht="45">
      <c r="A204" s="123" t="s">
        <v>1144</v>
      </c>
      <c r="B204" s="128" t="s">
        <v>1137</v>
      </c>
      <c r="C204" s="127" t="s">
        <v>1138</v>
      </c>
      <c r="D204" s="123" t="s">
        <v>7</v>
      </c>
      <c r="E204" s="129">
        <v>2</v>
      </c>
      <c r="F204" s="129">
        <f>TRUNC('MEMÓRIA DESONERADA'!F1532,2)</f>
        <v>12.96</v>
      </c>
      <c r="G204" s="129">
        <f t="shared" si="29"/>
        <v>16.690000000000001</v>
      </c>
      <c r="H204" s="129">
        <f t="shared" si="30"/>
        <v>25.92</v>
      </c>
      <c r="I204" s="129">
        <f t="shared" si="31"/>
        <v>33.380000000000003</v>
      </c>
    </row>
    <row r="205" spans="1:9" ht="30">
      <c r="A205" s="123" t="s">
        <v>1145</v>
      </c>
      <c r="B205" s="128" t="s">
        <v>1146</v>
      </c>
      <c r="C205" s="127" t="s">
        <v>1147</v>
      </c>
      <c r="D205" s="123" t="s">
        <v>7</v>
      </c>
      <c r="E205" s="129">
        <v>4</v>
      </c>
      <c r="F205" s="129">
        <f>TRUNC('MEMÓRIA DESONERADA'!F1541,2)</f>
        <v>22.94</v>
      </c>
      <c r="G205" s="129">
        <f t="shared" si="29"/>
        <v>29.55</v>
      </c>
      <c r="H205" s="129">
        <f t="shared" si="30"/>
        <v>91.76</v>
      </c>
      <c r="I205" s="129">
        <f t="shared" si="31"/>
        <v>118.2</v>
      </c>
    </row>
    <row r="206" spans="1:9" ht="45">
      <c r="A206" s="314" t="s">
        <v>1166</v>
      </c>
      <c r="B206" s="128" t="s">
        <v>1150</v>
      </c>
      <c r="C206" s="127" t="s">
        <v>1151</v>
      </c>
      <c r="D206" s="123" t="s">
        <v>7</v>
      </c>
      <c r="E206" s="129">
        <v>6</v>
      </c>
      <c r="F206" s="129">
        <f>TRUNC('MEMÓRIA DESONERADA'!F1550,2)</f>
        <v>26.03</v>
      </c>
      <c r="G206" s="129">
        <f t="shared" si="29"/>
        <v>33.53</v>
      </c>
      <c r="H206" s="129">
        <f t="shared" si="30"/>
        <v>156.18</v>
      </c>
      <c r="I206" s="129">
        <f t="shared" si="31"/>
        <v>201.18</v>
      </c>
    </row>
    <row r="207" spans="1:9" ht="45">
      <c r="A207" s="123" t="s">
        <v>1167</v>
      </c>
      <c r="B207" s="128" t="s">
        <v>1154</v>
      </c>
      <c r="C207" s="127" t="s">
        <v>1155</v>
      </c>
      <c r="D207" s="123" t="s">
        <v>7</v>
      </c>
      <c r="E207" s="129">
        <v>6</v>
      </c>
      <c r="F207" s="129">
        <f>TRUNC('MEMÓRIA DESONERADA'!F1559,2)</f>
        <v>10.3</v>
      </c>
      <c r="G207" s="129">
        <f t="shared" si="29"/>
        <v>13.26</v>
      </c>
      <c r="H207" s="129">
        <f t="shared" si="30"/>
        <v>61.8</v>
      </c>
      <c r="I207" s="129">
        <f t="shared" si="31"/>
        <v>79.56</v>
      </c>
    </row>
    <row r="208" spans="1:9" ht="45">
      <c r="A208" s="123" t="s">
        <v>1168</v>
      </c>
      <c r="B208" s="128" t="s">
        <v>1162</v>
      </c>
      <c r="C208" s="127" t="s">
        <v>1163</v>
      </c>
      <c r="D208" s="123" t="s">
        <v>7</v>
      </c>
      <c r="E208" s="129">
        <v>18</v>
      </c>
      <c r="F208" s="129">
        <f>TRUNC('MEMÓRIA DESONERADA'!F1568,2)</f>
        <v>7.37</v>
      </c>
      <c r="G208" s="129">
        <f t="shared" si="29"/>
        <v>9.49</v>
      </c>
      <c r="H208" s="129">
        <f t="shared" si="30"/>
        <v>132.66</v>
      </c>
      <c r="I208" s="129">
        <f t="shared" si="31"/>
        <v>170.82</v>
      </c>
    </row>
    <row r="209" spans="1:9" ht="45">
      <c r="A209" s="123" t="s">
        <v>1169</v>
      </c>
      <c r="B209" s="128" t="s">
        <v>1158</v>
      </c>
      <c r="C209" s="127" t="s">
        <v>1159</v>
      </c>
      <c r="D209" s="123" t="s">
        <v>7</v>
      </c>
      <c r="E209" s="129">
        <v>6</v>
      </c>
      <c r="F209" s="129">
        <f>TRUNC('MEMÓRIA DESONERADA'!F1577,2)</f>
        <v>6.86</v>
      </c>
      <c r="G209" s="129">
        <f t="shared" si="29"/>
        <v>8.83</v>
      </c>
      <c r="H209" s="129">
        <f t="shared" si="30"/>
        <v>41.16</v>
      </c>
      <c r="I209" s="129">
        <f t="shared" si="31"/>
        <v>52.98</v>
      </c>
    </row>
    <row r="210" spans="1:9" ht="45">
      <c r="A210" s="123" t="s">
        <v>1170</v>
      </c>
      <c r="B210" s="128" t="s">
        <v>1172</v>
      </c>
      <c r="C210" s="127" t="s">
        <v>1173</v>
      </c>
      <c r="D210" s="123" t="s">
        <v>7</v>
      </c>
      <c r="E210" s="129">
        <v>3</v>
      </c>
      <c r="F210" s="129">
        <f>TRUNC('MEMÓRIA DESONERADA'!F1586,2)</f>
        <v>105.15</v>
      </c>
      <c r="G210" s="129">
        <f t="shared" si="29"/>
        <v>135.44999999999999</v>
      </c>
      <c r="H210" s="129">
        <f t="shared" si="30"/>
        <v>315.45</v>
      </c>
      <c r="I210" s="129">
        <f t="shared" si="31"/>
        <v>406.35</v>
      </c>
    </row>
    <row r="211" spans="1:9" ht="60">
      <c r="A211" s="123" t="s">
        <v>1171</v>
      </c>
      <c r="B211" s="128" t="s">
        <v>1176</v>
      </c>
      <c r="C211" s="127" t="s">
        <v>1177</v>
      </c>
      <c r="D211" s="123" t="s">
        <v>7</v>
      </c>
      <c r="E211" s="129">
        <v>6</v>
      </c>
      <c r="F211" s="129">
        <f>TRUNC('MEMÓRIA DESONERADA'!F1595,2)</f>
        <v>66.150000000000006</v>
      </c>
      <c r="G211" s="129">
        <f t="shared" si="29"/>
        <v>85.21</v>
      </c>
      <c r="H211" s="129">
        <f t="shared" si="30"/>
        <v>396.9</v>
      </c>
      <c r="I211" s="129">
        <f t="shared" si="31"/>
        <v>511.26</v>
      </c>
    </row>
    <row r="212" spans="1:9" ht="60">
      <c r="A212" s="123" t="s">
        <v>1198</v>
      </c>
      <c r="B212" s="128" t="s">
        <v>1180</v>
      </c>
      <c r="C212" s="127" t="s">
        <v>1181</v>
      </c>
      <c r="D212" s="123" t="s">
        <v>7</v>
      </c>
      <c r="E212" s="129">
        <v>3</v>
      </c>
      <c r="F212" s="129">
        <f>TRUNC('MEMÓRIA DESONERADA'!F1604,2)</f>
        <v>25.5</v>
      </c>
      <c r="G212" s="129">
        <f t="shared" si="29"/>
        <v>32.840000000000003</v>
      </c>
      <c r="H212" s="129">
        <f t="shared" si="30"/>
        <v>76.5</v>
      </c>
      <c r="I212" s="129">
        <f t="shared" si="31"/>
        <v>98.52</v>
      </c>
    </row>
    <row r="213" spans="1:9" ht="30">
      <c r="A213" s="123" t="s">
        <v>1199</v>
      </c>
      <c r="B213" s="128" t="s">
        <v>1184</v>
      </c>
      <c r="C213" s="127" t="s">
        <v>1185</v>
      </c>
      <c r="D213" s="123" t="s">
        <v>7</v>
      </c>
      <c r="E213" s="129">
        <v>3</v>
      </c>
      <c r="F213" s="129">
        <f>TRUNC('MEMÓRIA DESONERADA'!F1613,2)</f>
        <v>95.63</v>
      </c>
      <c r="G213" s="129">
        <f t="shared" si="29"/>
        <v>123.19</v>
      </c>
      <c r="H213" s="129">
        <f t="shared" si="30"/>
        <v>286.89</v>
      </c>
      <c r="I213" s="129">
        <f t="shared" si="31"/>
        <v>369.57</v>
      </c>
    </row>
    <row r="214" spans="1:9" ht="30">
      <c r="A214" s="123" t="s">
        <v>1200</v>
      </c>
      <c r="B214" s="128" t="s">
        <v>1190</v>
      </c>
      <c r="C214" s="127" t="s">
        <v>1191</v>
      </c>
      <c r="D214" s="123" t="s">
        <v>7</v>
      </c>
      <c r="E214" s="129">
        <v>3</v>
      </c>
      <c r="F214" s="129">
        <f>TRUNC('MEMÓRIA DESONERADA'!F1620,2)</f>
        <v>54.88</v>
      </c>
      <c r="G214" s="129">
        <f t="shared" si="29"/>
        <v>70.69</v>
      </c>
      <c r="H214" s="129">
        <f t="shared" si="30"/>
        <v>164.64</v>
      </c>
      <c r="I214" s="129">
        <f t="shared" si="31"/>
        <v>212.07</v>
      </c>
    </row>
    <row r="215" spans="1:9" ht="30">
      <c r="A215" s="123" t="s">
        <v>1201</v>
      </c>
      <c r="B215" s="128" t="s">
        <v>1194</v>
      </c>
      <c r="C215" s="127" t="s">
        <v>1195</v>
      </c>
      <c r="D215" s="123" t="s">
        <v>7</v>
      </c>
      <c r="E215" s="129">
        <v>3</v>
      </c>
      <c r="F215" s="129">
        <f>TRUNC('MEMÓRIA DESONERADA'!F1627,2)</f>
        <v>26.39</v>
      </c>
      <c r="G215" s="129">
        <f t="shared" si="29"/>
        <v>33.99</v>
      </c>
      <c r="H215" s="129">
        <f t="shared" si="30"/>
        <v>79.17</v>
      </c>
      <c r="I215" s="129">
        <f t="shared" si="31"/>
        <v>101.97</v>
      </c>
    </row>
    <row r="216" spans="1:9" ht="30">
      <c r="A216" s="123" t="s">
        <v>1202</v>
      </c>
      <c r="B216" s="128" t="s">
        <v>1205</v>
      </c>
      <c r="C216" s="127" t="s">
        <v>1206</v>
      </c>
      <c r="D216" s="123" t="s">
        <v>7</v>
      </c>
      <c r="E216" s="129">
        <v>3</v>
      </c>
      <c r="F216" s="129">
        <f>TRUNC('MEMÓRIA DESONERADA'!F1634,2)</f>
        <v>84.06</v>
      </c>
      <c r="G216" s="129">
        <f t="shared" si="29"/>
        <v>108.28</v>
      </c>
      <c r="H216" s="129">
        <f t="shared" si="30"/>
        <v>252.18</v>
      </c>
      <c r="I216" s="129">
        <f t="shared" si="31"/>
        <v>324.83999999999997</v>
      </c>
    </row>
    <row r="217" spans="1:9" ht="30">
      <c r="A217" s="123" t="s">
        <v>1203</v>
      </c>
      <c r="B217" s="128" t="s">
        <v>1209</v>
      </c>
      <c r="C217" s="127" t="s">
        <v>1913</v>
      </c>
      <c r="D217" s="123" t="s">
        <v>7</v>
      </c>
      <c r="E217" s="129">
        <v>3</v>
      </c>
      <c r="F217" s="129">
        <f>TRUNC('MEMÓRIA DESONERADA'!F1641,2)</f>
        <v>26.16</v>
      </c>
      <c r="G217" s="129">
        <f t="shared" si="29"/>
        <v>33.69</v>
      </c>
      <c r="H217" s="129">
        <f t="shared" si="30"/>
        <v>78.48</v>
      </c>
      <c r="I217" s="129">
        <f t="shared" si="31"/>
        <v>101.07</v>
      </c>
    </row>
    <row r="218" spans="1:9" ht="30">
      <c r="A218" s="123" t="s">
        <v>1204</v>
      </c>
      <c r="B218" s="128" t="s">
        <v>1213</v>
      </c>
      <c r="C218" s="127" t="s">
        <v>1214</v>
      </c>
      <c r="D218" s="123" t="s">
        <v>7</v>
      </c>
      <c r="E218" s="129">
        <v>3</v>
      </c>
      <c r="F218" s="129">
        <f>TRUNC('MEMÓRIA DESONERADA'!F1645,2)</f>
        <v>1017.99</v>
      </c>
      <c r="G218" s="129">
        <f t="shared" si="29"/>
        <v>1311.37</v>
      </c>
      <c r="H218" s="129">
        <f t="shared" si="30"/>
        <v>3053.97</v>
      </c>
      <c r="I218" s="129">
        <f t="shared" si="31"/>
        <v>3934.11</v>
      </c>
    </row>
    <row r="219" spans="1:9" ht="45">
      <c r="A219" s="123" t="s">
        <v>1237</v>
      </c>
      <c r="B219" s="128" t="s">
        <v>1217</v>
      </c>
      <c r="C219" s="127" t="s">
        <v>1218</v>
      </c>
      <c r="D219" s="123" t="s">
        <v>7</v>
      </c>
      <c r="E219" s="129">
        <v>8</v>
      </c>
      <c r="F219" s="129">
        <f>TRUNC('MEMÓRIA DESONERADA'!F1651,2)</f>
        <v>16.600000000000001</v>
      </c>
      <c r="G219" s="129">
        <f t="shared" si="29"/>
        <v>21.38</v>
      </c>
      <c r="H219" s="129">
        <f t="shared" si="30"/>
        <v>132.80000000000001</v>
      </c>
      <c r="I219" s="129">
        <f t="shared" si="31"/>
        <v>171.04</v>
      </c>
    </row>
    <row r="220" spans="1:9" ht="45">
      <c r="A220" s="123" t="s">
        <v>1238</v>
      </c>
      <c r="B220" s="128" t="s">
        <v>1221</v>
      </c>
      <c r="C220" s="127" t="s">
        <v>1222</v>
      </c>
      <c r="D220" s="123" t="s">
        <v>7</v>
      </c>
      <c r="E220" s="129">
        <v>3</v>
      </c>
      <c r="F220" s="129">
        <f>TRUNC('MEMÓRIA DESONERADA'!F1660,2)</f>
        <v>18.78</v>
      </c>
      <c r="G220" s="129">
        <f t="shared" si="29"/>
        <v>24.19</v>
      </c>
      <c r="H220" s="129">
        <f t="shared" si="30"/>
        <v>56.34</v>
      </c>
      <c r="I220" s="129">
        <f t="shared" si="31"/>
        <v>72.569999999999993</v>
      </c>
    </row>
    <row r="221" spans="1:9" ht="45">
      <c r="A221" s="123" t="s">
        <v>1239</v>
      </c>
      <c r="B221" s="128" t="s">
        <v>1227</v>
      </c>
      <c r="C221" s="127" t="s">
        <v>1228</v>
      </c>
      <c r="D221" s="123" t="s">
        <v>7</v>
      </c>
      <c r="E221" s="129">
        <v>45</v>
      </c>
      <c r="F221" s="129">
        <f>TRUNC('MEMÓRIA DESONERADA'!F1669,2)</f>
        <v>11.32</v>
      </c>
      <c r="G221" s="129">
        <f t="shared" si="29"/>
        <v>14.58</v>
      </c>
      <c r="H221" s="129">
        <f t="shared" si="30"/>
        <v>509.4</v>
      </c>
      <c r="I221" s="129">
        <f t="shared" si="31"/>
        <v>656.1</v>
      </c>
    </row>
    <row r="222" spans="1:9" ht="30">
      <c r="A222" s="123" t="s">
        <v>1240</v>
      </c>
      <c r="B222" s="128" t="s">
        <v>1229</v>
      </c>
      <c r="C222" s="127" t="s">
        <v>1230</v>
      </c>
      <c r="D222" s="123" t="s">
        <v>7</v>
      </c>
      <c r="E222" s="129">
        <v>5</v>
      </c>
      <c r="F222" s="129">
        <f>TRUNC('MEMÓRIA DESONERADA'!F1678,2)</f>
        <v>22.96</v>
      </c>
      <c r="G222" s="129">
        <f t="shared" si="29"/>
        <v>29.57</v>
      </c>
      <c r="H222" s="129">
        <f t="shared" si="30"/>
        <v>114.8</v>
      </c>
      <c r="I222" s="129">
        <f t="shared" si="31"/>
        <v>147.85</v>
      </c>
    </row>
    <row r="223" spans="1:9" ht="30">
      <c r="A223" s="123" t="s">
        <v>1253</v>
      </c>
      <c r="B223" s="128" t="s">
        <v>1233</v>
      </c>
      <c r="C223" s="127" t="s">
        <v>1234</v>
      </c>
      <c r="D223" s="123" t="s">
        <v>7</v>
      </c>
      <c r="E223" s="129">
        <v>42</v>
      </c>
      <c r="F223" s="129">
        <f>TRUNC('MEMÓRIA DESONERADA'!F1687,2)</f>
        <v>16.39</v>
      </c>
      <c r="G223" s="129">
        <f t="shared" si="29"/>
        <v>21.11</v>
      </c>
      <c r="H223" s="129">
        <f t="shared" si="30"/>
        <v>688.38</v>
      </c>
      <c r="I223" s="129">
        <f t="shared" si="31"/>
        <v>886.62</v>
      </c>
    </row>
    <row r="224" spans="1:9" ht="30">
      <c r="A224" s="123" t="s">
        <v>1258</v>
      </c>
      <c r="B224" s="128" t="s">
        <v>1241</v>
      </c>
      <c r="C224" s="127" t="s">
        <v>1242</v>
      </c>
      <c r="D224" s="123" t="s">
        <v>7</v>
      </c>
      <c r="E224" s="129">
        <v>5</v>
      </c>
      <c r="F224" s="129">
        <f>TRUNC('MEMÓRIA DESONERADA'!F1696,2)</f>
        <v>8.68</v>
      </c>
      <c r="G224" s="129">
        <f t="shared" si="29"/>
        <v>11.18</v>
      </c>
      <c r="H224" s="129">
        <f t="shared" si="30"/>
        <v>43.4</v>
      </c>
      <c r="I224" s="129">
        <f t="shared" si="31"/>
        <v>55.9</v>
      </c>
    </row>
    <row r="225" spans="1:9" ht="30">
      <c r="A225" s="314" t="s">
        <v>1279</v>
      </c>
      <c r="B225" s="128" t="s">
        <v>1245</v>
      </c>
      <c r="C225" s="127" t="s">
        <v>1246</v>
      </c>
      <c r="D225" s="123" t="s">
        <v>7</v>
      </c>
      <c r="E225" s="129">
        <v>12</v>
      </c>
      <c r="F225" s="129">
        <f>TRUNC('MEMÓRIA DESONERADA'!F1705,2)</f>
        <v>6.71</v>
      </c>
      <c r="G225" s="129">
        <f t="shared" si="29"/>
        <v>8.64</v>
      </c>
      <c r="H225" s="129">
        <f t="shared" si="30"/>
        <v>80.52</v>
      </c>
      <c r="I225" s="129">
        <f t="shared" si="31"/>
        <v>103.68</v>
      </c>
    </row>
    <row r="226" spans="1:9" ht="30">
      <c r="A226" s="123" t="s">
        <v>1280</v>
      </c>
      <c r="B226" s="128" t="s">
        <v>1249</v>
      </c>
      <c r="C226" s="127" t="s">
        <v>1250</v>
      </c>
      <c r="D226" s="123" t="s">
        <v>7</v>
      </c>
      <c r="E226" s="129">
        <v>4</v>
      </c>
      <c r="F226" s="129">
        <f>TRUNC('MEMÓRIA DESONERADA'!F1714,2)</f>
        <v>74.95</v>
      </c>
      <c r="G226" s="129">
        <f t="shared" si="29"/>
        <v>96.55</v>
      </c>
      <c r="H226" s="129">
        <f t="shared" si="30"/>
        <v>299.8</v>
      </c>
      <c r="I226" s="129">
        <f t="shared" si="31"/>
        <v>386.2</v>
      </c>
    </row>
    <row r="227" spans="1:9" ht="30">
      <c r="A227" s="123" t="s">
        <v>1281</v>
      </c>
      <c r="B227" s="128" t="s">
        <v>1254</v>
      </c>
      <c r="C227" s="127" t="s">
        <v>1255</v>
      </c>
      <c r="D227" s="123" t="s">
        <v>7</v>
      </c>
      <c r="E227" s="129">
        <v>6</v>
      </c>
      <c r="F227" s="129">
        <f>TRUNC('MEMÓRIA DESONERADA'!F1721,2)</f>
        <v>61.72</v>
      </c>
      <c r="G227" s="129">
        <f t="shared" si="29"/>
        <v>79.5</v>
      </c>
      <c r="H227" s="129">
        <f t="shared" si="30"/>
        <v>370.32</v>
      </c>
      <c r="I227" s="129">
        <f t="shared" si="31"/>
        <v>477</v>
      </c>
    </row>
    <row r="228" spans="1:9" ht="45">
      <c r="A228" s="123" t="s">
        <v>1282</v>
      </c>
      <c r="B228" s="128" t="s">
        <v>1275</v>
      </c>
      <c r="C228" s="127" t="s">
        <v>1276</v>
      </c>
      <c r="D228" s="123" t="s">
        <v>23</v>
      </c>
      <c r="E228" s="129">
        <v>23</v>
      </c>
      <c r="F228" s="129">
        <f>TRUNC('MEMÓRIA DESONERADA'!F1728,2)</f>
        <v>169.47</v>
      </c>
      <c r="G228" s="129">
        <f t="shared" si="29"/>
        <v>218.31</v>
      </c>
      <c r="H228" s="129">
        <f t="shared" si="30"/>
        <v>3897.81</v>
      </c>
      <c r="I228" s="129">
        <f t="shared" si="31"/>
        <v>5021.13</v>
      </c>
    </row>
    <row r="229" spans="1:9" ht="45">
      <c r="A229" s="123" t="s">
        <v>1283</v>
      </c>
      <c r="B229" s="128" t="s">
        <v>1259</v>
      </c>
      <c r="C229" s="127" t="s">
        <v>1260</v>
      </c>
      <c r="D229" s="123" t="s">
        <v>23</v>
      </c>
      <c r="E229" s="129">
        <v>43</v>
      </c>
      <c r="F229" s="129">
        <f>TRUNC('MEMÓRIA DESONERADA'!F1735,2)</f>
        <v>69.989999999999995</v>
      </c>
      <c r="G229" s="129">
        <f t="shared" ref="G229:G260" si="32">TRUNC(F229*1.2882,2)</f>
        <v>90.16</v>
      </c>
      <c r="H229" s="129">
        <f t="shared" ref="H229:H264" si="33">TRUNC(F229*E229,2)</f>
        <v>3009.57</v>
      </c>
      <c r="I229" s="129">
        <f t="shared" ref="I229:I264" si="34">TRUNC(E229*G229,2)</f>
        <v>3876.88</v>
      </c>
    </row>
    <row r="230" spans="1:9" ht="45">
      <c r="A230" s="123" t="s">
        <v>1284</v>
      </c>
      <c r="B230" s="128" t="s">
        <v>1263</v>
      </c>
      <c r="C230" s="127" t="s">
        <v>1264</v>
      </c>
      <c r="D230" s="123" t="s">
        <v>23</v>
      </c>
      <c r="E230" s="129">
        <v>94</v>
      </c>
      <c r="F230" s="129">
        <f>TRUNC('MEMÓRIA DESONERADA'!F1742,2)</f>
        <v>32.380000000000003</v>
      </c>
      <c r="G230" s="129">
        <f t="shared" si="32"/>
        <v>41.71</v>
      </c>
      <c r="H230" s="129">
        <f t="shared" si="33"/>
        <v>3043.72</v>
      </c>
      <c r="I230" s="129">
        <f t="shared" si="34"/>
        <v>3920.74</v>
      </c>
    </row>
    <row r="231" spans="1:9" ht="45">
      <c r="A231" s="123" t="s">
        <v>1299</v>
      </c>
      <c r="B231" s="128" t="s">
        <v>1265</v>
      </c>
      <c r="C231" s="127" t="s">
        <v>1266</v>
      </c>
      <c r="D231" s="123" t="s">
        <v>23</v>
      </c>
      <c r="E231" s="129">
        <v>26</v>
      </c>
      <c r="F231" s="129">
        <f>TRUNC('MEMÓRIA DESONERADA'!F1749,2)</f>
        <v>28.9</v>
      </c>
      <c r="G231" s="129">
        <f t="shared" si="32"/>
        <v>37.22</v>
      </c>
      <c r="H231" s="129">
        <f t="shared" si="33"/>
        <v>751.4</v>
      </c>
      <c r="I231" s="129">
        <f t="shared" si="34"/>
        <v>967.72</v>
      </c>
    </row>
    <row r="232" spans="1:9" ht="45">
      <c r="A232" s="123" t="s">
        <v>1300</v>
      </c>
      <c r="B232" s="128" t="s">
        <v>1267</v>
      </c>
      <c r="C232" s="127" t="s">
        <v>1268</v>
      </c>
      <c r="D232" s="123" t="s">
        <v>23</v>
      </c>
      <c r="E232" s="129">
        <v>65.540000000000006</v>
      </c>
      <c r="F232" s="129">
        <f>TRUNC('MEMÓRIA DESONERADA'!F1756,2)</f>
        <v>19.600000000000001</v>
      </c>
      <c r="G232" s="129">
        <f t="shared" si="32"/>
        <v>25.24</v>
      </c>
      <c r="H232" s="129">
        <f t="shared" si="33"/>
        <v>1284.58</v>
      </c>
      <c r="I232" s="129">
        <f t="shared" si="34"/>
        <v>1654.22</v>
      </c>
    </row>
    <row r="233" spans="1:9" ht="45">
      <c r="A233" s="123" t="s">
        <v>1309</v>
      </c>
      <c r="B233" s="128" t="s">
        <v>1271</v>
      </c>
      <c r="C233" s="127" t="s">
        <v>1272</v>
      </c>
      <c r="D233" s="123" t="s">
        <v>23</v>
      </c>
      <c r="E233" s="129">
        <v>38</v>
      </c>
      <c r="F233" s="129">
        <f>TRUNC('MEMÓRIA DESONERADA'!F1763,2)</f>
        <v>13.98</v>
      </c>
      <c r="G233" s="129">
        <f t="shared" si="32"/>
        <v>18</v>
      </c>
      <c r="H233" s="129">
        <f t="shared" si="33"/>
        <v>531.24</v>
      </c>
      <c r="I233" s="129">
        <f t="shared" si="34"/>
        <v>684</v>
      </c>
    </row>
    <row r="234" spans="1:9" ht="45">
      <c r="A234" s="123" t="s">
        <v>1310</v>
      </c>
      <c r="B234" s="128" t="s">
        <v>1285</v>
      </c>
      <c r="C234" s="127" t="s">
        <v>1286</v>
      </c>
      <c r="D234" s="123" t="s">
        <v>7</v>
      </c>
      <c r="E234" s="129">
        <v>8</v>
      </c>
      <c r="F234" s="129">
        <f>TRUNC('MEMÓRIA DESONERADA'!F1770,2)</f>
        <v>41.74</v>
      </c>
      <c r="G234" s="129">
        <f t="shared" si="32"/>
        <v>53.76</v>
      </c>
      <c r="H234" s="129">
        <f t="shared" si="33"/>
        <v>333.92</v>
      </c>
      <c r="I234" s="129">
        <f t="shared" si="34"/>
        <v>430.08</v>
      </c>
    </row>
    <row r="235" spans="1:9" ht="45">
      <c r="A235" s="123" t="s">
        <v>1311</v>
      </c>
      <c r="B235" s="128" t="s">
        <v>1293</v>
      </c>
      <c r="C235" s="127" t="s">
        <v>1294</v>
      </c>
      <c r="D235" s="123" t="s">
        <v>7</v>
      </c>
      <c r="E235" s="129">
        <v>10</v>
      </c>
      <c r="F235" s="129">
        <f>TRUNC('MEMÓRIA DESONERADA'!F1778,2)</f>
        <v>35.380000000000003</v>
      </c>
      <c r="G235" s="129">
        <f t="shared" si="32"/>
        <v>45.57</v>
      </c>
      <c r="H235" s="129">
        <f t="shared" si="33"/>
        <v>353.8</v>
      </c>
      <c r="I235" s="129">
        <f t="shared" si="34"/>
        <v>455.7</v>
      </c>
    </row>
    <row r="236" spans="1:9" ht="45">
      <c r="A236" s="123" t="s">
        <v>1312</v>
      </c>
      <c r="B236" s="128" t="s">
        <v>1303</v>
      </c>
      <c r="C236" s="127" t="s">
        <v>1304</v>
      </c>
      <c r="D236" s="123" t="s">
        <v>7</v>
      </c>
      <c r="E236" s="129">
        <v>8</v>
      </c>
      <c r="F236" s="129">
        <f>TRUNC('MEMÓRIA DESONERADA'!F1786,2)</f>
        <v>174.93</v>
      </c>
      <c r="G236" s="129">
        <f t="shared" si="32"/>
        <v>225.34</v>
      </c>
      <c r="H236" s="129">
        <f t="shared" si="33"/>
        <v>1399.44</v>
      </c>
      <c r="I236" s="129">
        <f t="shared" si="34"/>
        <v>1802.72</v>
      </c>
    </row>
    <row r="237" spans="1:9" ht="45">
      <c r="A237" s="123" t="s">
        <v>1313</v>
      </c>
      <c r="B237" s="128" t="s">
        <v>1301</v>
      </c>
      <c r="C237" s="127" t="s">
        <v>1302</v>
      </c>
      <c r="D237" s="123" t="s">
        <v>7</v>
      </c>
      <c r="E237" s="129">
        <v>7</v>
      </c>
      <c r="F237" s="129">
        <f>TRUNC('MEMÓRIA DESONERADA'!F1790,2)</f>
        <v>47.45</v>
      </c>
      <c r="G237" s="129">
        <f t="shared" si="32"/>
        <v>61.12</v>
      </c>
      <c r="H237" s="129">
        <f t="shared" si="33"/>
        <v>332.15</v>
      </c>
      <c r="I237" s="129">
        <f t="shared" si="34"/>
        <v>427.84</v>
      </c>
    </row>
    <row r="238" spans="1:9" ht="30">
      <c r="A238" s="123" t="s">
        <v>1336</v>
      </c>
      <c r="B238" s="128" t="s">
        <v>1314</v>
      </c>
      <c r="C238" s="127" t="s">
        <v>1315</v>
      </c>
      <c r="D238" s="123" t="s">
        <v>7</v>
      </c>
      <c r="E238" s="129">
        <v>1</v>
      </c>
      <c r="F238" s="129">
        <f>TRUNC('MEMÓRIA DESONERADA'!F1794,2)</f>
        <v>49.54</v>
      </c>
      <c r="G238" s="129">
        <f t="shared" si="32"/>
        <v>63.81</v>
      </c>
      <c r="H238" s="129">
        <f t="shared" si="33"/>
        <v>49.54</v>
      </c>
      <c r="I238" s="129">
        <f t="shared" si="34"/>
        <v>63.81</v>
      </c>
    </row>
    <row r="239" spans="1:9" ht="30">
      <c r="A239" s="123" t="s">
        <v>1337</v>
      </c>
      <c r="B239" s="128" t="s">
        <v>1318</v>
      </c>
      <c r="C239" s="127" t="s">
        <v>1319</v>
      </c>
      <c r="D239" s="123" t="s">
        <v>7</v>
      </c>
      <c r="E239" s="129">
        <v>4</v>
      </c>
      <c r="F239" s="129">
        <f>TRUNC('MEMÓRIA DESONERADA'!F1798,2)</f>
        <v>23.71</v>
      </c>
      <c r="G239" s="129">
        <f t="shared" si="32"/>
        <v>30.54</v>
      </c>
      <c r="H239" s="129">
        <f t="shared" si="33"/>
        <v>94.84</v>
      </c>
      <c r="I239" s="129">
        <f t="shared" si="34"/>
        <v>122.16</v>
      </c>
    </row>
    <row r="240" spans="1:9" ht="45">
      <c r="A240" s="123" t="s">
        <v>1342</v>
      </c>
      <c r="B240" s="128" t="s">
        <v>1322</v>
      </c>
      <c r="C240" s="127" t="s">
        <v>1323</v>
      </c>
      <c r="D240" s="123" t="s">
        <v>7</v>
      </c>
      <c r="E240" s="129">
        <v>6</v>
      </c>
      <c r="F240" s="129">
        <f>TRUNC('MEMÓRIA DESONERADA'!F1802,2)</f>
        <v>45.81</v>
      </c>
      <c r="G240" s="129">
        <f t="shared" si="32"/>
        <v>59.01</v>
      </c>
      <c r="H240" s="129">
        <f t="shared" si="33"/>
        <v>274.86</v>
      </c>
      <c r="I240" s="129">
        <f t="shared" si="34"/>
        <v>354.06</v>
      </c>
    </row>
    <row r="241" spans="1:9" ht="45">
      <c r="A241" s="123" t="s">
        <v>1343</v>
      </c>
      <c r="B241" s="128" t="s">
        <v>1326</v>
      </c>
      <c r="C241" s="127" t="s">
        <v>1327</v>
      </c>
      <c r="D241" s="123" t="s">
        <v>7</v>
      </c>
      <c r="E241" s="129">
        <v>2</v>
      </c>
      <c r="F241" s="129">
        <f>TRUNC('MEMÓRIA DESONERADA'!F1810,2)</f>
        <v>37.25</v>
      </c>
      <c r="G241" s="129">
        <f t="shared" si="32"/>
        <v>47.98</v>
      </c>
      <c r="H241" s="129">
        <f t="shared" si="33"/>
        <v>74.5</v>
      </c>
      <c r="I241" s="129">
        <f t="shared" si="34"/>
        <v>95.96</v>
      </c>
    </row>
    <row r="242" spans="1:9" ht="45">
      <c r="A242" s="123" t="s">
        <v>1344</v>
      </c>
      <c r="B242" s="128" t="s">
        <v>1330</v>
      </c>
      <c r="C242" s="127" t="s">
        <v>1331</v>
      </c>
      <c r="D242" s="123" t="s">
        <v>7</v>
      </c>
      <c r="E242" s="129">
        <v>2</v>
      </c>
      <c r="F242" s="129">
        <f>TRUNC('MEMÓRIA DESONERADA'!F1818,2)</f>
        <v>22.48</v>
      </c>
      <c r="G242" s="129">
        <f t="shared" si="32"/>
        <v>28.95</v>
      </c>
      <c r="H242" s="129">
        <f t="shared" si="33"/>
        <v>44.96</v>
      </c>
      <c r="I242" s="129">
        <f t="shared" si="34"/>
        <v>57.9</v>
      </c>
    </row>
    <row r="243" spans="1:9" ht="45">
      <c r="A243" s="123" t="s">
        <v>1345</v>
      </c>
      <c r="B243" s="128" t="s">
        <v>1338</v>
      </c>
      <c r="C243" s="127" t="s">
        <v>1339</v>
      </c>
      <c r="D243" s="123" t="s">
        <v>7</v>
      </c>
      <c r="E243" s="129">
        <v>5</v>
      </c>
      <c r="F243" s="129">
        <f>TRUNC('MEMÓRIA DESONERADA'!F1826,2)</f>
        <v>50.7</v>
      </c>
      <c r="G243" s="129">
        <f t="shared" si="32"/>
        <v>65.31</v>
      </c>
      <c r="H243" s="129">
        <f t="shared" si="33"/>
        <v>253.5</v>
      </c>
      <c r="I243" s="129">
        <f t="shared" si="34"/>
        <v>326.55</v>
      </c>
    </row>
    <row r="244" spans="1:9" ht="45">
      <c r="A244" s="123" t="s">
        <v>1362</v>
      </c>
      <c r="B244" s="128" t="s">
        <v>1347</v>
      </c>
      <c r="C244" s="127" t="s">
        <v>1346</v>
      </c>
      <c r="D244" s="123" t="s">
        <v>7</v>
      </c>
      <c r="E244" s="129">
        <v>6</v>
      </c>
      <c r="F244" s="129">
        <f>TRUNC('MEMÓRIA DESONERADA'!F1834,2)</f>
        <v>51.58</v>
      </c>
      <c r="G244" s="129">
        <f t="shared" si="32"/>
        <v>66.44</v>
      </c>
      <c r="H244" s="129">
        <f t="shared" si="33"/>
        <v>309.48</v>
      </c>
      <c r="I244" s="129">
        <f t="shared" si="34"/>
        <v>398.64</v>
      </c>
    </row>
    <row r="245" spans="1:9" ht="45">
      <c r="A245" s="123" t="s">
        <v>1367</v>
      </c>
      <c r="B245" s="128" t="s">
        <v>1351</v>
      </c>
      <c r="C245" s="127" t="s">
        <v>1352</v>
      </c>
      <c r="D245" s="123" t="s">
        <v>7</v>
      </c>
      <c r="E245" s="129">
        <v>5</v>
      </c>
      <c r="F245" s="129">
        <f>TRUNC('MEMÓRIA DESONERADA'!F1842,2)</f>
        <v>39.54</v>
      </c>
      <c r="G245" s="129">
        <f t="shared" si="32"/>
        <v>50.93</v>
      </c>
      <c r="H245" s="129">
        <f t="shared" si="33"/>
        <v>197.7</v>
      </c>
      <c r="I245" s="129">
        <f t="shared" si="34"/>
        <v>254.65</v>
      </c>
    </row>
    <row r="246" spans="1:9" ht="45">
      <c r="A246" s="123" t="s">
        <v>1382</v>
      </c>
      <c r="B246" s="128" t="s">
        <v>1354</v>
      </c>
      <c r="C246" s="127" t="s">
        <v>1355</v>
      </c>
      <c r="D246" s="123" t="s">
        <v>7</v>
      </c>
      <c r="E246" s="129">
        <v>4</v>
      </c>
      <c r="F246" s="129">
        <f>TRUNC('MEMÓRIA DESONERADA'!F1850,2)</f>
        <v>24.23</v>
      </c>
      <c r="G246" s="129">
        <f t="shared" si="32"/>
        <v>31.21</v>
      </c>
      <c r="H246" s="129">
        <f t="shared" si="33"/>
        <v>96.92</v>
      </c>
      <c r="I246" s="129">
        <f t="shared" si="34"/>
        <v>124.84</v>
      </c>
    </row>
    <row r="247" spans="1:9" ht="45">
      <c r="A247" s="123" t="s">
        <v>1382</v>
      </c>
      <c r="B247" s="128" t="s">
        <v>1358</v>
      </c>
      <c r="C247" s="127" t="s">
        <v>1359</v>
      </c>
      <c r="D247" s="123" t="s">
        <v>7</v>
      </c>
      <c r="E247" s="129">
        <v>1</v>
      </c>
      <c r="F247" s="129">
        <f>TRUNC('MEMÓRIA DESONERADA'!F1858,2)</f>
        <v>13.88</v>
      </c>
      <c r="G247" s="129">
        <f t="shared" si="32"/>
        <v>17.88</v>
      </c>
      <c r="H247" s="129">
        <f t="shared" si="33"/>
        <v>13.88</v>
      </c>
      <c r="I247" s="129">
        <f t="shared" si="34"/>
        <v>17.88</v>
      </c>
    </row>
    <row r="248" spans="1:9" ht="45">
      <c r="A248" s="123" t="s">
        <v>1387</v>
      </c>
      <c r="B248" s="128" t="s">
        <v>1363</v>
      </c>
      <c r="C248" s="127" t="s">
        <v>1364</v>
      </c>
      <c r="D248" s="123" t="s">
        <v>7</v>
      </c>
      <c r="E248" s="129">
        <v>20</v>
      </c>
      <c r="F248" s="129">
        <f>TRUNC('MEMÓRIA DESONERADA'!F1867,2)</f>
        <v>11.32</v>
      </c>
      <c r="G248" s="129">
        <f t="shared" si="32"/>
        <v>14.58</v>
      </c>
      <c r="H248" s="129">
        <f t="shared" si="33"/>
        <v>226.4</v>
      </c>
      <c r="I248" s="129">
        <f t="shared" si="34"/>
        <v>291.60000000000002</v>
      </c>
    </row>
    <row r="249" spans="1:9" ht="45">
      <c r="A249" s="123" t="s">
        <v>1388</v>
      </c>
      <c r="B249" s="128" t="s">
        <v>1368</v>
      </c>
      <c r="C249" s="127" t="s">
        <v>1369</v>
      </c>
      <c r="D249" s="123" t="s">
        <v>7</v>
      </c>
      <c r="E249" s="129">
        <v>2</v>
      </c>
      <c r="F249" s="129">
        <f>TRUNC('MEMÓRIA DESONERADA'!F1876,2)</f>
        <v>38.81</v>
      </c>
      <c r="G249" s="129">
        <f t="shared" si="32"/>
        <v>49.99</v>
      </c>
      <c r="H249" s="129">
        <f t="shared" si="33"/>
        <v>77.62</v>
      </c>
      <c r="I249" s="129">
        <f t="shared" si="34"/>
        <v>99.98</v>
      </c>
    </row>
    <row r="250" spans="1:9" ht="45">
      <c r="A250" s="123" t="s">
        <v>1397</v>
      </c>
      <c r="B250" s="128" t="s">
        <v>1376</v>
      </c>
      <c r="C250" s="127" t="s">
        <v>1377</v>
      </c>
      <c r="D250" s="123" t="s">
        <v>7</v>
      </c>
      <c r="E250" s="129">
        <v>2</v>
      </c>
      <c r="F250" s="129">
        <f>TRUNC('MEMÓRIA DESONERADA'!F1886,2)</f>
        <v>19.46</v>
      </c>
      <c r="G250" s="129">
        <f t="shared" si="32"/>
        <v>25.06</v>
      </c>
      <c r="H250" s="129">
        <f t="shared" si="33"/>
        <v>38.92</v>
      </c>
      <c r="I250" s="129">
        <f t="shared" si="34"/>
        <v>50.12</v>
      </c>
    </row>
    <row r="251" spans="1:9" ht="45">
      <c r="A251" s="123" t="s">
        <v>1401</v>
      </c>
      <c r="B251" s="128" t="s">
        <v>1383</v>
      </c>
      <c r="C251" s="127" t="s">
        <v>1384</v>
      </c>
      <c r="D251" s="123" t="s">
        <v>7</v>
      </c>
      <c r="E251" s="129">
        <v>4</v>
      </c>
      <c r="F251" s="129">
        <f>TRUNC('MEMÓRIA DESONERADA'!F1895,2)</f>
        <v>14.03</v>
      </c>
      <c r="G251" s="129">
        <f t="shared" si="32"/>
        <v>18.07</v>
      </c>
      <c r="H251" s="129">
        <f t="shared" si="33"/>
        <v>56.12</v>
      </c>
      <c r="I251" s="129">
        <f t="shared" si="34"/>
        <v>72.28</v>
      </c>
    </row>
    <row r="252" spans="1:9" ht="45">
      <c r="A252" s="123" t="s">
        <v>1402</v>
      </c>
      <c r="B252" s="128" t="s">
        <v>1945</v>
      </c>
      <c r="C252" s="127" t="s">
        <v>1944</v>
      </c>
      <c r="D252" s="123" t="s">
        <v>7</v>
      </c>
      <c r="E252" s="129">
        <v>11</v>
      </c>
      <c r="F252" s="129">
        <f>TRUNC('MEMÓRIA DESONERADA'!F1906,2)</f>
        <v>139.91999999999999</v>
      </c>
      <c r="G252" s="129">
        <f t="shared" si="32"/>
        <v>180.24</v>
      </c>
      <c r="H252" s="129">
        <f t="shared" si="33"/>
        <v>1539.12</v>
      </c>
      <c r="I252" s="129">
        <f t="shared" si="34"/>
        <v>1982.64</v>
      </c>
    </row>
    <row r="253" spans="1:9" ht="30">
      <c r="A253" s="123" t="s">
        <v>1406</v>
      </c>
      <c r="B253" s="128" t="s">
        <v>1393</v>
      </c>
      <c r="C253" s="127" t="s">
        <v>1394</v>
      </c>
      <c r="D253" s="123" t="s">
        <v>7</v>
      </c>
      <c r="E253" s="129">
        <v>3</v>
      </c>
      <c r="F253" s="129">
        <f>TRUNC('MEMÓRIA DESONERADA'!F1918,2)</f>
        <v>60.88</v>
      </c>
      <c r="G253" s="129">
        <f t="shared" si="32"/>
        <v>78.42</v>
      </c>
      <c r="H253" s="129">
        <f t="shared" si="33"/>
        <v>182.64</v>
      </c>
      <c r="I253" s="129">
        <f t="shared" si="34"/>
        <v>235.26</v>
      </c>
    </row>
    <row r="254" spans="1:9" ht="30">
      <c r="A254" s="123" t="s">
        <v>1407</v>
      </c>
      <c r="B254" s="128" t="s">
        <v>572</v>
      </c>
      <c r="C254" s="127" t="s">
        <v>1398</v>
      </c>
      <c r="D254" s="123" t="s">
        <v>7</v>
      </c>
      <c r="E254" s="129">
        <v>16</v>
      </c>
      <c r="F254" s="129">
        <f>TRUNC('MEMÓRIA DESONERADA'!F1925,2)</f>
        <v>56.59</v>
      </c>
      <c r="G254" s="129">
        <f t="shared" si="32"/>
        <v>72.89</v>
      </c>
      <c r="H254" s="129">
        <f t="shared" si="33"/>
        <v>905.44</v>
      </c>
      <c r="I254" s="129">
        <f t="shared" si="34"/>
        <v>1166.24</v>
      </c>
    </row>
    <row r="255" spans="1:9" ht="30">
      <c r="A255" s="123" t="s">
        <v>1408</v>
      </c>
      <c r="B255" s="128" t="s">
        <v>568</v>
      </c>
      <c r="C255" s="127" t="s">
        <v>1403</v>
      </c>
      <c r="D255" s="123" t="s">
        <v>7</v>
      </c>
      <c r="E255" s="129">
        <v>16</v>
      </c>
      <c r="F255" s="129">
        <f>TRUNC('MEMÓRIA DESONERADA'!F1932,2)</f>
        <v>183.47</v>
      </c>
      <c r="G255" s="129">
        <f t="shared" si="32"/>
        <v>236.34</v>
      </c>
      <c r="H255" s="129">
        <f t="shared" si="33"/>
        <v>2935.52</v>
      </c>
      <c r="I255" s="129">
        <f t="shared" si="34"/>
        <v>3781.44</v>
      </c>
    </row>
    <row r="256" spans="1:9" ht="30">
      <c r="A256" s="123" t="s">
        <v>1409</v>
      </c>
      <c r="B256" s="128" t="s">
        <v>572</v>
      </c>
      <c r="C256" s="127" t="s">
        <v>1398</v>
      </c>
      <c r="D256" s="123" t="s">
        <v>7</v>
      </c>
      <c r="E256" s="129">
        <v>2</v>
      </c>
      <c r="F256" s="129">
        <f>TRUNC('MEMÓRIA DESONERADA'!F1939,2)</f>
        <v>60.87</v>
      </c>
      <c r="G256" s="129">
        <f t="shared" si="32"/>
        <v>78.41</v>
      </c>
      <c r="H256" s="129">
        <f t="shared" si="33"/>
        <v>121.74</v>
      </c>
      <c r="I256" s="129">
        <f t="shared" si="34"/>
        <v>156.82</v>
      </c>
    </row>
    <row r="257" spans="1:9" ht="45">
      <c r="A257" s="123" t="s">
        <v>1410</v>
      </c>
      <c r="B257" s="128" t="s">
        <v>1411</v>
      </c>
      <c r="C257" s="127" t="s">
        <v>1412</v>
      </c>
      <c r="D257" s="123" t="s">
        <v>7</v>
      </c>
      <c r="E257" s="129">
        <v>1</v>
      </c>
      <c r="F257" s="129">
        <f>TRUNC('MEMÓRIA DESONERADA'!F1946,2)</f>
        <v>475.05</v>
      </c>
      <c r="G257" s="129">
        <f t="shared" si="32"/>
        <v>611.95000000000005</v>
      </c>
      <c r="H257" s="129">
        <f t="shared" si="33"/>
        <v>475.05</v>
      </c>
      <c r="I257" s="129">
        <f t="shared" si="34"/>
        <v>611.95000000000005</v>
      </c>
    </row>
    <row r="258" spans="1:9" ht="45">
      <c r="A258" s="123" t="s">
        <v>1467</v>
      </c>
      <c r="B258" s="128" t="s">
        <v>1953</v>
      </c>
      <c r="C258" s="127" t="s">
        <v>1955</v>
      </c>
      <c r="D258" s="123" t="s">
        <v>7</v>
      </c>
      <c r="E258" s="129">
        <v>5</v>
      </c>
      <c r="F258" s="129">
        <f>TRUNC('MEMÓRIA DESONERADA'!F1963,2)</f>
        <v>617.16999999999996</v>
      </c>
      <c r="G258" s="129">
        <f t="shared" si="32"/>
        <v>795.03</v>
      </c>
      <c r="H258" s="129">
        <f t="shared" si="33"/>
        <v>3085.85</v>
      </c>
      <c r="I258" s="129">
        <f t="shared" si="34"/>
        <v>3975.15</v>
      </c>
    </row>
    <row r="259" spans="1:9" ht="45">
      <c r="A259" s="123" t="s">
        <v>1807</v>
      </c>
      <c r="B259" s="128" t="s">
        <v>1435</v>
      </c>
      <c r="C259" s="127" t="s">
        <v>1436</v>
      </c>
      <c r="D259" s="123" t="s">
        <v>7</v>
      </c>
      <c r="E259" s="129">
        <v>2</v>
      </c>
      <c r="F259" s="129">
        <f>TRUNC('MEMÓRIA DESONERADA'!F1981,2)</f>
        <v>423.87</v>
      </c>
      <c r="G259" s="129">
        <f t="shared" si="32"/>
        <v>546.02</v>
      </c>
      <c r="H259" s="129">
        <f t="shared" si="33"/>
        <v>847.74</v>
      </c>
      <c r="I259" s="129">
        <f t="shared" si="34"/>
        <v>1092.04</v>
      </c>
    </row>
    <row r="260" spans="1:9" ht="45">
      <c r="A260" s="123" t="s">
        <v>1992</v>
      </c>
      <c r="B260" s="128" t="s">
        <v>1445</v>
      </c>
      <c r="C260" s="127" t="s">
        <v>1446</v>
      </c>
      <c r="D260" s="123" t="s">
        <v>7</v>
      </c>
      <c r="E260" s="129">
        <v>1</v>
      </c>
      <c r="F260" s="129">
        <f>TRUNC('MEMÓRIA DESONERADA'!F1999,2)</f>
        <v>10001.629999999999</v>
      </c>
      <c r="G260" s="129">
        <f t="shared" si="32"/>
        <v>12884.09</v>
      </c>
      <c r="H260" s="129">
        <f t="shared" si="33"/>
        <v>10001.629999999999</v>
      </c>
      <c r="I260" s="129">
        <f t="shared" si="34"/>
        <v>12884.09</v>
      </c>
    </row>
    <row r="261" spans="1:9" ht="45">
      <c r="A261" s="123" t="s">
        <v>2008</v>
      </c>
      <c r="B261" s="128" t="s">
        <v>1463</v>
      </c>
      <c r="C261" s="127" t="s">
        <v>1464</v>
      </c>
      <c r="D261" s="123" t="s">
        <v>7</v>
      </c>
      <c r="E261" s="129">
        <v>1</v>
      </c>
      <c r="F261" s="129">
        <f>TRUNC('MEMÓRIA DESONERADA'!F2023,2)</f>
        <v>13681.27</v>
      </c>
      <c r="G261" s="129">
        <f t="shared" ref="G261:G264" si="35">TRUNC(F261*1.2882,2)</f>
        <v>17624.21</v>
      </c>
      <c r="H261" s="129">
        <f t="shared" si="33"/>
        <v>13681.27</v>
      </c>
      <c r="I261" s="129">
        <f t="shared" si="34"/>
        <v>17624.21</v>
      </c>
    </row>
    <row r="262" spans="1:9" ht="90">
      <c r="A262" s="123" t="s">
        <v>2007</v>
      </c>
      <c r="B262" s="128" t="s">
        <v>1993</v>
      </c>
      <c r="C262" s="127" t="s">
        <v>2005</v>
      </c>
      <c r="D262" s="123" t="s">
        <v>7</v>
      </c>
      <c r="E262" s="129">
        <v>1</v>
      </c>
      <c r="F262" s="129">
        <f>TRUNC('MEMÓRIA DESONERADA'!F2048,2)</f>
        <v>452.86</v>
      </c>
      <c r="G262" s="129">
        <f t="shared" si="35"/>
        <v>583.37</v>
      </c>
      <c r="H262" s="129">
        <f t="shared" si="33"/>
        <v>452.86</v>
      </c>
      <c r="I262" s="129">
        <f t="shared" si="34"/>
        <v>583.37</v>
      </c>
    </row>
    <row r="263" spans="1:9" ht="30">
      <c r="A263" s="123" t="s">
        <v>2009</v>
      </c>
      <c r="B263" s="128" t="s">
        <v>2010</v>
      </c>
      <c r="C263" s="127" t="s">
        <v>2020</v>
      </c>
      <c r="D263" s="123" t="s">
        <v>23</v>
      </c>
      <c r="E263" s="129">
        <v>12</v>
      </c>
      <c r="F263" s="129">
        <f>TRUNC('MEMÓRIA DESONERADA'!F2062,2)</f>
        <v>15.04</v>
      </c>
      <c r="G263" s="129">
        <f t="shared" si="35"/>
        <v>19.37</v>
      </c>
      <c r="H263" s="129">
        <f t="shared" si="33"/>
        <v>180.48</v>
      </c>
      <c r="I263" s="129">
        <f t="shared" si="34"/>
        <v>232.44</v>
      </c>
    </row>
    <row r="264" spans="1:9" ht="45">
      <c r="A264" s="123" t="s">
        <v>2021</v>
      </c>
      <c r="B264" s="128" t="s">
        <v>2014</v>
      </c>
      <c r="C264" s="127" t="s">
        <v>2015</v>
      </c>
      <c r="D264" s="123" t="s">
        <v>23</v>
      </c>
      <c r="E264" s="129">
        <v>18</v>
      </c>
      <c r="F264" s="129">
        <f>TRUNC('MEMÓRIA DESONERADA'!F2068,2)</f>
        <v>66.209999999999994</v>
      </c>
      <c r="G264" s="129">
        <f t="shared" si="35"/>
        <v>85.29</v>
      </c>
      <c r="H264" s="129">
        <f t="shared" si="33"/>
        <v>1191.78</v>
      </c>
      <c r="I264" s="129">
        <f t="shared" si="34"/>
        <v>1535.22</v>
      </c>
    </row>
    <row r="265" spans="1:9" s="169" customFormat="1" ht="15.75">
      <c r="A265" s="328" t="s">
        <v>18</v>
      </c>
      <c r="B265" s="316"/>
      <c r="C265" s="288"/>
      <c r="D265" s="328"/>
      <c r="E265" s="289"/>
      <c r="F265" s="131"/>
      <c r="G265" s="325" t="s">
        <v>672</v>
      </c>
      <c r="H265" s="131">
        <f>SUM(H165:H264)</f>
        <v>98247.280000000057</v>
      </c>
      <c r="I265" s="131">
        <f>SUM(I165:I264)</f>
        <v>126556.59999999998</v>
      </c>
    </row>
    <row r="266" spans="1:9" ht="14.25" customHeight="1">
      <c r="A266" s="328" t="s">
        <v>27</v>
      </c>
      <c r="B266" s="128"/>
      <c r="C266" s="372" t="s">
        <v>673</v>
      </c>
      <c r="D266" s="372"/>
      <c r="E266" s="372"/>
      <c r="F266" s="372"/>
      <c r="G266" s="372"/>
      <c r="H266" s="372"/>
      <c r="I266" s="372"/>
    </row>
    <row r="267" spans="1:9" ht="45">
      <c r="A267" s="123" t="s">
        <v>671</v>
      </c>
      <c r="B267" s="128" t="s">
        <v>1984</v>
      </c>
      <c r="C267" s="127" t="s">
        <v>1985</v>
      </c>
      <c r="D267" s="123" t="s">
        <v>7</v>
      </c>
      <c r="E267" s="129">
        <v>21</v>
      </c>
      <c r="F267" s="129">
        <f>TRUNC('MEMÓRIA DESONERADA'!F2077,2)</f>
        <v>131.69999999999999</v>
      </c>
      <c r="G267" s="129">
        <f t="shared" ref="G267:G304" si="36">TRUNC(F267*1.2882,2)</f>
        <v>169.65</v>
      </c>
      <c r="H267" s="129">
        <f t="shared" ref="H267:H304" si="37">TRUNC(F267*E267,2)</f>
        <v>2765.7</v>
      </c>
      <c r="I267" s="129">
        <f t="shared" ref="I267:I304" si="38">TRUNC(E267*G267,2)</f>
        <v>3562.65</v>
      </c>
    </row>
    <row r="268" spans="1:9" ht="45">
      <c r="A268" s="123" t="s">
        <v>674</v>
      </c>
      <c r="B268" s="128" t="s">
        <v>1988</v>
      </c>
      <c r="C268" s="127" t="s">
        <v>1989</v>
      </c>
      <c r="D268" s="123" t="s">
        <v>7</v>
      </c>
      <c r="E268" s="129">
        <v>68</v>
      </c>
      <c r="F268" s="129">
        <f>TRUNC('MEMÓRIA DESONERADA'!F2086,2)</f>
        <v>132.96</v>
      </c>
      <c r="G268" s="129">
        <f t="shared" si="36"/>
        <v>171.27</v>
      </c>
      <c r="H268" s="129">
        <f t="shared" si="37"/>
        <v>9041.2800000000007</v>
      </c>
      <c r="I268" s="129">
        <f t="shared" si="38"/>
        <v>11646.36</v>
      </c>
    </row>
    <row r="269" spans="1:9" ht="30">
      <c r="A269" s="123" t="s">
        <v>675</v>
      </c>
      <c r="B269" s="128" t="s">
        <v>879</v>
      </c>
      <c r="C269" s="127" t="s">
        <v>880</v>
      </c>
      <c r="D269" s="123" t="s">
        <v>7</v>
      </c>
      <c r="E269" s="129">
        <v>8</v>
      </c>
      <c r="F269" s="129">
        <f>TRUNC('MEMÓRIA DESONERADA'!F2095,2)</f>
        <v>49.94</v>
      </c>
      <c r="G269" s="129">
        <f t="shared" si="36"/>
        <v>64.33</v>
      </c>
      <c r="H269" s="129">
        <f t="shared" si="37"/>
        <v>399.52</v>
      </c>
      <c r="I269" s="129">
        <f t="shared" si="38"/>
        <v>514.64</v>
      </c>
    </row>
    <row r="270" spans="1:9" ht="30">
      <c r="A270" s="123" t="s">
        <v>676</v>
      </c>
      <c r="B270" s="128" t="s">
        <v>883</v>
      </c>
      <c r="C270" s="127" t="s">
        <v>884</v>
      </c>
      <c r="D270" s="123" t="s">
        <v>7</v>
      </c>
      <c r="E270" s="129">
        <v>5</v>
      </c>
      <c r="F270" s="129">
        <f>TRUNC('MEMÓRIA DESONERADA'!F2100,2)</f>
        <v>28.09</v>
      </c>
      <c r="G270" s="129">
        <f t="shared" si="36"/>
        <v>36.18</v>
      </c>
      <c r="H270" s="129">
        <f t="shared" si="37"/>
        <v>140.44999999999999</v>
      </c>
      <c r="I270" s="129">
        <f t="shared" si="38"/>
        <v>180.9</v>
      </c>
    </row>
    <row r="271" spans="1:9" ht="30">
      <c r="A271" s="123" t="s">
        <v>677</v>
      </c>
      <c r="B271" s="128" t="s">
        <v>886</v>
      </c>
      <c r="C271" s="127" t="s">
        <v>887</v>
      </c>
      <c r="D271" s="123" t="s">
        <v>7</v>
      </c>
      <c r="E271" s="129">
        <v>7</v>
      </c>
      <c r="F271" s="129">
        <f>TRUNC('MEMÓRIA DESONERADA'!F2105,2)</f>
        <v>44.46</v>
      </c>
      <c r="G271" s="129">
        <f t="shared" si="36"/>
        <v>57.27</v>
      </c>
      <c r="H271" s="129">
        <f t="shared" si="37"/>
        <v>311.22000000000003</v>
      </c>
      <c r="I271" s="129">
        <f t="shared" si="38"/>
        <v>400.89</v>
      </c>
    </row>
    <row r="272" spans="1:9" ht="30">
      <c r="A272" s="123" t="s">
        <v>678</v>
      </c>
      <c r="B272" s="128" t="s">
        <v>889</v>
      </c>
      <c r="C272" s="127" t="s">
        <v>890</v>
      </c>
      <c r="D272" s="123" t="s">
        <v>7</v>
      </c>
      <c r="E272" s="129">
        <v>1</v>
      </c>
      <c r="F272" s="129">
        <f>TRUNC('MEMÓRIA DESONERADA'!F2110,2)</f>
        <v>60.83</v>
      </c>
      <c r="G272" s="129">
        <f t="shared" si="36"/>
        <v>78.36</v>
      </c>
      <c r="H272" s="129">
        <f t="shared" si="37"/>
        <v>60.83</v>
      </c>
      <c r="I272" s="129">
        <f t="shared" si="38"/>
        <v>78.36</v>
      </c>
    </row>
    <row r="273" spans="1:9" ht="30">
      <c r="A273" s="123" t="s">
        <v>861</v>
      </c>
      <c r="B273" s="128" t="s">
        <v>892</v>
      </c>
      <c r="C273" s="127" t="s">
        <v>893</v>
      </c>
      <c r="D273" s="123" t="s">
        <v>7</v>
      </c>
      <c r="E273" s="129">
        <v>6</v>
      </c>
      <c r="F273" s="129">
        <f>TRUNC('MEMÓRIA DESONERADA'!F2115,2)</f>
        <v>50.14</v>
      </c>
      <c r="G273" s="129">
        <f t="shared" si="36"/>
        <v>64.59</v>
      </c>
      <c r="H273" s="129">
        <f t="shared" si="37"/>
        <v>300.83999999999997</v>
      </c>
      <c r="I273" s="129">
        <f t="shared" si="38"/>
        <v>387.54</v>
      </c>
    </row>
    <row r="274" spans="1:9" ht="30">
      <c r="A274" s="123" t="s">
        <v>862</v>
      </c>
      <c r="B274" s="128" t="s">
        <v>895</v>
      </c>
      <c r="C274" s="127" t="s">
        <v>896</v>
      </c>
      <c r="D274" s="123" t="s">
        <v>7</v>
      </c>
      <c r="E274" s="129">
        <v>105</v>
      </c>
      <c r="F274" s="129">
        <f>TRUNC('MEMÓRIA DESONERADA'!F2120,2)</f>
        <v>29.65</v>
      </c>
      <c r="G274" s="129">
        <f t="shared" si="36"/>
        <v>38.19</v>
      </c>
      <c r="H274" s="129">
        <f t="shared" si="37"/>
        <v>3113.25</v>
      </c>
      <c r="I274" s="129">
        <f t="shared" si="38"/>
        <v>4009.95</v>
      </c>
    </row>
    <row r="275" spans="1:9" ht="30">
      <c r="A275" s="123" t="s">
        <v>863</v>
      </c>
      <c r="B275" s="128" t="s">
        <v>898</v>
      </c>
      <c r="C275" s="127" t="s">
        <v>899</v>
      </c>
      <c r="D275" s="123" t="s">
        <v>7</v>
      </c>
      <c r="E275" s="129">
        <v>4</v>
      </c>
      <c r="F275" s="129">
        <f>TRUNC('MEMÓRIA DESONERADA'!F2125,2)</f>
        <v>32.01</v>
      </c>
      <c r="G275" s="129">
        <f t="shared" si="36"/>
        <v>41.23</v>
      </c>
      <c r="H275" s="129">
        <f t="shared" si="37"/>
        <v>128.04</v>
      </c>
      <c r="I275" s="129">
        <f t="shared" si="38"/>
        <v>164.92</v>
      </c>
    </row>
    <row r="276" spans="1:9" ht="30">
      <c r="A276" s="123" t="s">
        <v>864</v>
      </c>
      <c r="B276" s="128" t="s">
        <v>901</v>
      </c>
      <c r="C276" s="127" t="s">
        <v>902</v>
      </c>
      <c r="D276" s="123" t="s">
        <v>7</v>
      </c>
      <c r="E276" s="129">
        <v>13</v>
      </c>
      <c r="F276" s="129">
        <f>TRUNC('MEMÓRIA DESONERADA'!F2130,2)</f>
        <v>43.67</v>
      </c>
      <c r="G276" s="129">
        <f t="shared" si="36"/>
        <v>56.25</v>
      </c>
      <c r="H276" s="129">
        <f t="shared" si="37"/>
        <v>567.71</v>
      </c>
      <c r="I276" s="129">
        <f t="shared" si="38"/>
        <v>731.25</v>
      </c>
    </row>
    <row r="277" spans="1:9" ht="30">
      <c r="A277" s="123" t="s">
        <v>865</v>
      </c>
      <c r="B277" s="128" t="s">
        <v>904</v>
      </c>
      <c r="C277" s="127" t="s">
        <v>905</v>
      </c>
      <c r="D277" s="123" t="s">
        <v>7</v>
      </c>
      <c r="E277" s="129">
        <v>20</v>
      </c>
      <c r="F277" s="129">
        <f>TRUNC('MEMÓRIA DESONERADA'!F2135,2)</f>
        <v>12.44</v>
      </c>
      <c r="G277" s="129">
        <f t="shared" si="36"/>
        <v>16.02</v>
      </c>
      <c r="H277" s="129">
        <f t="shared" si="37"/>
        <v>248.8</v>
      </c>
      <c r="I277" s="129">
        <f t="shared" si="38"/>
        <v>320.39999999999998</v>
      </c>
    </row>
    <row r="278" spans="1:9" ht="30">
      <c r="A278" s="123" t="s">
        <v>866</v>
      </c>
      <c r="B278" s="128" t="s">
        <v>912</v>
      </c>
      <c r="C278" s="127" t="s">
        <v>913</v>
      </c>
      <c r="D278" s="123" t="s">
        <v>7</v>
      </c>
      <c r="E278" s="129">
        <v>3</v>
      </c>
      <c r="F278" s="129">
        <f>TRUNC('MEMÓRIA DESONERADA'!F2142,2)</f>
        <v>13.98</v>
      </c>
      <c r="G278" s="129">
        <f t="shared" si="36"/>
        <v>18</v>
      </c>
      <c r="H278" s="129">
        <f t="shared" si="37"/>
        <v>41.94</v>
      </c>
      <c r="I278" s="129">
        <f t="shared" si="38"/>
        <v>54</v>
      </c>
    </row>
    <row r="279" spans="1:9" ht="30">
      <c r="A279" s="123" t="s">
        <v>867</v>
      </c>
      <c r="B279" s="128" t="s">
        <v>916</v>
      </c>
      <c r="C279" s="127" t="s">
        <v>917</v>
      </c>
      <c r="D279" s="123" t="s">
        <v>7</v>
      </c>
      <c r="E279" s="129">
        <v>3</v>
      </c>
      <c r="F279" s="129">
        <f>TRUNC('MEMÓRIA DESONERADA'!F2149,2)</f>
        <v>51.16</v>
      </c>
      <c r="G279" s="129">
        <f t="shared" si="36"/>
        <v>65.900000000000006</v>
      </c>
      <c r="H279" s="129">
        <f t="shared" si="37"/>
        <v>153.47999999999999</v>
      </c>
      <c r="I279" s="129">
        <f t="shared" si="38"/>
        <v>197.7</v>
      </c>
    </row>
    <row r="280" spans="1:9" ht="30">
      <c r="A280" s="123" t="s">
        <v>868</v>
      </c>
      <c r="B280" s="128" t="s">
        <v>922</v>
      </c>
      <c r="C280" s="127" t="s">
        <v>923</v>
      </c>
      <c r="D280" s="123" t="s">
        <v>7</v>
      </c>
      <c r="E280" s="129">
        <v>10</v>
      </c>
      <c r="F280" s="129">
        <f>TRUNC('MEMÓRIA DESONERADA'!F2156,2)</f>
        <v>53.7</v>
      </c>
      <c r="G280" s="129">
        <f t="shared" si="36"/>
        <v>69.17</v>
      </c>
      <c r="H280" s="129">
        <f t="shared" si="37"/>
        <v>537</v>
      </c>
      <c r="I280" s="129">
        <f t="shared" si="38"/>
        <v>691.7</v>
      </c>
    </row>
    <row r="281" spans="1:9" ht="30">
      <c r="A281" s="123" t="s">
        <v>869</v>
      </c>
      <c r="B281" s="128" t="s">
        <v>924</v>
      </c>
      <c r="C281" s="127" t="s">
        <v>925</v>
      </c>
      <c r="D281" s="123" t="s">
        <v>7</v>
      </c>
      <c r="E281" s="129">
        <v>4</v>
      </c>
      <c r="F281" s="129">
        <f>TRUNC('MEMÓRIA DESONERADA'!F2163,2)</f>
        <v>73.02</v>
      </c>
      <c r="G281" s="129">
        <f t="shared" si="36"/>
        <v>94.06</v>
      </c>
      <c r="H281" s="129">
        <f t="shared" si="37"/>
        <v>292.08</v>
      </c>
      <c r="I281" s="129">
        <f t="shared" si="38"/>
        <v>376.24</v>
      </c>
    </row>
    <row r="282" spans="1:9" ht="30">
      <c r="A282" s="123" t="s">
        <v>870</v>
      </c>
      <c r="B282" s="128" t="s">
        <v>928</v>
      </c>
      <c r="C282" s="127" t="s">
        <v>929</v>
      </c>
      <c r="D282" s="123" t="s">
        <v>7</v>
      </c>
      <c r="E282" s="129">
        <v>2</v>
      </c>
      <c r="F282" s="129">
        <f>TRUNC('MEMÓRIA DESONERADA'!F2170,2)</f>
        <v>80.260000000000005</v>
      </c>
      <c r="G282" s="129">
        <f t="shared" si="36"/>
        <v>103.39</v>
      </c>
      <c r="H282" s="129">
        <f t="shared" si="37"/>
        <v>160.52000000000001</v>
      </c>
      <c r="I282" s="129">
        <f t="shared" si="38"/>
        <v>206.78</v>
      </c>
    </row>
    <row r="283" spans="1:9" ht="30">
      <c r="A283" s="123" t="s">
        <v>871</v>
      </c>
      <c r="B283" s="128" t="s">
        <v>932</v>
      </c>
      <c r="C283" s="127" t="s">
        <v>933</v>
      </c>
      <c r="D283" s="123" t="s">
        <v>7</v>
      </c>
      <c r="E283" s="129">
        <v>2</v>
      </c>
      <c r="F283" s="129">
        <f>TRUNC('MEMÓRIA DESONERADA'!F2177,2)</f>
        <v>51.7</v>
      </c>
      <c r="G283" s="129">
        <f t="shared" si="36"/>
        <v>66.59</v>
      </c>
      <c r="H283" s="129">
        <f t="shared" si="37"/>
        <v>103.4</v>
      </c>
      <c r="I283" s="129">
        <f t="shared" si="38"/>
        <v>133.18</v>
      </c>
    </row>
    <row r="284" spans="1:9" ht="30">
      <c r="A284" s="123" t="s">
        <v>872</v>
      </c>
      <c r="B284" s="128" t="s">
        <v>936</v>
      </c>
      <c r="C284" s="127" t="s">
        <v>937</v>
      </c>
      <c r="D284" s="123" t="s">
        <v>7</v>
      </c>
      <c r="E284" s="129">
        <v>1</v>
      </c>
      <c r="F284" s="129">
        <f>TRUNC('MEMÓRIA DESONERADA'!F2183,2)</f>
        <v>139.97999999999999</v>
      </c>
      <c r="G284" s="129">
        <f t="shared" si="36"/>
        <v>180.32</v>
      </c>
      <c r="H284" s="129">
        <f t="shared" si="37"/>
        <v>139.97999999999999</v>
      </c>
      <c r="I284" s="129">
        <f t="shared" si="38"/>
        <v>180.32</v>
      </c>
    </row>
    <row r="285" spans="1:9" ht="60">
      <c r="A285" s="123" t="s">
        <v>873</v>
      </c>
      <c r="B285" s="128" t="s">
        <v>957</v>
      </c>
      <c r="C285" s="127" t="s">
        <v>958</v>
      </c>
      <c r="D285" s="123" t="s">
        <v>7</v>
      </c>
      <c r="E285" s="129">
        <v>2</v>
      </c>
      <c r="F285" s="129">
        <f>TRUNC('MEMÓRIA DESONERADA'!F2189,2)</f>
        <v>91.13</v>
      </c>
      <c r="G285" s="129">
        <f t="shared" si="36"/>
        <v>117.39</v>
      </c>
      <c r="H285" s="129">
        <f t="shared" si="37"/>
        <v>182.26</v>
      </c>
      <c r="I285" s="129">
        <f t="shared" si="38"/>
        <v>234.78</v>
      </c>
    </row>
    <row r="286" spans="1:9" ht="60">
      <c r="A286" s="123" t="s">
        <v>874</v>
      </c>
      <c r="B286" s="128" t="s">
        <v>946</v>
      </c>
      <c r="C286" s="127" t="s">
        <v>947</v>
      </c>
      <c r="D286" s="123" t="s">
        <v>7</v>
      </c>
      <c r="E286" s="129">
        <v>1</v>
      </c>
      <c r="F286" s="129">
        <f>TRUNC('MEMÓRIA DESONERADA'!F2195,2)</f>
        <v>112.27</v>
      </c>
      <c r="G286" s="129">
        <f t="shared" si="36"/>
        <v>144.62</v>
      </c>
      <c r="H286" s="129">
        <f t="shared" si="37"/>
        <v>112.27</v>
      </c>
      <c r="I286" s="129">
        <f t="shared" si="38"/>
        <v>144.62</v>
      </c>
    </row>
    <row r="287" spans="1:9" ht="60">
      <c r="A287" s="123" t="s">
        <v>875</v>
      </c>
      <c r="B287" s="128" t="s">
        <v>950</v>
      </c>
      <c r="C287" s="127" t="s">
        <v>951</v>
      </c>
      <c r="D287" s="123" t="s">
        <v>7</v>
      </c>
      <c r="E287" s="129">
        <v>1</v>
      </c>
      <c r="F287" s="129">
        <f>TRUNC('MEMÓRIA DESONERADA'!F2201,2)</f>
        <v>141.38</v>
      </c>
      <c r="G287" s="129">
        <f t="shared" si="36"/>
        <v>182.12</v>
      </c>
      <c r="H287" s="129">
        <f t="shared" si="37"/>
        <v>141.38</v>
      </c>
      <c r="I287" s="129">
        <f t="shared" si="38"/>
        <v>182.12</v>
      </c>
    </row>
    <row r="288" spans="1:9" ht="30">
      <c r="A288" s="123" t="s">
        <v>876</v>
      </c>
      <c r="B288" s="128" t="s">
        <v>959</v>
      </c>
      <c r="C288" s="127" t="s">
        <v>960</v>
      </c>
      <c r="D288" s="123" t="s">
        <v>7</v>
      </c>
      <c r="E288" s="129">
        <v>4</v>
      </c>
      <c r="F288" s="129">
        <f>TRUNC('MEMÓRIA DESONERADA'!F2207,2)</f>
        <v>341.26</v>
      </c>
      <c r="G288" s="129">
        <f t="shared" si="36"/>
        <v>439.61</v>
      </c>
      <c r="H288" s="129">
        <f t="shared" si="37"/>
        <v>1365.04</v>
      </c>
      <c r="I288" s="129">
        <f t="shared" si="38"/>
        <v>1758.44</v>
      </c>
    </row>
    <row r="289" spans="1:9" ht="60">
      <c r="A289" s="123" t="s">
        <v>877</v>
      </c>
      <c r="B289" s="128" t="s">
        <v>963</v>
      </c>
      <c r="C289" s="127" t="s">
        <v>964</v>
      </c>
      <c r="D289" s="123" t="s">
        <v>7</v>
      </c>
      <c r="E289" s="129">
        <v>4</v>
      </c>
      <c r="F289" s="129">
        <f>TRUNC('MEMÓRIA DESONERADA'!F2213,2)</f>
        <v>453.29</v>
      </c>
      <c r="G289" s="129">
        <f t="shared" si="36"/>
        <v>583.91999999999996</v>
      </c>
      <c r="H289" s="129">
        <f t="shared" si="37"/>
        <v>1813.16</v>
      </c>
      <c r="I289" s="129">
        <f t="shared" si="38"/>
        <v>2335.6799999999998</v>
      </c>
    </row>
    <row r="290" spans="1:9" ht="45">
      <c r="A290" s="123" t="s">
        <v>878</v>
      </c>
      <c r="B290" s="128" t="s">
        <v>967</v>
      </c>
      <c r="C290" s="127" t="s">
        <v>968</v>
      </c>
      <c r="D290" s="123" t="s">
        <v>23</v>
      </c>
      <c r="E290" s="129">
        <v>80</v>
      </c>
      <c r="F290" s="129">
        <f>TRUNC('MEMÓRIA DESONERADA'!F2219,2)</f>
        <v>39.14</v>
      </c>
      <c r="G290" s="129">
        <f t="shared" si="36"/>
        <v>50.42</v>
      </c>
      <c r="H290" s="129">
        <f t="shared" si="37"/>
        <v>3131.2</v>
      </c>
      <c r="I290" s="129">
        <f t="shared" si="38"/>
        <v>4033.6</v>
      </c>
    </row>
    <row r="291" spans="1:9" ht="45">
      <c r="A291" s="123" t="s">
        <v>940</v>
      </c>
      <c r="B291" s="128" t="s">
        <v>973</v>
      </c>
      <c r="C291" s="127" t="s">
        <v>974</v>
      </c>
      <c r="D291" s="123" t="s">
        <v>23</v>
      </c>
      <c r="E291" s="129">
        <v>25</v>
      </c>
      <c r="F291" s="129">
        <f>TRUNC('MEMÓRIA DESONERADA'!F2226,2)</f>
        <v>19.29</v>
      </c>
      <c r="G291" s="129">
        <f t="shared" si="36"/>
        <v>24.84</v>
      </c>
      <c r="H291" s="129">
        <f t="shared" si="37"/>
        <v>482.25</v>
      </c>
      <c r="I291" s="129">
        <f t="shared" si="38"/>
        <v>621</v>
      </c>
    </row>
    <row r="292" spans="1:9" ht="45">
      <c r="A292" s="123" t="s">
        <v>941</v>
      </c>
      <c r="B292" s="128" t="s">
        <v>977</v>
      </c>
      <c r="C292" s="127" t="s">
        <v>978</v>
      </c>
      <c r="D292" s="123" t="s">
        <v>23</v>
      </c>
      <c r="E292" s="129">
        <v>25</v>
      </c>
      <c r="F292" s="129">
        <f>TRUNC('MEMÓRIA DESONERADA'!F2233,2)</f>
        <v>9.48</v>
      </c>
      <c r="G292" s="129">
        <f t="shared" si="36"/>
        <v>12.21</v>
      </c>
      <c r="H292" s="129">
        <f t="shared" si="37"/>
        <v>237</v>
      </c>
      <c r="I292" s="129">
        <f t="shared" si="38"/>
        <v>305.25</v>
      </c>
    </row>
    <row r="293" spans="1:9" ht="45">
      <c r="A293" s="123" t="s">
        <v>942</v>
      </c>
      <c r="B293" s="128" t="s">
        <v>981</v>
      </c>
      <c r="C293" s="127" t="s">
        <v>982</v>
      </c>
      <c r="D293" s="123" t="s">
        <v>23</v>
      </c>
      <c r="E293" s="129">
        <v>100</v>
      </c>
      <c r="F293" s="129">
        <f>TRUNC('MEMÓRIA DESONERADA'!F2240,2)</f>
        <v>6.36</v>
      </c>
      <c r="G293" s="129">
        <f t="shared" si="36"/>
        <v>8.19</v>
      </c>
      <c r="H293" s="129">
        <f t="shared" si="37"/>
        <v>636</v>
      </c>
      <c r="I293" s="129">
        <f t="shared" si="38"/>
        <v>819</v>
      </c>
    </row>
    <row r="294" spans="1:9" ht="45">
      <c r="A294" s="123" t="s">
        <v>943</v>
      </c>
      <c r="B294" s="128" t="s">
        <v>985</v>
      </c>
      <c r="C294" s="127" t="s">
        <v>986</v>
      </c>
      <c r="D294" s="123" t="s">
        <v>23</v>
      </c>
      <c r="E294" s="129">
        <v>170</v>
      </c>
      <c r="F294" s="129">
        <f>TRUNC('MEMÓRIA DESONERADA'!F2247,2)</f>
        <v>4.8</v>
      </c>
      <c r="G294" s="129">
        <f t="shared" si="36"/>
        <v>6.18</v>
      </c>
      <c r="H294" s="129">
        <f t="shared" si="37"/>
        <v>816</v>
      </c>
      <c r="I294" s="129">
        <f t="shared" si="38"/>
        <v>1050.5999999999999</v>
      </c>
    </row>
    <row r="295" spans="1:9" ht="45">
      <c r="A295" s="123" t="s">
        <v>944</v>
      </c>
      <c r="B295" s="128" t="s">
        <v>989</v>
      </c>
      <c r="C295" s="127" t="s">
        <v>990</v>
      </c>
      <c r="D295" s="123" t="s">
        <v>23</v>
      </c>
      <c r="E295" s="129">
        <v>2900</v>
      </c>
      <c r="F295" s="129">
        <f>TRUNC('MEMÓRIA DESONERADA'!F2254,2)</f>
        <v>3.43</v>
      </c>
      <c r="G295" s="129">
        <f t="shared" si="36"/>
        <v>4.41</v>
      </c>
      <c r="H295" s="129">
        <f t="shared" si="37"/>
        <v>9947</v>
      </c>
      <c r="I295" s="129">
        <f t="shared" si="38"/>
        <v>12789</v>
      </c>
    </row>
    <row r="296" spans="1:9" ht="45">
      <c r="A296" s="123" t="s">
        <v>945</v>
      </c>
      <c r="B296" s="128" t="s">
        <v>1006</v>
      </c>
      <c r="C296" s="127" t="s">
        <v>1007</v>
      </c>
      <c r="D296" s="123" t="s">
        <v>23</v>
      </c>
      <c r="E296" s="129">
        <v>22</v>
      </c>
      <c r="F296" s="129">
        <f>TRUNC('MEMÓRIA DESONERADA'!F2261,2)</f>
        <v>21.77</v>
      </c>
      <c r="G296" s="129">
        <f t="shared" si="36"/>
        <v>28.04</v>
      </c>
      <c r="H296" s="129">
        <f t="shared" si="37"/>
        <v>478.94</v>
      </c>
      <c r="I296" s="129">
        <f t="shared" si="38"/>
        <v>616.88</v>
      </c>
    </row>
    <row r="297" spans="1:9" ht="45">
      <c r="A297" s="123" t="s">
        <v>993</v>
      </c>
      <c r="B297" s="128" t="s">
        <v>1002</v>
      </c>
      <c r="C297" s="127" t="s">
        <v>1003</v>
      </c>
      <c r="D297" s="123" t="s">
        <v>23</v>
      </c>
      <c r="E297" s="129">
        <v>200</v>
      </c>
      <c r="F297" s="129">
        <f>TRUNC('MEMÓRIA DESONERADA'!F2267,2)</f>
        <v>9.19</v>
      </c>
      <c r="G297" s="129">
        <f t="shared" si="36"/>
        <v>11.83</v>
      </c>
      <c r="H297" s="129">
        <f t="shared" si="37"/>
        <v>1838</v>
      </c>
      <c r="I297" s="129">
        <f t="shared" si="38"/>
        <v>2366</v>
      </c>
    </row>
    <row r="298" spans="1:9" ht="45">
      <c r="A298" s="123" t="s">
        <v>994</v>
      </c>
      <c r="B298" s="128" t="s">
        <v>1010</v>
      </c>
      <c r="C298" s="127" t="s">
        <v>1011</v>
      </c>
      <c r="D298" s="123" t="s">
        <v>23</v>
      </c>
      <c r="E298" s="129">
        <v>15</v>
      </c>
      <c r="F298" s="129">
        <f>TRUNC('MEMÓRIA DESONERADA'!F2273,2)</f>
        <v>13.67</v>
      </c>
      <c r="G298" s="129">
        <f t="shared" si="36"/>
        <v>17.600000000000001</v>
      </c>
      <c r="H298" s="129">
        <f t="shared" si="37"/>
        <v>205.05</v>
      </c>
      <c r="I298" s="129">
        <f t="shared" si="38"/>
        <v>264</v>
      </c>
    </row>
    <row r="299" spans="1:9" ht="45">
      <c r="A299" s="123" t="s">
        <v>995</v>
      </c>
      <c r="B299" s="128" t="s">
        <v>1016</v>
      </c>
      <c r="C299" s="127" t="s">
        <v>1017</v>
      </c>
      <c r="D299" s="123" t="s">
        <v>23</v>
      </c>
      <c r="E299" s="129">
        <v>300</v>
      </c>
      <c r="F299" s="129">
        <f>TRUNC('MEMÓRIA DESONERADA'!F2280,2)</f>
        <v>8.81</v>
      </c>
      <c r="G299" s="129">
        <f t="shared" si="36"/>
        <v>11.34</v>
      </c>
      <c r="H299" s="129">
        <f t="shared" si="37"/>
        <v>2643</v>
      </c>
      <c r="I299" s="129">
        <f t="shared" si="38"/>
        <v>3402</v>
      </c>
    </row>
    <row r="300" spans="1:9" ht="30">
      <c r="A300" s="123" t="s">
        <v>996</v>
      </c>
      <c r="B300" s="128" t="s">
        <v>1020</v>
      </c>
      <c r="C300" s="127" t="s">
        <v>1021</v>
      </c>
      <c r="D300" s="123" t="s">
        <v>7</v>
      </c>
      <c r="E300" s="129">
        <v>3</v>
      </c>
      <c r="F300" s="129">
        <f>TRUNC('MEMÓRIA DESONERADA'!F2287,2)</f>
        <v>72.84</v>
      </c>
      <c r="G300" s="129">
        <f t="shared" si="36"/>
        <v>93.83</v>
      </c>
      <c r="H300" s="129">
        <f t="shared" si="37"/>
        <v>218.52</v>
      </c>
      <c r="I300" s="129">
        <f t="shared" si="38"/>
        <v>281.49</v>
      </c>
    </row>
    <row r="301" spans="1:9" ht="30">
      <c r="A301" s="123" t="s">
        <v>997</v>
      </c>
      <c r="B301" s="128" t="s">
        <v>1024</v>
      </c>
      <c r="C301" s="127" t="s">
        <v>1025</v>
      </c>
      <c r="D301" s="123" t="s">
        <v>23</v>
      </c>
      <c r="E301" s="129">
        <v>6</v>
      </c>
      <c r="F301" s="129">
        <f>TRUNC('MEMÓRIA DESONERADA'!F2293,2)</f>
        <v>19.440000000000001</v>
      </c>
      <c r="G301" s="129">
        <f t="shared" si="36"/>
        <v>25.04</v>
      </c>
      <c r="H301" s="129">
        <f t="shared" si="37"/>
        <v>116.64</v>
      </c>
      <c r="I301" s="129">
        <f t="shared" si="38"/>
        <v>150.24</v>
      </c>
    </row>
    <row r="302" spans="1:9" ht="75">
      <c r="A302" s="123" t="s">
        <v>998</v>
      </c>
      <c r="B302" s="128" t="s">
        <v>1026</v>
      </c>
      <c r="C302" s="127" t="s">
        <v>1027</v>
      </c>
      <c r="D302" s="123" t="s">
        <v>7</v>
      </c>
      <c r="E302" s="129">
        <v>1</v>
      </c>
      <c r="F302" s="129">
        <f>TRUNC('MEMÓRIA DESONERADA'!F2299,2)</f>
        <v>3553.56</v>
      </c>
      <c r="G302" s="129">
        <f t="shared" si="36"/>
        <v>4577.6899999999996</v>
      </c>
      <c r="H302" s="129">
        <f t="shared" si="37"/>
        <v>3553.56</v>
      </c>
      <c r="I302" s="129">
        <f t="shared" si="38"/>
        <v>4577.6899999999996</v>
      </c>
    </row>
    <row r="303" spans="1:9" ht="45">
      <c r="A303" s="123" t="s">
        <v>999</v>
      </c>
      <c r="B303" s="128" t="s">
        <v>1053</v>
      </c>
      <c r="C303" s="127" t="s">
        <v>1054</v>
      </c>
      <c r="D303" s="123" t="s">
        <v>7</v>
      </c>
      <c r="E303" s="129">
        <v>1</v>
      </c>
      <c r="F303" s="129">
        <f>TRUNC('MEMÓRIA DESONERADA'!F2322,2)</f>
        <v>921.85</v>
      </c>
      <c r="G303" s="129">
        <f t="shared" si="36"/>
        <v>1187.52</v>
      </c>
      <c r="H303" s="129">
        <f t="shared" si="37"/>
        <v>921.85</v>
      </c>
      <c r="I303" s="129">
        <f t="shared" si="38"/>
        <v>1187.52</v>
      </c>
    </row>
    <row r="304" spans="1:9" ht="45">
      <c r="A304" s="123" t="s">
        <v>1976</v>
      </c>
      <c r="B304" s="128" t="s">
        <v>1983</v>
      </c>
      <c r="C304" s="127" t="s">
        <v>2063</v>
      </c>
      <c r="D304" s="123" t="s">
        <v>7</v>
      </c>
      <c r="E304" s="129">
        <v>8</v>
      </c>
      <c r="F304" s="129">
        <f>TRUNC('MEMÓRIA DESONERADA'!F2331,2)</f>
        <v>130.69</v>
      </c>
      <c r="G304" s="129">
        <f t="shared" si="36"/>
        <v>168.35</v>
      </c>
      <c r="H304" s="129">
        <f t="shared" si="37"/>
        <v>1045.52</v>
      </c>
      <c r="I304" s="129">
        <f t="shared" si="38"/>
        <v>1346.8</v>
      </c>
    </row>
    <row r="305" spans="1:9" s="169" customFormat="1" ht="15.75">
      <c r="A305" s="328" t="s">
        <v>18</v>
      </c>
      <c r="B305" s="316"/>
      <c r="C305" s="288"/>
      <c r="D305" s="328"/>
      <c r="E305" s="289"/>
      <c r="F305" s="131"/>
      <c r="G305" s="325" t="s">
        <v>681</v>
      </c>
      <c r="H305" s="131">
        <f>SUM(H267:H304)</f>
        <v>48390.68</v>
      </c>
      <c r="I305" s="131">
        <f>SUM(I267:I304)</f>
        <v>62304.489999999991</v>
      </c>
    </row>
    <row r="306" spans="1:9" ht="14.25" customHeight="1">
      <c r="A306" s="328" t="s">
        <v>679</v>
      </c>
      <c r="B306" s="128"/>
      <c r="C306" s="372" t="s">
        <v>680</v>
      </c>
      <c r="D306" s="372"/>
      <c r="E306" s="372"/>
      <c r="F306" s="372"/>
      <c r="G306" s="372"/>
      <c r="H306" s="372"/>
      <c r="I306" s="372"/>
    </row>
    <row r="307" spans="1:9" ht="76.5">
      <c r="A307" s="123" t="s">
        <v>682</v>
      </c>
      <c r="B307" s="128" t="s">
        <v>2064</v>
      </c>
      <c r="C307" s="127" t="s">
        <v>2096</v>
      </c>
      <c r="D307" s="123" t="s">
        <v>17</v>
      </c>
      <c r="E307" s="129">
        <v>386</v>
      </c>
      <c r="F307" s="129">
        <f>TRUNC('MEMÓRIA DESONERADA'!F2341,2)</f>
        <v>142.9</v>
      </c>
      <c r="G307" s="129">
        <f t="shared" ref="G307:G313" si="39">TRUNC(F307*1.2882,2)</f>
        <v>184.08</v>
      </c>
      <c r="H307" s="129">
        <f t="shared" ref="H307:H313" si="40">TRUNC(F307*E307,2)</f>
        <v>55159.4</v>
      </c>
      <c r="I307" s="129">
        <f t="shared" ref="I307:I313" si="41">TRUNC(E307*G307,2)</f>
        <v>71054.880000000005</v>
      </c>
    </row>
    <row r="308" spans="1:9" ht="30">
      <c r="A308" s="123" t="s">
        <v>703</v>
      </c>
      <c r="B308" s="128" t="s">
        <v>1580</v>
      </c>
      <c r="C308" s="127" t="s">
        <v>1956</v>
      </c>
      <c r="D308" s="123" t="s">
        <v>46</v>
      </c>
      <c r="E308" s="129">
        <f>2036.74+360.8+520.22</f>
        <v>2917.76</v>
      </c>
      <c r="F308" s="129">
        <f>TRUNC('MEMÓRIA DESONERADA'!F2353,2)</f>
        <v>13.36</v>
      </c>
      <c r="G308" s="129">
        <f t="shared" si="39"/>
        <v>17.21</v>
      </c>
      <c r="H308" s="129">
        <f t="shared" si="40"/>
        <v>38981.269999999997</v>
      </c>
      <c r="I308" s="129">
        <f t="shared" si="41"/>
        <v>50214.64</v>
      </c>
    </row>
    <row r="309" spans="1:9" ht="30">
      <c r="A309" s="123" t="s">
        <v>710</v>
      </c>
      <c r="B309" s="128" t="s">
        <v>726</v>
      </c>
      <c r="C309" s="127" t="s">
        <v>1808</v>
      </c>
      <c r="D309" s="123" t="s">
        <v>23</v>
      </c>
      <c r="E309" s="129">
        <v>39.200000000000003</v>
      </c>
      <c r="F309" s="129">
        <f>TRUNC('MEMÓRIA DESONERADA'!F2364,2)</f>
        <v>178.15</v>
      </c>
      <c r="G309" s="129">
        <f t="shared" si="39"/>
        <v>229.49</v>
      </c>
      <c r="H309" s="129">
        <f t="shared" si="40"/>
        <v>6983.48</v>
      </c>
      <c r="I309" s="129">
        <f t="shared" si="41"/>
        <v>8996</v>
      </c>
    </row>
    <row r="310" spans="1:9" ht="45">
      <c r="A310" s="123" t="s">
        <v>738</v>
      </c>
      <c r="B310" s="128" t="s">
        <v>739</v>
      </c>
      <c r="C310" s="127" t="s">
        <v>740</v>
      </c>
      <c r="D310" s="123" t="s">
        <v>23</v>
      </c>
      <c r="E310" s="129">
        <v>19.2</v>
      </c>
      <c r="F310" s="129">
        <f>TRUNC('MEMÓRIA DESONERADA'!F2376,2)</f>
        <v>120.62</v>
      </c>
      <c r="G310" s="129">
        <f t="shared" si="39"/>
        <v>155.38</v>
      </c>
      <c r="H310" s="129">
        <f t="shared" si="40"/>
        <v>2315.9</v>
      </c>
      <c r="I310" s="129">
        <f t="shared" si="41"/>
        <v>2983.29</v>
      </c>
    </row>
    <row r="311" spans="1:9" ht="30">
      <c r="A311" s="123" t="s">
        <v>741</v>
      </c>
      <c r="B311" s="128" t="s">
        <v>747</v>
      </c>
      <c r="C311" s="127" t="s">
        <v>745</v>
      </c>
      <c r="D311" s="123" t="s">
        <v>23</v>
      </c>
      <c r="E311" s="129">
        <v>14.2</v>
      </c>
      <c r="F311" s="129">
        <f>TRUNC('MEMÓRIA DESONERADA'!F2382,2)</f>
        <v>69.11</v>
      </c>
      <c r="G311" s="129">
        <f t="shared" si="39"/>
        <v>89.02</v>
      </c>
      <c r="H311" s="129">
        <f t="shared" si="40"/>
        <v>981.36</v>
      </c>
      <c r="I311" s="129">
        <f t="shared" si="41"/>
        <v>1264.08</v>
      </c>
    </row>
    <row r="312" spans="1:9" ht="30">
      <c r="A312" s="123" t="s">
        <v>743</v>
      </c>
      <c r="B312" s="128" t="s">
        <v>749</v>
      </c>
      <c r="C312" s="127" t="s">
        <v>750</v>
      </c>
      <c r="D312" s="123" t="s">
        <v>23</v>
      </c>
      <c r="E312" s="129">
        <v>39.700000000000003</v>
      </c>
      <c r="F312" s="129">
        <f>TRUNC('MEMÓRIA DESONERADA'!F2394,2)</f>
        <v>110.44</v>
      </c>
      <c r="G312" s="129">
        <f t="shared" si="39"/>
        <v>142.26</v>
      </c>
      <c r="H312" s="129">
        <f t="shared" si="40"/>
        <v>4384.46</v>
      </c>
      <c r="I312" s="129">
        <f t="shared" si="41"/>
        <v>5647.72</v>
      </c>
    </row>
    <row r="313" spans="1:9" ht="30">
      <c r="A313" s="123" t="s">
        <v>744</v>
      </c>
      <c r="B313" s="128" t="s">
        <v>759</v>
      </c>
      <c r="C313" s="127" t="s">
        <v>760</v>
      </c>
      <c r="D313" s="123" t="s">
        <v>23</v>
      </c>
      <c r="E313" s="129">
        <v>20.5</v>
      </c>
      <c r="F313" s="129">
        <f>TRUNC('MEMÓRIA DESONERADA'!F2403,2)</f>
        <v>71.040000000000006</v>
      </c>
      <c r="G313" s="129">
        <f t="shared" si="39"/>
        <v>91.51</v>
      </c>
      <c r="H313" s="129">
        <f t="shared" si="40"/>
        <v>1456.32</v>
      </c>
      <c r="I313" s="129">
        <f t="shared" si="41"/>
        <v>1875.95</v>
      </c>
    </row>
    <row r="314" spans="1:9" ht="30">
      <c r="A314" s="123" t="s">
        <v>2097</v>
      </c>
      <c r="B314" s="128" t="s">
        <v>2099</v>
      </c>
      <c r="C314" s="127" t="s">
        <v>2100</v>
      </c>
      <c r="D314" s="123" t="s">
        <v>23</v>
      </c>
      <c r="E314" s="129">
        <v>9</v>
      </c>
      <c r="F314" s="129">
        <f>TRUNC('MEMÓRIA DESONERADA'!F2412,2)</f>
        <v>127.9</v>
      </c>
      <c r="G314" s="129">
        <f t="shared" ref="G314" si="42">TRUNC(F314*1.2882,2)</f>
        <v>164.76</v>
      </c>
      <c r="H314" s="129">
        <f t="shared" ref="H314" si="43">TRUNC(F314*E314,2)</f>
        <v>1151.0999999999999</v>
      </c>
      <c r="I314" s="129">
        <f t="shared" ref="I314" si="44">TRUNC(E314*G314,2)</f>
        <v>1482.84</v>
      </c>
    </row>
    <row r="315" spans="1:9" s="169" customFormat="1" ht="15.75">
      <c r="A315" s="328" t="s">
        <v>18</v>
      </c>
      <c r="B315" s="316"/>
      <c r="C315" s="288"/>
      <c r="D315" s="328"/>
      <c r="E315" s="289"/>
      <c r="F315" s="131"/>
      <c r="G315" s="325" t="s">
        <v>770</v>
      </c>
      <c r="H315" s="131">
        <f>SUM(H307:H314)</f>
        <v>111413.29000000001</v>
      </c>
      <c r="I315" s="131">
        <f>SUM(I307:I314)</f>
        <v>143519.4</v>
      </c>
    </row>
    <row r="316" spans="1:9" ht="14.25" customHeight="1">
      <c r="A316" s="328" t="s">
        <v>769</v>
      </c>
      <c r="B316" s="128"/>
      <c r="C316" s="372" t="s">
        <v>21</v>
      </c>
      <c r="D316" s="372"/>
      <c r="E316" s="372"/>
      <c r="F316" s="372"/>
      <c r="G316" s="372"/>
      <c r="H316" s="372"/>
      <c r="I316" s="372"/>
    </row>
    <row r="317" spans="1:9" ht="90.75">
      <c r="A317" s="123" t="s">
        <v>771</v>
      </c>
      <c r="B317" s="128" t="s">
        <v>772</v>
      </c>
      <c r="C317" s="127" t="s">
        <v>785</v>
      </c>
      <c r="D317" s="123" t="s">
        <v>17</v>
      </c>
      <c r="E317" s="129">
        <v>587.41999999999996</v>
      </c>
      <c r="F317" s="129">
        <f>TRUNC('MEMÓRIA DESONERADA'!F2426,2)</f>
        <v>30.37</v>
      </c>
      <c r="G317" s="129">
        <f t="shared" ref="G317:G323" si="45">TRUNC(F317*1.2882,2)</f>
        <v>39.119999999999997</v>
      </c>
      <c r="H317" s="129">
        <f t="shared" ref="H317:H323" si="46">TRUNC(F317*E317,2)</f>
        <v>17839.939999999999</v>
      </c>
      <c r="I317" s="129">
        <f t="shared" ref="I317:I323" si="47">TRUNC(E317*G317,2)</f>
        <v>22979.87</v>
      </c>
    </row>
    <row r="318" spans="1:9" ht="90.75">
      <c r="A318" s="123" t="s">
        <v>784</v>
      </c>
      <c r="B318" s="128" t="s">
        <v>772</v>
      </c>
      <c r="C318" s="127" t="s">
        <v>1964</v>
      </c>
      <c r="D318" s="123" t="s">
        <v>17</v>
      </c>
      <c r="E318" s="129">
        <v>762.08</v>
      </c>
      <c r="F318" s="129">
        <f>TRUNC('MEMÓRIA DESONERADA'!F2435,2)</f>
        <v>30.37</v>
      </c>
      <c r="G318" s="129">
        <f t="shared" si="45"/>
        <v>39.119999999999997</v>
      </c>
      <c r="H318" s="129">
        <f t="shared" si="46"/>
        <v>23144.36</v>
      </c>
      <c r="I318" s="129">
        <f t="shared" si="47"/>
        <v>29812.560000000001</v>
      </c>
    </row>
    <row r="319" spans="1:9" ht="45.75">
      <c r="A319" s="123" t="s">
        <v>786</v>
      </c>
      <c r="B319" s="128" t="s">
        <v>787</v>
      </c>
      <c r="C319" s="127" t="s">
        <v>1965</v>
      </c>
      <c r="D319" s="123" t="s">
        <v>17</v>
      </c>
      <c r="E319" s="129">
        <v>390.2</v>
      </c>
      <c r="F319" s="129">
        <f>TRUNC('MEMÓRIA DESONERADA'!F2444,2)</f>
        <v>14.61</v>
      </c>
      <c r="G319" s="129">
        <f t="shared" si="45"/>
        <v>18.82</v>
      </c>
      <c r="H319" s="129">
        <f t="shared" si="46"/>
        <v>5700.82</v>
      </c>
      <c r="I319" s="129">
        <f t="shared" si="47"/>
        <v>7343.56</v>
      </c>
    </row>
    <row r="320" spans="1:9" ht="60">
      <c r="A320" s="123" t="s">
        <v>791</v>
      </c>
      <c r="B320" s="128" t="s">
        <v>798</v>
      </c>
      <c r="C320" s="127" t="s">
        <v>799</v>
      </c>
      <c r="D320" s="123" t="s">
        <v>17</v>
      </c>
      <c r="E320" s="129">
        <v>85.68</v>
      </c>
      <c r="F320" s="129">
        <f>TRUNC('MEMÓRIA DESONERADA'!F2452,2)</f>
        <v>8.7899999999999991</v>
      </c>
      <c r="G320" s="129">
        <f t="shared" si="45"/>
        <v>11.32</v>
      </c>
      <c r="H320" s="129">
        <f t="shared" si="46"/>
        <v>753.12</v>
      </c>
      <c r="I320" s="129">
        <f t="shared" si="47"/>
        <v>969.89</v>
      </c>
    </row>
    <row r="321" spans="1:9" ht="60">
      <c r="A321" s="123" t="s">
        <v>810</v>
      </c>
      <c r="B321" s="128" t="s">
        <v>800</v>
      </c>
      <c r="C321" s="127" t="s">
        <v>801</v>
      </c>
      <c r="D321" s="123" t="s">
        <v>17</v>
      </c>
      <c r="E321" s="129">
        <v>85.68</v>
      </c>
      <c r="F321" s="129">
        <f>TRUNC('MEMÓRIA DESONERADA'!F2458,2)</f>
        <v>43.59</v>
      </c>
      <c r="G321" s="129">
        <f t="shared" si="45"/>
        <v>56.15</v>
      </c>
      <c r="H321" s="129">
        <f t="shared" si="46"/>
        <v>3734.79</v>
      </c>
      <c r="I321" s="129">
        <f t="shared" si="47"/>
        <v>4810.93</v>
      </c>
    </row>
    <row r="322" spans="1:9" ht="75">
      <c r="A322" s="123" t="s">
        <v>811</v>
      </c>
      <c r="B322" s="128" t="s">
        <v>792</v>
      </c>
      <c r="C322" s="127" t="s">
        <v>793</v>
      </c>
      <c r="D322" s="123" t="s">
        <v>17</v>
      </c>
      <c r="E322" s="129">
        <v>41.2</v>
      </c>
      <c r="F322" s="129">
        <f>TRUNC('MEMÓRIA DESONERADA'!F2467,2)</f>
        <v>19.059999999999999</v>
      </c>
      <c r="G322" s="129">
        <f t="shared" si="45"/>
        <v>24.55</v>
      </c>
      <c r="H322" s="129">
        <f t="shared" si="46"/>
        <v>785.27</v>
      </c>
      <c r="I322" s="129">
        <f t="shared" si="47"/>
        <v>1011.46</v>
      </c>
    </row>
    <row r="323" spans="1:9" ht="60">
      <c r="A323" s="123" t="s">
        <v>1957</v>
      </c>
      <c r="B323" s="128" t="s">
        <v>1958</v>
      </c>
      <c r="C323" s="127" t="s">
        <v>1959</v>
      </c>
      <c r="D323" s="123" t="s">
        <v>17</v>
      </c>
      <c r="E323" s="129">
        <v>222</v>
      </c>
      <c r="F323" s="129">
        <f>TRUNC('MEMÓRIA DESONERADA'!F2475,2)</f>
        <v>21.98</v>
      </c>
      <c r="G323" s="129">
        <f t="shared" si="45"/>
        <v>28.31</v>
      </c>
      <c r="H323" s="129">
        <f t="shared" si="46"/>
        <v>4879.5600000000004</v>
      </c>
      <c r="I323" s="129">
        <f t="shared" si="47"/>
        <v>6284.82</v>
      </c>
    </row>
    <row r="324" spans="1:9" s="169" customFormat="1" ht="15.75">
      <c r="A324" s="328" t="s">
        <v>18</v>
      </c>
      <c r="B324" s="316"/>
      <c r="C324" s="288"/>
      <c r="D324" s="328"/>
      <c r="E324" s="289"/>
      <c r="F324" s="131"/>
      <c r="G324" s="325" t="s">
        <v>819</v>
      </c>
      <c r="H324" s="131">
        <f>SUM(H317:H323)</f>
        <v>56837.86</v>
      </c>
      <c r="I324" s="131">
        <f>SUM(I317:I323)</f>
        <v>73213.09</v>
      </c>
    </row>
    <row r="325" spans="1:9" ht="14.25" customHeight="1">
      <c r="A325" s="328" t="s">
        <v>820</v>
      </c>
      <c r="B325" s="128"/>
      <c r="C325" s="372" t="s">
        <v>821</v>
      </c>
      <c r="D325" s="372"/>
      <c r="E325" s="372"/>
      <c r="F325" s="372"/>
      <c r="G325" s="372"/>
      <c r="H325" s="372"/>
      <c r="I325" s="372"/>
    </row>
    <row r="326" spans="1:9" ht="45">
      <c r="A326" s="123" t="s">
        <v>822</v>
      </c>
      <c r="B326" s="128" t="s">
        <v>1816</v>
      </c>
      <c r="C326" s="127" t="s">
        <v>1817</v>
      </c>
      <c r="D326" s="123" t="s">
        <v>23</v>
      </c>
      <c r="E326" s="129">
        <v>36.25</v>
      </c>
      <c r="F326" s="129">
        <f>TRUNC('MEMÓRIA DESONERADA'!F2485,2)</f>
        <v>17.22</v>
      </c>
      <c r="G326" s="129">
        <f t="shared" ref="G326:G336" si="48">TRUNC(F326*1.2882,2)</f>
        <v>22.18</v>
      </c>
      <c r="H326" s="129">
        <f t="shared" ref="H326:H336" si="49">TRUNC(F326*E326,2)</f>
        <v>624.22</v>
      </c>
      <c r="I326" s="129">
        <f t="shared" ref="I326:I336" si="50">TRUNC(E326*G326,2)</f>
        <v>804.02</v>
      </c>
    </row>
    <row r="327" spans="1:9" ht="60">
      <c r="A327" s="123" t="s">
        <v>824</v>
      </c>
      <c r="B327" s="128" t="s">
        <v>1967</v>
      </c>
      <c r="C327" s="127" t="s">
        <v>1968</v>
      </c>
      <c r="D327" s="123" t="s">
        <v>23</v>
      </c>
      <c r="E327" s="129">
        <v>36.25</v>
      </c>
      <c r="F327" s="129">
        <f>TRUNC('MEMÓRIA DESONERADA'!F2489,2)</f>
        <v>67.14</v>
      </c>
      <c r="G327" s="129">
        <f t="shared" si="48"/>
        <v>86.48</v>
      </c>
      <c r="H327" s="129">
        <f t="shared" si="49"/>
        <v>2433.8200000000002</v>
      </c>
      <c r="I327" s="129">
        <f t="shared" si="50"/>
        <v>3134.9</v>
      </c>
    </row>
    <row r="328" spans="1:9" ht="45">
      <c r="A328" s="123" t="s">
        <v>825</v>
      </c>
      <c r="B328" s="128" t="s">
        <v>1818</v>
      </c>
      <c r="C328" s="127" t="s">
        <v>1819</v>
      </c>
      <c r="D328" s="123" t="s">
        <v>17</v>
      </c>
      <c r="E328" s="129">
        <f>24.09+87.73</f>
        <v>111.82000000000001</v>
      </c>
      <c r="F328" s="129">
        <f>TRUNC('MEMÓRIA DESONERADA'!F2499,2)</f>
        <v>111.17</v>
      </c>
      <c r="G328" s="129">
        <f t="shared" si="48"/>
        <v>143.19999999999999</v>
      </c>
      <c r="H328" s="129">
        <f t="shared" si="49"/>
        <v>12431.02</v>
      </c>
      <c r="I328" s="129">
        <f t="shared" si="50"/>
        <v>16012.62</v>
      </c>
    </row>
    <row r="329" spans="1:9" ht="60">
      <c r="A329" s="123" t="s">
        <v>826</v>
      </c>
      <c r="B329" s="128" t="s">
        <v>351</v>
      </c>
      <c r="C329" s="127" t="s">
        <v>352</v>
      </c>
      <c r="D329" s="123" t="s">
        <v>17</v>
      </c>
      <c r="E329" s="129">
        <v>8.75</v>
      </c>
      <c r="F329" s="129">
        <f>TRUNC('MEMÓRIA DESONERADA'!F2510,2)</f>
        <v>145.30000000000001</v>
      </c>
      <c r="G329" s="129">
        <f t="shared" si="48"/>
        <v>187.17</v>
      </c>
      <c r="H329" s="129">
        <f t="shared" si="49"/>
        <v>1271.3699999999999</v>
      </c>
      <c r="I329" s="129">
        <f t="shared" si="50"/>
        <v>1637.73</v>
      </c>
    </row>
    <row r="330" spans="1:9" ht="45">
      <c r="A330" s="123" t="s">
        <v>1821</v>
      </c>
      <c r="B330" s="128" t="s">
        <v>1822</v>
      </c>
      <c r="C330" s="127" t="s">
        <v>1823</v>
      </c>
      <c r="D330" s="123" t="s">
        <v>17</v>
      </c>
      <c r="E330" s="129">
        <v>5.75</v>
      </c>
      <c r="F330" s="129">
        <f>TRUNC('MEMÓRIA DESONERADA'!F2520,2)</f>
        <v>145.30000000000001</v>
      </c>
      <c r="G330" s="129">
        <f t="shared" si="48"/>
        <v>187.17</v>
      </c>
      <c r="H330" s="129">
        <f t="shared" si="49"/>
        <v>835.47</v>
      </c>
      <c r="I330" s="129">
        <f t="shared" si="50"/>
        <v>1076.22</v>
      </c>
    </row>
    <row r="331" spans="1:9" ht="45">
      <c r="A331" s="123" t="s">
        <v>1826</v>
      </c>
      <c r="B331" s="128" t="s">
        <v>787</v>
      </c>
      <c r="C331" s="127" t="s">
        <v>788</v>
      </c>
      <c r="D331" s="123" t="s">
        <v>17</v>
      </c>
      <c r="E331" s="129">
        <v>52</v>
      </c>
      <c r="F331" s="129">
        <f>TRUNC('MEMÓRIA DESONERADA'!F2530,2)</f>
        <v>14.61</v>
      </c>
      <c r="G331" s="129">
        <f t="shared" si="48"/>
        <v>18.82</v>
      </c>
      <c r="H331" s="129">
        <f t="shared" si="49"/>
        <v>759.72</v>
      </c>
      <c r="I331" s="129">
        <f t="shared" si="50"/>
        <v>978.64</v>
      </c>
    </row>
    <row r="332" spans="1:9" ht="30">
      <c r="A332" s="123" t="s">
        <v>1827</v>
      </c>
      <c r="B332" s="128" t="s">
        <v>1828</v>
      </c>
      <c r="C332" s="127" t="s">
        <v>1829</v>
      </c>
      <c r="D332" s="123" t="s">
        <v>23</v>
      </c>
      <c r="E332" s="129">
        <v>8.8000000000000007</v>
      </c>
      <c r="F332" s="129">
        <f>TRUNC('MEMÓRIA DESONERADA'!F2538,2)</f>
        <v>50.43</v>
      </c>
      <c r="G332" s="129">
        <f t="shared" si="48"/>
        <v>64.959999999999994</v>
      </c>
      <c r="H332" s="129">
        <f t="shared" si="49"/>
        <v>443.78</v>
      </c>
      <c r="I332" s="129">
        <f t="shared" si="50"/>
        <v>571.64</v>
      </c>
    </row>
    <row r="333" spans="1:9" ht="15">
      <c r="A333" s="123" t="s">
        <v>1832</v>
      </c>
      <c r="B333" s="128" t="s">
        <v>1835</v>
      </c>
      <c r="C333" s="127" t="s">
        <v>1836</v>
      </c>
      <c r="D333" s="123" t="s">
        <v>55</v>
      </c>
      <c r="E333" s="129">
        <v>0.3</v>
      </c>
      <c r="F333" s="129">
        <f>TRUNC('MEMÓRIA DESONERADA'!F2548,2)</f>
        <v>84.1</v>
      </c>
      <c r="G333" s="129">
        <f t="shared" si="48"/>
        <v>108.33</v>
      </c>
      <c r="H333" s="129">
        <f t="shared" si="49"/>
        <v>25.23</v>
      </c>
      <c r="I333" s="129">
        <f t="shared" si="50"/>
        <v>32.49</v>
      </c>
    </row>
    <row r="334" spans="1:9" ht="30">
      <c r="A334" s="123" t="s">
        <v>1833</v>
      </c>
      <c r="B334" s="128" t="s">
        <v>1844</v>
      </c>
      <c r="C334" s="127" t="s">
        <v>1966</v>
      </c>
      <c r="D334" s="123" t="s">
        <v>7</v>
      </c>
      <c r="E334" s="129">
        <v>4</v>
      </c>
      <c r="F334" s="129">
        <f>TRUNC('MEMÓRIA DESONERADA'!F2553,2)</f>
        <v>109.9</v>
      </c>
      <c r="G334" s="129">
        <f t="shared" si="48"/>
        <v>141.57</v>
      </c>
      <c r="H334" s="129">
        <f t="shared" si="49"/>
        <v>439.6</v>
      </c>
      <c r="I334" s="129">
        <f t="shared" si="50"/>
        <v>566.28</v>
      </c>
    </row>
    <row r="335" spans="1:9" ht="45">
      <c r="A335" s="123" t="s">
        <v>1834</v>
      </c>
      <c r="B335" s="128" t="s">
        <v>1845</v>
      </c>
      <c r="C335" s="127" t="s">
        <v>1846</v>
      </c>
      <c r="D335" s="123" t="s">
        <v>7</v>
      </c>
      <c r="E335" s="129">
        <v>4</v>
      </c>
      <c r="F335" s="129">
        <f>TRUNC('MEMÓRIA DESONERADA'!F2559,2)</f>
        <v>33.47</v>
      </c>
      <c r="G335" s="129">
        <f t="shared" si="48"/>
        <v>43.11</v>
      </c>
      <c r="H335" s="129">
        <f t="shared" si="49"/>
        <v>133.88</v>
      </c>
      <c r="I335" s="129">
        <f t="shared" si="50"/>
        <v>172.44</v>
      </c>
    </row>
    <row r="336" spans="1:9" ht="30">
      <c r="A336" s="123" t="s">
        <v>1973</v>
      </c>
      <c r="B336" s="128" t="s">
        <v>1620</v>
      </c>
      <c r="C336" s="127" t="s">
        <v>1975</v>
      </c>
      <c r="D336" s="123" t="s">
        <v>742</v>
      </c>
      <c r="E336" s="129">
        <v>54</v>
      </c>
      <c r="F336" s="129">
        <f>TRUNC('MEMÓRIA DESONERADA'!F2564,2)</f>
        <v>3.24</v>
      </c>
      <c r="G336" s="129">
        <f t="shared" si="48"/>
        <v>4.17</v>
      </c>
      <c r="H336" s="129">
        <f t="shared" si="49"/>
        <v>174.96</v>
      </c>
      <c r="I336" s="129">
        <f t="shared" si="50"/>
        <v>225.18</v>
      </c>
    </row>
    <row r="337" spans="1:9" s="169" customFormat="1" ht="15.75">
      <c r="A337" s="328" t="s">
        <v>18</v>
      </c>
      <c r="B337" s="316"/>
      <c r="C337" s="288"/>
      <c r="D337" s="328"/>
      <c r="E337" s="289"/>
      <c r="F337" s="131"/>
      <c r="G337" s="325" t="s">
        <v>827</v>
      </c>
      <c r="H337" s="131">
        <f>SUM(H326:H336)</f>
        <v>19573.07</v>
      </c>
      <c r="I337" s="131">
        <f>SUM(I326:I336)</f>
        <v>25212.16</v>
      </c>
    </row>
    <row r="338" spans="1:9" ht="14.25" customHeight="1">
      <c r="A338" s="328" t="s">
        <v>828</v>
      </c>
      <c r="B338" s="128"/>
      <c r="C338" s="372" t="s">
        <v>829</v>
      </c>
      <c r="D338" s="372"/>
      <c r="E338" s="372"/>
      <c r="F338" s="372"/>
      <c r="G338" s="372"/>
      <c r="H338" s="372"/>
      <c r="I338" s="372"/>
    </row>
    <row r="339" spans="1:9" ht="75">
      <c r="A339" s="123" t="s">
        <v>830</v>
      </c>
      <c r="B339" s="128" t="s">
        <v>841</v>
      </c>
      <c r="C339" s="127" t="s">
        <v>1849</v>
      </c>
      <c r="D339" s="123" t="s">
        <v>832</v>
      </c>
      <c r="E339" s="129">
        <v>320</v>
      </c>
      <c r="F339" s="129">
        <f>TRUNC('MEMÓRIA DESONERADA'!F2570,2)</f>
        <v>14.41</v>
      </c>
      <c r="G339" s="129">
        <f>TRUNC(F339*1.2882,2)</f>
        <v>18.559999999999999</v>
      </c>
      <c r="H339" s="129">
        <f>TRUNC(F339*E339,2)</f>
        <v>4611.2</v>
      </c>
      <c r="I339" s="129">
        <f>TRUNC(E339*G339,2)</f>
        <v>5939.2</v>
      </c>
    </row>
    <row r="340" spans="1:9" ht="76.5">
      <c r="A340" s="123" t="s">
        <v>831</v>
      </c>
      <c r="B340" s="128" t="s">
        <v>843</v>
      </c>
      <c r="C340" s="127" t="s">
        <v>1850</v>
      </c>
      <c r="D340" s="123" t="s">
        <v>845</v>
      </c>
      <c r="E340" s="129">
        <f>320*11</f>
        <v>3520</v>
      </c>
      <c r="F340" s="129">
        <f>TRUNC('MEMÓRIA DESONERADA'!F2577,2)</f>
        <v>1.78</v>
      </c>
      <c r="G340" s="129">
        <f>TRUNC(F340*1.2882,2)</f>
        <v>2.29</v>
      </c>
      <c r="H340" s="129">
        <f>TRUNC(F340*E340,2)</f>
        <v>6265.6</v>
      </c>
      <c r="I340" s="129">
        <f>TRUNC(E340*G340,2)</f>
        <v>8060.8</v>
      </c>
    </row>
    <row r="341" spans="1:9" ht="15">
      <c r="A341" s="123" t="s">
        <v>846</v>
      </c>
      <c r="B341" s="128" t="s">
        <v>1739</v>
      </c>
      <c r="C341" s="127" t="s">
        <v>848</v>
      </c>
      <c r="D341" s="123" t="s">
        <v>860</v>
      </c>
      <c r="E341" s="129">
        <v>320</v>
      </c>
      <c r="F341" s="129">
        <f>TRUNC('MEMÓRIA DESONERADA'!F2581,2)</f>
        <v>30</v>
      </c>
      <c r="G341" s="129">
        <f>TRUNC(F341*1.2285,2)</f>
        <v>36.85</v>
      </c>
      <c r="H341" s="129">
        <f>TRUNC(F341*E341,2)</f>
        <v>9600</v>
      </c>
      <c r="I341" s="129">
        <f>TRUNC(E341*G341,2)</f>
        <v>11792</v>
      </c>
    </row>
    <row r="342" spans="1:9" ht="75">
      <c r="A342" s="123" t="s">
        <v>847</v>
      </c>
      <c r="B342" s="128" t="s">
        <v>849</v>
      </c>
      <c r="C342" s="127" t="s">
        <v>850</v>
      </c>
      <c r="D342" s="123" t="s">
        <v>832</v>
      </c>
      <c r="E342" s="129">
        <v>30</v>
      </c>
      <c r="F342" s="129">
        <f>TRUNC('MEMÓRIA DESONERADA'!F2584,2)</f>
        <v>88.76</v>
      </c>
      <c r="G342" s="129">
        <f>TRUNC(F342*1.2882,2)</f>
        <v>114.34</v>
      </c>
      <c r="H342" s="129">
        <f>TRUNC(F342*E342,2)</f>
        <v>2662.8</v>
      </c>
      <c r="I342" s="129">
        <f>TRUNC(E342*G342,2)</f>
        <v>3430.2</v>
      </c>
    </row>
    <row r="343" spans="1:9" ht="76.5">
      <c r="A343" s="123" t="s">
        <v>855</v>
      </c>
      <c r="B343" s="128" t="s">
        <v>856</v>
      </c>
      <c r="C343" s="127" t="s">
        <v>1851</v>
      </c>
      <c r="D343" s="123" t="s">
        <v>845</v>
      </c>
      <c r="E343" s="129">
        <v>240</v>
      </c>
      <c r="F343" s="129">
        <f>TRUNC('MEMÓRIA DESONERADA'!F2590,2)</f>
        <v>1.56</v>
      </c>
      <c r="G343" s="129">
        <f>TRUNC(F343*1.2882,2)</f>
        <v>2</v>
      </c>
      <c r="H343" s="129">
        <f>TRUNC(F343*E343,2)</f>
        <v>374.4</v>
      </c>
      <c r="I343" s="129">
        <f>TRUNC(E343*G343,2)</f>
        <v>480</v>
      </c>
    </row>
    <row r="344" spans="1:9" s="324" customFormat="1" ht="18">
      <c r="A344" s="328" t="s">
        <v>18</v>
      </c>
      <c r="B344" s="330"/>
      <c r="C344" s="331"/>
      <c r="D344" s="329"/>
      <c r="E344" s="332"/>
      <c r="F344" s="333"/>
      <c r="G344" s="325" t="s">
        <v>858</v>
      </c>
      <c r="H344" s="131">
        <f>SUM(H339:H343)</f>
        <v>23514</v>
      </c>
      <c r="I344" s="131">
        <f>SUM(I339:I343)</f>
        <v>29702.2</v>
      </c>
    </row>
    <row r="345" spans="1:9" s="57" customFormat="1" ht="15.75">
      <c r="A345" s="328" t="s">
        <v>18</v>
      </c>
      <c r="B345" s="316"/>
      <c r="C345" s="288"/>
      <c r="D345" s="328"/>
      <c r="E345" s="289"/>
      <c r="F345" s="131"/>
      <c r="G345" s="325" t="s">
        <v>859</v>
      </c>
      <c r="H345" s="131">
        <f>H45+H72+H102+H140+H163+H265+H305+H315+H324+H337+H344</f>
        <v>1289333.6700000004</v>
      </c>
      <c r="I345" s="131">
        <f>I45+I72+I102+I140+I163+I265+I305+I315+I324+I337+I344</f>
        <v>1653032.3599999999</v>
      </c>
    </row>
  </sheetData>
  <mergeCells count="31">
    <mergeCell ref="C325:I325"/>
    <mergeCell ref="C338:I338"/>
    <mergeCell ref="C266:I266"/>
    <mergeCell ref="C306:I306"/>
    <mergeCell ref="C316:I316"/>
    <mergeCell ref="C103:I103"/>
    <mergeCell ref="C141:I141"/>
    <mergeCell ref="C164:I164"/>
    <mergeCell ref="C12:I12"/>
    <mergeCell ref="C46:I46"/>
    <mergeCell ref="C73:I73"/>
    <mergeCell ref="F8:I8"/>
    <mergeCell ref="A9:I9"/>
    <mergeCell ref="A10:A11"/>
    <mergeCell ref="B10:B11"/>
    <mergeCell ref="C10:C11"/>
    <mergeCell ref="D10:D11"/>
    <mergeCell ref="E10:E11"/>
    <mergeCell ref="F10:I10"/>
    <mergeCell ref="C5:E5"/>
    <mergeCell ref="F5:I5"/>
    <mergeCell ref="C6:E6"/>
    <mergeCell ref="F6:I6"/>
    <mergeCell ref="C7:E7"/>
    <mergeCell ref="F7:I7"/>
    <mergeCell ref="C1:E1"/>
    <mergeCell ref="C2:E2"/>
    <mergeCell ref="C3:E3"/>
    <mergeCell ref="F3:I3"/>
    <mergeCell ref="C4:E4"/>
    <mergeCell ref="F4:I4"/>
  </mergeCells>
  <phoneticPr fontId="29" type="noConversion"/>
  <printOptions horizontalCentered="1"/>
  <pageMargins left="0.59055118110236227" right="0.39370078740157483" top="0.39370078740157483" bottom="0.59055118110236227" header="0" footer="0"/>
  <pageSetup paperSize="9" scale="56" fitToHeight="1000" orientation="landscape" r:id="rId1"/>
  <headerFooter alignWithMargins="0">
    <oddFooter>&amp;A&amp;RPágina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7"/>
  <sheetViews>
    <sheetView tabSelected="1" view="pageBreakPreview" topLeftCell="T20" zoomScale="60" zoomScaleNormal="50" workbookViewId="0">
      <selection activeCell="A10" sqref="A10:B26"/>
    </sheetView>
  </sheetViews>
  <sheetFormatPr defaultRowHeight="15"/>
  <cols>
    <col min="2" max="2" width="62.140625" bestFit="1" customWidth="1"/>
    <col min="3" max="3" width="17" bestFit="1" customWidth="1"/>
    <col min="4" max="4" width="13.7109375" customWidth="1"/>
    <col min="5" max="5" width="15.140625" bestFit="1" customWidth="1"/>
    <col min="6" max="6" width="12.85546875" customWidth="1"/>
    <col min="7" max="7" width="15.140625" bestFit="1" customWidth="1"/>
    <col min="8" max="8" width="12.85546875" customWidth="1"/>
    <col min="9" max="9" width="15.140625" bestFit="1" customWidth="1"/>
    <col min="10" max="10" width="12.85546875" customWidth="1"/>
    <col min="11" max="11" width="15.140625" bestFit="1" customWidth="1"/>
    <col min="12" max="12" width="12.85546875" customWidth="1"/>
    <col min="13" max="13" width="15.140625" bestFit="1" customWidth="1"/>
    <col min="14" max="14" width="12.85546875" customWidth="1"/>
    <col min="15" max="15" width="15.140625" bestFit="1" customWidth="1"/>
    <col min="16" max="16" width="12.85546875" customWidth="1"/>
    <col min="17" max="17" width="15.140625" bestFit="1" customWidth="1"/>
    <col min="18" max="18" width="12.85546875" customWidth="1"/>
    <col min="19" max="19" width="15.140625" bestFit="1" customWidth="1"/>
    <col min="20" max="20" width="12" bestFit="1" customWidth="1"/>
    <col min="21" max="21" width="19.7109375" customWidth="1"/>
    <col min="22" max="22" width="16.28515625" bestFit="1" customWidth="1"/>
    <col min="23" max="23" width="17.5703125" bestFit="1" customWidth="1"/>
    <col min="272" max="272" width="62.140625" bestFit="1" customWidth="1"/>
    <col min="273" max="273" width="11.5703125" bestFit="1" customWidth="1"/>
    <col min="274" max="274" width="10.28515625" bestFit="1" customWidth="1"/>
    <col min="275" max="275" width="11.5703125" bestFit="1" customWidth="1"/>
    <col min="276" max="276" width="10.28515625" bestFit="1" customWidth="1"/>
    <col min="277" max="277" width="19.7109375" customWidth="1"/>
    <col min="278" max="278" width="14.5703125" bestFit="1" customWidth="1"/>
    <col min="279" max="279" width="11.5703125" bestFit="1" customWidth="1"/>
    <col min="528" max="528" width="62.140625" bestFit="1" customWidth="1"/>
    <col min="529" max="529" width="11.5703125" bestFit="1" customWidth="1"/>
    <col min="530" max="530" width="10.28515625" bestFit="1" customWidth="1"/>
    <col min="531" max="531" width="11.5703125" bestFit="1" customWidth="1"/>
    <col min="532" max="532" width="10.28515625" bestFit="1" customWidth="1"/>
    <col min="533" max="533" width="19.7109375" customWidth="1"/>
    <col min="534" max="534" width="14.5703125" bestFit="1" customWidth="1"/>
    <col min="535" max="535" width="11.5703125" bestFit="1" customWidth="1"/>
    <col min="784" max="784" width="62.140625" bestFit="1" customWidth="1"/>
    <col min="785" max="785" width="11.5703125" bestFit="1" customWidth="1"/>
    <col min="786" max="786" width="10.28515625" bestFit="1" customWidth="1"/>
    <col min="787" max="787" width="11.5703125" bestFit="1" customWidth="1"/>
    <col min="788" max="788" width="10.28515625" bestFit="1" customWidth="1"/>
    <col min="789" max="789" width="19.7109375" customWidth="1"/>
    <col min="790" max="790" width="14.5703125" bestFit="1" customWidth="1"/>
    <col min="791" max="791" width="11.5703125" bestFit="1" customWidth="1"/>
    <col min="1040" max="1040" width="62.140625" bestFit="1" customWidth="1"/>
    <col min="1041" max="1041" width="11.5703125" bestFit="1" customWidth="1"/>
    <col min="1042" max="1042" width="10.28515625" bestFit="1" customWidth="1"/>
    <col min="1043" max="1043" width="11.5703125" bestFit="1" customWidth="1"/>
    <col min="1044" max="1044" width="10.28515625" bestFit="1" customWidth="1"/>
    <col min="1045" max="1045" width="19.7109375" customWidth="1"/>
    <col min="1046" max="1046" width="14.5703125" bestFit="1" customWidth="1"/>
    <col min="1047" max="1047" width="11.5703125" bestFit="1" customWidth="1"/>
    <col min="1296" max="1296" width="62.140625" bestFit="1" customWidth="1"/>
    <col min="1297" max="1297" width="11.5703125" bestFit="1" customWidth="1"/>
    <col min="1298" max="1298" width="10.28515625" bestFit="1" customWidth="1"/>
    <col min="1299" max="1299" width="11.5703125" bestFit="1" customWidth="1"/>
    <col min="1300" max="1300" width="10.28515625" bestFit="1" customWidth="1"/>
    <col min="1301" max="1301" width="19.7109375" customWidth="1"/>
    <col min="1302" max="1302" width="14.5703125" bestFit="1" customWidth="1"/>
    <col min="1303" max="1303" width="11.5703125" bestFit="1" customWidth="1"/>
    <col min="1552" max="1552" width="62.140625" bestFit="1" customWidth="1"/>
    <col min="1553" max="1553" width="11.5703125" bestFit="1" customWidth="1"/>
    <col min="1554" max="1554" width="10.28515625" bestFit="1" customWidth="1"/>
    <col min="1555" max="1555" width="11.5703125" bestFit="1" customWidth="1"/>
    <col min="1556" max="1556" width="10.28515625" bestFit="1" customWidth="1"/>
    <col min="1557" max="1557" width="19.7109375" customWidth="1"/>
    <col min="1558" max="1558" width="14.5703125" bestFit="1" customWidth="1"/>
    <col min="1559" max="1559" width="11.5703125" bestFit="1" customWidth="1"/>
    <col min="1808" max="1808" width="62.140625" bestFit="1" customWidth="1"/>
    <col min="1809" max="1809" width="11.5703125" bestFit="1" customWidth="1"/>
    <col min="1810" max="1810" width="10.28515625" bestFit="1" customWidth="1"/>
    <col min="1811" max="1811" width="11.5703125" bestFit="1" customWidth="1"/>
    <col min="1812" max="1812" width="10.28515625" bestFit="1" customWidth="1"/>
    <col min="1813" max="1813" width="19.7109375" customWidth="1"/>
    <col min="1814" max="1814" width="14.5703125" bestFit="1" customWidth="1"/>
    <col min="1815" max="1815" width="11.5703125" bestFit="1" customWidth="1"/>
    <col min="2064" max="2064" width="62.140625" bestFit="1" customWidth="1"/>
    <col min="2065" max="2065" width="11.5703125" bestFit="1" customWidth="1"/>
    <col min="2066" max="2066" width="10.28515625" bestFit="1" customWidth="1"/>
    <col min="2067" max="2067" width="11.5703125" bestFit="1" customWidth="1"/>
    <col min="2068" max="2068" width="10.28515625" bestFit="1" customWidth="1"/>
    <col min="2069" max="2069" width="19.7109375" customWidth="1"/>
    <col min="2070" max="2070" width="14.5703125" bestFit="1" customWidth="1"/>
    <col min="2071" max="2071" width="11.5703125" bestFit="1" customWidth="1"/>
    <col min="2320" max="2320" width="62.140625" bestFit="1" customWidth="1"/>
    <col min="2321" max="2321" width="11.5703125" bestFit="1" customWidth="1"/>
    <col min="2322" max="2322" width="10.28515625" bestFit="1" customWidth="1"/>
    <col min="2323" max="2323" width="11.5703125" bestFit="1" customWidth="1"/>
    <col min="2324" max="2324" width="10.28515625" bestFit="1" customWidth="1"/>
    <col min="2325" max="2325" width="19.7109375" customWidth="1"/>
    <col min="2326" max="2326" width="14.5703125" bestFit="1" customWidth="1"/>
    <col min="2327" max="2327" width="11.5703125" bestFit="1" customWidth="1"/>
    <col min="2576" max="2576" width="62.140625" bestFit="1" customWidth="1"/>
    <col min="2577" max="2577" width="11.5703125" bestFit="1" customWidth="1"/>
    <col min="2578" max="2578" width="10.28515625" bestFit="1" customWidth="1"/>
    <col min="2579" max="2579" width="11.5703125" bestFit="1" customWidth="1"/>
    <col min="2580" max="2580" width="10.28515625" bestFit="1" customWidth="1"/>
    <col min="2581" max="2581" width="19.7109375" customWidth="1"/>
    <col min="2582" max="2582" width="14.5703125" bestFit="1" customWidth="1"/>
    <col min="2583" max="2583" width="11.5703125" bestFit="1" customWidth="1"/>
    <col min="2832" max="2832" width="62.140625" bestFit="1" customWidth="1"/>
    <col min="2833" max="2833" width="11.5703125" bestFit="1" customWidth="1"/>
    <col min="2834" max="2834" width="10.28515625" bestFit="1" customWidth="1"/>
    <col min="2835" max="2835" width="11.5703125" bestFit="1" customWidth="1"/>
    <col min="2836" max="2836" width="10.28515625" bestFit="1" customWidth="1"/>
    <col min="2837" max="2837" width="19.7109375" customWidth="1"/>
    <col min="2838" max="2838" width="14.5703125" bestFit="1" customWidth="1"/>
    <col min="2839" max="2839" width="11.5703125" bestFit="1" customWidth="1"/>
    <col min="3088" max="3088" width="62.140625" bestFit="1" customWidth="1"/>
    <col min="3089" max="3089" width="11.5703125" bestFit="1" customWidth="1"/>
    <col min="3090" max="3090" width="10.28515625" bestFit="1" customWidth="1"/>
    <col min="3091" max="3091" width="11.5703125" bestFit="1" customWidth="1"/>
    <col min="3092" max="3092" width="10.28515625" bestFit="1" customWidth="1"/>
    <col min="3093" max="3093" width="19.7109375" customWidth="1"/>
    <col min="3094" max="3094" width="14.5703125" bestFit="1" customWidth="1"/>
    <col min="3095" max="3095" width="11.5703125" bestFit="1" customWidth="1"/>
    <col min="3344" max="3344" width="62.140625" bestFit="1" customWidth="1"/>
    <col min="3345" max="3345" width="11.5703125" bestFit="1" customWidth="1"/>
    <col min="3346" max="3346" width="10.28515625" bestFit="1" customWidth="1"/>
    <col min="3347" max="3347" width="11.5703125" bestFit="1" customWidth="1"/>
    <col min="3348" max="3348" width="10.28515625" bestFit="1" customWidth="1"/>
    <col min="3349" max="3349" width="19.7109375" customWidth="1"/>
    <col min="3350" max="3350" width="14.5703125" bestFit="1" customWidth="1"/>
    <col min="3351" max="3351" width="11.5703125" bestFit="1" customWidth="1"/>
    <col min="3600" max="3600" width="62.140625" bestFit="1" customWidth="1"/>
    <col min="3601" max="3601" width="11.5703125" bestFit="1" customWidth="1"/>
    <col min="3602" max="3602" width="10.28515625" bestFit="1" customWidth="1"/>
    <col min="3603" max="3603" width="11.5703125" bestFit="1" customWidth="1"/>
    <col min="3604" max="3604" width="10.28515625" bestFit="1" customWidth="1"/>
    <col min="3605" max="3605" width="19.7109375" customWidth="1"/>
    <col min="3606" max="3606" width="14.5703125" bestFit="1" customWidth="1"/>
    <col min="3607" max="3607" width="11.5703125" bestFit="1" customWidth="1"/>
    <col min="3856" max="3856" width="62.140625" bestFit="1" customWidth="1"/>
    <col min="3857" max="3857" width="11.5703125" bestFit="1" customWidth="1"/>
    <col min="3858" max="3858" width="10.28515625" bestFit="1" customWidth="1"/>
    <col min="3859" max="3859" width="11.5703125" bestFit="1" customWidth="1"/>
    <col min="3860" max="3860" width="10.28515625" bestFit="1" customWidth="1"/>
    <col min="3861" max="3861" width="19.7109375" customWidth="1"/>
    <col min="3862" max="3862" width="14.5703125" bestFit="1" customWidth="1"/>
    <col min="3863" max="3863" width="11.5703125" bestFit="1" customWidth="1"/>
    <col min="4112" max="4112" width="62.140625" bestFit="1" customWidth="1"/>
    <col min="4113" max="4113" width="11.5703125" bestFit="1" customWidth="1"/>
    <col min="4114" max="4114" width="10.28515625" bestFit="1" customWidth="1"/>
    <col min="4115" max="4115" width="11.5703125" bestFit="1" customWidth="1"/>
    <col min="4116" max="4116" width="10.28515625" bestFit="1" customWidth="1"/>
    <col min="4117" max="4117" width="19.7109375" customWidth="1"/>
    <col min="4118" max="4118" width="14.5703125" bestFit="1" customWidth="1"/>
    <col min="4119" max="4119" width="11.5703125" bestFit="1" customWidth="1"/>
    <col min="4368" max="4368" width="62.140625" bestFit="1" customWidth="1"/>
    <col min="4369" max="4369" width="11.5703125" bestFit="1" customWidth="1"/>
    <col min="4370" max="4370" width="10.28515625" bestFit="1" customWidth="1"/>
    <col min="4371" max="4371" width="11.5703125" bestFit="1" customWidth="1"/>
    <col min="4372" max="4372" width="10.28515625" bestFit="1" customWidth="1"/>
    <col min="4373" max="4373" width="19.7109375" customWidth="1"/>
    <col min="4374" max="4374" width="14.5703125" bestFit="1" customWidth="1"/>
    <col min="4375" max="4375" width="11.5703125" bestFit="1" customWidth="1"/>
    <col min="4624" max="4624" width="62.140625" bestFit="1" customWidth="1"/>
    <col min="4625" max="4625" width="11.5703125" bestFit="1" customWidth="1"/>
    <col min="4626" max="4626" width="10.28515625" bestFit="1" customWidth="1"/>
    <col min="4627" max="4627" width="11.5703125" bestFit="1" customWidth="1"/>
    <col min="4628" max="4628" width="10.28515625" bestFit="1" customWidth="1"/>
    <col min="4629" max="4629" width="19.7109375" customWidth="1"/>
    <col min="4630" max="4630" width="14.5703125" bestFit="1" customWidth="1"/>
    <col min="4631" max="4631" width="11.5703125" bestFit="1" customWidth="1"/>
    <col min="4880" max="4880" width="62.140625" bestFit="1" customWidth="1"/>
    <col min="4881" max="4881" width="11.5703125" bestFit="1" customWidth="1"/>
    <col min="4882" max="4882" width="10.28515625" bestFit="1" customWidth="1"/>
    <col min="4883" max="4883" width="11.5703125" bestFit="1" customWidth="1"/>
    <col min="4884" max="4884" width="10.28515625" bestFit="1" customWidth="1"/>
    <col min="4885" max="4885" width="19.7109375" customWidth="1"/>
    <col min="4886" max="4886" width="14.5703125" bestFit="1" customWidth="1"/>
    <col min="4887" max="4887" width="11.5703125" bestFit="1" customWidth="1"/>
    <col min="5136" max="5136" width="62.140625" bestFit="1" customWidth="1"/>
    <col min="5137" max="5137" width="11.5703125" bestFit="1" customWidth="1"/>
    <col min="5138" max="5138" width="10.28515625" bestFit="1" customWidth="1"/>
    <col min="5139" max="5139" width="11.5703125" bestFit="1" customWidth="1"/>
    <col min="5140" max="5140" width="10.28515625" bestFit="1" customWidth="1"/>
    <col min="5141" max="5141" width="19.7109375" customWidth="1"/>
    <col min="5142" max="5142" width="14.5703125" bestFit="1" customWidth="1"/>
    <col min="5143" max="5143" width="11.5703125" bestFit="1" customWidth="1"/>
    <col min="5392" max="5392" width="62.140625" bestFit="1" customWidth="1"/>
    <col min="5393" max="5393" width="11.5703125" bestFit="1" customWidth="1"/>
    <col min="5394" max="5394" width="10.28515625" bestFit="1" customWidth="1"/>
    <col min="5395" max="5395" width="11.5703125" bestFit="1" customWidth="1"/>
    <col min="5396" max="5396" width="10.28515625" bestFit="1" customWidth="1"/>
    <col min="5397" max="5397" width="19.7109375" customWidth="1"/>
    <col min="5398" max="5398" width="14.5703125" bestFit="1" customWidth="1"/>
    <col min="5399" max="5399" width="11.5703125" bestFit="1" customWidth="1"/>
    <col min="5648" max="5648" width="62.140625" bestFit="1" customWidth="1"/>
    <col min="5649" max="5649" width="11.5703125" bestFit="1" customWidth="1"/>
    <col min="5650" max="5650" width="10.28515625" bestFit="1" customWidth="1"/>
    <col min="5651" max="5651" width="11.5703125" bestFit="1" customWidth="1"/>
    <col min="5652" max="5652" width="10.28515625" bestFit="1" customWidth="1"/>
    <col min="5653" max="5653" width="19.7109375" customWidth="1"/>
    <col min="5654" max="5654" width="14.5703125" bestFit="1" customWidth="1"/>
    <col min="5655" max="5655" width="11.5703125" bestFit="1" customWidth="1"/>
    <col min="5904" max="5904" width="62.140625" bestFit="1" customWidth="1"/>
    <col min="5905" max="5905" width="11.5703125" bestFit="1" customWidth="1"/>
    <col min="5906" max="5906" width="10.28515625" bestFit="1" customWidth="1"/>
    <col min="5907" max="5907" width="11.5703125" bestFit="1" customWidth="1"/>
    <col min="5908" max="5908" width="10.28515625" bestFit="1" customWidth="1"/>
    <col min="5909" max="5909" width="19.7109375" customWidth="1"/>
    <col min="5910" max="5910" width="14.5703125" bestFit="1" customWidth="1"/>
    <col min="5911" max="5911" width="11.5703125" bestFit="1" customWidth="1"/>
    <col min="6160" max="6160" width="62.140625" bestFit="1" customWidth="1"/>
    <col min="6161" max="6161" width="11.5703125" bestFit="1" customWidth="1"/>
    <col min="6162" max="6162" width="10.28515625" bestFit="1" customWidth="1"/>
    <col min="6163" max="6163" width="11.5703125" bestFit="1" customWidth="1"/>
    <col min="6164" max="6164" width="10.28515625" bestFit="1" customWidth="1"/>
    <col min="6165" max="6165" width="19.7109375" customWidth="1"/>
    <col min="6166" max="6166" width="14.5703125" bestFit="1" customWidth="1"/>
    <col min="6167" max="6167" width="11.5703125" bestFit="1" customWidth="1"/>
    <col min="6416" max="6416" width="62.140625" bestFit="1" customWidth="1"/>
    <col min="6417" max="6417" width="11.5703125" bestFit="1" customWidth="1"/>
    <col min="6418" max="6418" width="10.28515625" bestFit="1" customWidth="1"/>
    <col min="6419" max="6419" width="11.5703125" bestFit="1" customWidth="1"/>
    <col min="6420" max="6420" width="10.28515625" bestFit="1" customWidth="1"/>
    <col min="6421" max="6421" width="19.7109375" customWidth="1"/>
    <col min="6422" max="6422" width="14.5703125" bestFit="1" customWidth="1"/>
    <col min="6423" max="6423" width="11.5703125" bestFit="1" customWidth="1"/>
    <col min="6672" max="6672" width="62.140625" bestFit="1" customWidth="1"/>
    <col min="6673" max="6673" width="11.5703125" bestFit="1" customWidth="1"/>
    <col min="6674" max="6674" width="10.28515625" bestFit="1" customWidth="1"/>
    <col min="6675" max="6675" width="11.5703125" bestFit="1" customWidth="1"/>
    <col min="6676" max="6676" width="10.28515625" bestFit="1" customWidth="1"/>
    <col min="6677" max="6677" width="19.7109375" customWidth="1"/>
    <col min="6678" max="6678" width="14.5703125" bestFit="1" customWidth="1"/>
    <col min="6679" max="6679" width="11.5703125" bestFit="1" customWidth="1"/>
    <col min="6928" max="6928" width="62.140625" bestFit="1" customWidth="1"/>
    <col min="6929" max="6929" width="11.5703125" bestFit="1" customWidth="1"/>
    <col min="6930" max="6930" width="10.28515625" bestFit="1" customWidth="1"/>
    <col min="6931" max="6931" width="11.5703125" bestFit="1" customWidth="1"/>
    <col min="6932" max="6932" width="10.28515625" bestFit="1" customWidth="1"/>
    <col min="6933" max="6933" width="19.7109375" customWidth="1"/>
    <col min="6934" max="6934" width="14.5703125" bestFit="1" customWidth="1"/>
    <col min="6935" max="6935" width="11.5703125" bestFit="1" customWidth="1"/>
    <col min="7184" max="7184" width="62.140625" bestFit="1" customWidth="1"/>
    <col min="7185" max="7185" width="11.5703125" bestFit="1" customWidth="1"/>
    <col min="7186" max="7186" width="10.28515625" bestFit="1" customWidth="1"/>
    <col min="7187" max="7187" width="11.5703125" bestFit="1" customWidth="1"/>
    <col min="7188" max="7188" width="10.28515625" bestFit="1" customWidth="1"/>
    <col min="7189" max="7189" width="19.7109375" customWidth="1"/>
    <col min="7190" max="7190" width="14.5703125" bestFit="1" customWidth="1"/>
    <col min="7191" max="7191" width="11.5703125" bestFit="1" customWidth="1"/>
    <col min="7440" max="7440" width="62.140625" bestFit="1" customWidth="1"/>
    <col min="7441" max="7441" width="11.5703125" bestFit="1" customWidth="1"/>
    <col min="7442" max="7442" width="10.28515625" bestFit="1" customWidth="1"/>
    <col min="7443" max="7443" width="11.5703125" bestFit="1" customWidth="1"/>
    <col min="7444" max="7444" width="10.28515625" bestFit="1" customWidth="1"/>
    <col min="7445" max="7445" width="19.7109375" customWidth="1"/>
    <col min="7446" max="7446" width="14.5703125" bestFit="1" customWidth="1"/>
    <col min="7447" max="7447" width="11.5703125" bestFit="1" customWidth="1"/>
    <col min="7696" max="7696" width="62.140625" bestFit="1" customWidth="1"/>
    <col min="7697" max="7697" width="11.5703125" bestFit="1" customWidth="1"/>
    <col min="7698" max="7698" width="10.28515625" bestFit="1" customWidth="1"/>
    <col min="7699" max="7699" width="11.5703125" bestFit="1" customWidth="1"/>
    <col min="7700" max="7700" width="10.28515625" bestFit="1" customWidth="1"/>
    <col min="7701" max="7701" width="19.7109375" customWidth="1"/>
    <col min="7702" max="7702" width="14.5703125" bestFit="1" customWidth="1"/>
    <col min="7703" max="7703" width="11.5703125" bestFit="1" customWidth="1"/>
    <col min="7952" max="7952" width="62.140625" bestFit="1" customWidth="1"/>
    <col min="7953" max="7953" width="11.5703125" bestFit="1" customWidth="1"/>
    <col min="7954" max="7954" width="10.28515625" bestFit="1" customWidth="1"/>
    <col min="7955" max="7955" width="11.5703125" bestFit="1" customWidth="1"/>
    <col min="7956" max="7956" width="10.28515625" bestFit="1" customWidth="1"/>
    <col min="7957" max="7957" width="19.7109375" customWidth="1"/>
    <col min="7958" max="7958" width="14.5703125" bestFit="1" customWidth="1"/>
    <col min="7959" max="7959" width="11.5703125" bestFit="1" customWidth="1"/>
    <col min="8208" max="8208" width="62.140625" bestFit="1" customWidth="1"/>
    <col min="8209" max="8209" width="11.5703125" bestFit="1" customWidth="1"/>
    <col min="8210" max="8210" width="10.28515625" bestFit="1" customWidth="1"/>
    <col min="8211" max="8211" width="11.5703125" bestFit="1" customWidth="1"/>
    <col min="8212" max="8212" width="10.28515625" bestFit="1" customWidth="1"/>
    <col min="8213" max="8213" width="19.7109375" customWidth="1"/>
    <col min="8214" max="8214" width="14.5703125" bestFit="1" customWidth="1"/>
    <col min="8215" max="8215" width="11.5703125" bestFit="1" customWidth="1"/>
    <col min="8464" max="8464" width="62.140625" bestFit="1" customWidth="1"/>
    <col min="8465" max="8465" width="11.5703125" bestFit="1" customWidth="1"/>
    <col min="8466" max="8466" width="10.28515625" bestFit="1" customWidth="1"/>
    <col min="8467" max="8467" width="11.5703125" bestFit="1" customWidth="1"/>
    <col min="8468" max="8468" width="10.28515625" bestFit="1" customWidth="1"/>
    <col min="8469" max="8469" width="19.7109375" customWidth="1"/>
    <col min="8470" max="8470" width="14.5703125" bestFit="1" customWidth="1"/>
    <col min="8471" max="8471" width="11.5703125" bestFit="1" customWidth="1"/>
    <col min="8720" max="8720" width="62.140625" bestFit="1" customWidth="1"/>
    <col min="8721" max="8721" width="11.5703125" bestFit="1" customWidth="1"/>
    <col min="8722" max="8722" width="10.28515625" bestFit="1" customWidth="1"/>
    <col min="8723" max="8723" width="11.5703125" bestFit="1" customWidth="1"/>
    <col min="8724" max="8724" width="10.28515625" bestFit="1" customWidth="1"/>
    <col min="8725" max="8725" width="19.7109375" customWidth="1"/>
    <col min="8726" max="8726" width="14.5703125" bestFit="1" customWidth="1"/>
    <col min="8727" max="8727" width="11.5703125" bestFit="1" customWidth="1"/>
    <col min="8976" max="8976" width="62.140625" bestFit="1" customWidth="1"/>
    <col min="8977" max="8977" width="11.5703125" bestFit="1" customWidth="1"/>
    <col min="8978" max="8978" width="10.28515625" bestFit="1" customWidth="1"/>
    <col min="8979" max="8979" width="11.5703125" bestFit="1" customWidth="1"/>
    <col min="8980" max="8980" width="10.28515625" bestFit="1" customWidth="1"/>
    <col min="8981" max="8981" width="19.7109375" customWidth="1"/>
    <col min="8982" max="8982" width="14.5703125" bestFit="1" customWidth="1"/>
    <col min="8983" max="8983" width="11.5703125" bestFit="1" customWidth="1"/>
    <col min="9232" max="9232" width="62.140625" bestFit="1" customWidth="1"/>
    <col min="9233" max="9233" width="11.5703125" bestFit="1" customWidth="1"/>
    <col min="9234" max="9234" width="10.28515625" bestFit="1" customWidth="1"/>
    <col min="9235" max="9235" width="11.5703125" bestFit="1" customWidth="1"/>
    <col min="9236" max="9236" width="10.28515625" bestFit="1" customWidth="1"/>
    <col min="9237" max="9237" width="19.7109375" customWidth="1"/>
    <col min="9238" max="9238" width="14.5703125" bestFit="1" customWidth="1"/>
    <col min="9239" max="9239" width="11.5703125" bestFit="1" customWidth="1"/>
    <col min="9488" max="9488" width="62.140625" bestFit="1" customWidth="1"/>
    <col min="9489" max="9489" width="11.5703125" bestFit="1" customWidth="1"/>
    <col min="9490" max="9490" width="10.28515625" bestFit="1" customWidth="1"/>
    <col min="9491" max="9491" width="11.5703125" bestFit="1" customWidth="1"/>
    <col min="9492" max="9492" width="10.28515625" bestFit="1" customWidth="1"/>
    <col min="9493" max="9493" width="19.7109375" customWidth="1"/>
    <col min="9494" max="9494" width="14.5703125" bestFit="1" customWidth="1"/>
    <col min="9495" max="9495" width="11.5703125" bestFit="1" customWidth="1"/>
    <col min="9744" max="9744" width="62.140625" bestFit="1" customWidth="1"/>
    <col min="9745" max="9745" width="11.5703125" bestFit="1" customWidth="1"/>
    <col min="9746" max="9746" width="10.28515625" bestFit="1" customWidth="1"/>
    <col min="9747" max="9747" width="11.5703125" bestFit="1" customWidth="1"/>
    <col min="9748" max="9748" width="10.28515625" bestFit="1" customWidth="1"/>
    <col min="9749" max="9749" width="19.7109375" customWidth="1"/>
    <col min="9750" max="9750" width="14.5703125" bestFit="1" customWidth="1"/>
    <col min="9751" max="9751" width="11.5703125" bestFit="1" customWidth="1"/>
    <col min="10000" max="10000" width="62.140625" bestFit="1" customWidth="1"/>
    <col min="10001" max="10001" width="11.5703125" bestFit="1" customWidth="1"/>
    <col min="10002" max="10002" width="10.28515625" bestFit="1" customWidth="1"/>
    <col min="10003" max="10003" width="11.5703125" bestFit="1" customWidth="1"/>
    <col min="10004" max="10004" width="10.28515625" bestFit="1" customWidth="1"/>
    <col min="10005" max="10005" width="19.7109375" customWidth="1"/>
    <col min="10006" max="10006" width="14.5703125" bestFit="1" customWidth="1"/>
    <col min="10007" max="10007" width="11.5703125" bestFit="1" customWidth="1"/>
    <col min="10256" max="10256" width="62.140625" bestFit="1" customWidth="1"/>
    <col min="10257" max="10257" width="11.5703125" bestFit="1" customWidth="1"/>
    <col min="10258" max="10258" width="10.28515625" bestFit="1" customWidth="1"/>
    <col min="10259" max="10259" width="11.5703125" bestFit="1" customWidth="1"/>
    <col min="10260" max="10260" width="10.28515625" bestFit="1" customWidth="1"/>
    <col min="10261" max="10261" width="19.7109375" customWidth="1"/>
    <col min="10262" max="10262" width="14.5703125" bestFit="1" customWidth="1"/>
    <col min="10263" max="10263" width="11.5703125" bestFit="1" customWidth="1"/>
    <col min="10512" max="10512" width="62.140625" bestFit="1" customWidth="1"/>
    <col min="10513" max="10513" width="11.5703125" bestFit="1" customWidth="1"/>
    <col min="10514" max="10514" width="10.28515625" bestFit="1" customWidth="1"/>
    <col min="10515" max="10515" width="11.5703125" bestFit="1" customWidth="1"/>
    <col min="10516" max="10516" width="10.28515625" bestFit="1" customWidth="1"/>
    <col min="10517" max="10517" width="19.7109375" customWidth="1"/>
    <col min="10518" max="10518" width="14.5703125" bestFit="1" customWidth="1"/>
    <col min="10519" max="10519" width="11.5703125" bestFit="1" customWidth="1"/>
    <col min="10768" max="10768" width="62.140625" bestFit="1" customWidth="1"/>
    <col min="10769" max="10769" width="11.5703125" bestFit="1" customWidth="1"/>
    <col min="10770" max="10770" width="10.28515625" bestFit="1" customWidth="1"/>
    <col min="10771" max="10771" width="11.5703125" bestFit="1" customWidth="1"/>
    <col min="10772" max="10772" width="10.28515625" bestFit="1" customWidth="1"/>
    <col min="10773" max="10773" width="19.7109375" customWidth="1"/>
    <col min="10774" max="10774" width="14.5703125" bestFit="1" customWidth="1"/>
    <col min="10775" max="10775" width="11.5703125" bestFit="1" customWidth="1"/>
    <col min="11024" max="11024" width="62.140625" bestFit="1" customWidth="1"/>
    <col min="11025" max="11025" width="11.5703125" bestFit="1" customWidth="1"/>
    <col min="11026" max="11026" width="10.28515625" bestFit="1" customWidth="1"/>
    <col min="11027" max="11027" width="11.5703125" bestFit="1" customWidth="1"/>
    <col min="11028" max="11028" width="10.28515625" bestFit="1" customWidth="1"/>
    <col min="11029" max="11029" width="19.7109375" customWidth="1"/>
    <col min="11030" max="11030" width="14.5703125" bestFit="1" customWidth="1"/>
    <col min="11031" max="11031" width="11.5703125" bestFit="1" customWidth="1"/>
    <col min="11280" max="11280" width="62.140625" bestFit="1" customWidth="1"/>
    <col min="11281" max="11281" width="11.5703125" bestFit="1" customWidth="1"/>
    <col min="11282" max="11282" width="10.28515625" bestFit="1" customWidth="1"/>
    <col min="11283" max="11283" width="11.5703125" bestFit="1" customWidth="1"/>
    <col min="11284" max="11284" width="10.28515625" bestFit="1" customWidth="1"/>
    <col min="11285" max="11285" width="19.7109375" customWidth="1"/>
    <col min="11286" max="11286" width="14.5703125" bestFit="1" customWidth="1"/>
    <col min="11287" max="11287" width="11.5703125" bestFit="1" customWidth="1"/>
    <col min="11536" max="11536" width="62.140625" bestFit="1" customWidth="1"/>
    <col min="11537" max="11537" width="11.5703125" bestFit="1" customWidth="1"/>
    <col min="11538" max="11538" width="10.28515625" bestFit="1" customWidth="1"/>
    <col min="11539" max="11539" width="11.5703125" bestFit="1" customWidth="1"/>
    <col min="11540" max="11540" width="10.28515625" bestFit="1" customWidth="1"/>
    <col min="11541" max="11541" width="19.7109375" customWidth="1"/>
    <col min="11542" max="11542" width="14.5703125" bestFit="1" customWidth="1"/>
    <col min="11543" max="11543" width="11.5703125" bestFit="1" customWidth="1"/>
    <col min="11792" max="11792" width="62.140625" bestFit="1" customWidth="1"/>
    <col min="11793" max="11793" width="11.5703125" bestFit="1" customWidth="1"/>
    <col min="11794" max="11794" width="10.28515625" bestFit="1" customWidth="1"/>
    <col min="11795" max="11795" width="11.5703125" bestFit="1" customWidth="1"/>
    <col min="11796" max="11796" width="10.28515625" bestFit="1" customWidth="1"/>
    <col min="11797" max="11797" width="19.7109375" customWidth="1"/>
    <col min="11798" max="11798" width="14.5703125" bestFit="1" customWidth="1"/>
    <col min="11799" max="11799" width="11.5703125" bestFit="1" customWidth="1"/>
    <col min="12048" max="12048" width="62.140625" bestFit="1" customWidth="1"/>
    <col min="12049" max="12049" width="11.5703125" bestFit="1" customWidth="1"/>
    <col min="12050" max="12050" width="10.28515625" bestFit="1" customWidth="1"/>
    <col min="12051" max="12051" width="11.5703125" bestFit="1" customWidth="1"/>
    <col min="12052" max="12052" width="10.28515625" bestFit="1" customWidth="1"/>
    <col min="12053" max="12053" width="19.7109375" customWidth="1"/>
    <col min="12054" max="12054" width="14.5703125" bestFit="1" customWidth="1"/>
    <col min="12055" max="12055" width="11.5703125" bestFit="1" customWidth="1"/>
    <col min="12304" max="12304" width="62.140625" bestFit="1" customWidth="1"/>
    <col min="12305" max="12305" width="11.5703125" bestFit="1" customWidth="1"/>
    <col min="12306" max="12306" width="10.28515625" bestFit="1" customWidth="1"/>
    <col min="12307" max="12307" width="11.5703125" bestFit="1" customWidth="1"/>
    <col min="12308" max="12308" width="10.28515625" bestFit="1" customWidth="1"/>
    <col min="12309" max="12309" width="19.7109375" customWidth="1"/>
    <col min="12310" max="12310" width="14.5703125" bestFit="1" customWidth="1"/>
    <col min="12311" max="12311" width="11.5703125" bestFit="1" customWidth="1"/>
    <col min="12560" max="12560" width="62.140625" bestFit="1" customWidth="1"/>
    <col min="12561" max="12561" width="11.5703125" bestFit="1" customWidth="1"/>
    <col min="12562" max="12562" width="10.28515625" bestFit="1" customWidth="1"/>
    <col min="12563" max="12563" width="11.5703125" bestFit="1" customWidth="1"/>
    <col min="12564" max="12564" width="10.28515625" bestFit="1" customWidth="1"/>
    <col min="12565" max="12565" width="19.7109375" customWidth="1"/>
    <col min="12566" max="12566" width="14.5703125" bestFit="1" customWidth="1"/>
    <col min="12567" max="12567" width="11.5703125" bestFit="1" customWidth="1"/>
    <col min="12816" max="12816" width="62.140625" bestFit="1" customWidth="1"/>
    <col min="12817" max="12817" width="11.5703125" bestFit="1" customWidth="1"/>
    <col min="12818" max="12818" width="10.28515625" bestFit="1" customWidth="1"/>
    <col min="12819" max="12819" width="11.5703125" bestFit="1" customWidth="1"/>
    <col min="12820" max="12820" width="10.28515625" bestFit="1" customWidth="1"/>
    <col min="12821" max="12821" width="19.7109375" customWidth="1"/>
    <col min="12822" max="12822" width="14.5703125" bestFit="1" customWidth="1"/>
    <col min="12823" max="12823" width="11.5703125" bestFit="1" customWidth="1"/>
    <col min="13072" max="13072" width="62.140625" bestFit="1" customWidth="1"/>
    <col min="13073" max="13073" width="11.5703125" bestFit="1" customWidth="1"/>
    <col min="13074" max="13074" width="10.28515625" bestFit="1" customWidth="1"/>
    <col min="13075" max="13075" width="11.5703125" bestFit="1" customWidth="1"/>
    <col min="13076" max="13076" width="10.28515625" bestFit="1" customWidth="1"/>
    <col min="13077" max="13077" width="19.7109375" customWidth="1"/>
    <col min="13078" max="13078" width="14.5703125" bestFit="1" customWidth="1"/>
    <col min="13079" max="13079" width="11.5703125" bestFit="1" customWidth="1"/>
    <col min="13328" max="13328" width="62.140625" bestFit="1" customWidth="1"/>
    <col min="13329" max="13329" width="11.5703125" bestFit="1" customWidth="1"/>
    <col min="13330" max="13330" width="10.28515625" bestFit="1" customWidth="1"/>
    <col min="13331" max="13331" width="11.5703125" bestFit="1" customWidth="1"/>
    <col min="13332" max="13332" width="10.28515625" bestFit="1" customWidth="1"/>
    <col min="13333" max="13333" width="19.7109375" customWidth="1"/>
    <col min="13334" max="13334" width="14.5703125" bestFit="1" customWidth="1"/>
    <col min="13335" max="13335" width="11.5703125" bestFit="1" customWidth="1"/>
    <col min="13584" max="13584" width="62.140625" bestFit="1" customWidth="1"/>
    <col min="13585" max="13585" width="11.5703125" bestFit="1" customWidth="1"/>
    <col min="13586" max="13586" width="10.28515625" bestFit="1" customWidth="1"/>
    <col min="13587" max="13587" width="11.5703125" bestFit="1" customWidth="1"/>
    <col min="13588" max="13588" width="10.28515625" bestFit="1" customWidth="1"/>
    <col min="13589" max="13589" width="19.7109375" customWidth="1"/>
    <col min="13590" max="13590" width="14.5703125" bestFit="1" customWidth="1"/>
    <col min="13591" max="13591" width="11.5703125" bestFit="1" customWidth="1"/>
    <col min="13840" max="13840" width="62.140625" bestFit="1" customWidth="1"/>
    <col min="13841" max="13841" width="11.5703125" bestFit="1" customWidth="1"/>
    <col min="13842" max="13842" width="10.28515625" bestFit="1" customWidth="1"/>
    <col min="13843" max="13843" width="11.5703125" bestFit="1" customWidth="1"/>
    <col min="13844" max="13844" width="10.28515625" bestFit="1" customWidth="1"/>
    <col min="13845" max="13845" width="19.7109375" customWidth="1"/>
    <col min="13846" max="13846" width="14.5703125" bestFit="1" customWidth="1"/>
    <col min="13847" max="13847" width="11.5703125" bestFit="1" customWidth="1"/>
    <col min="14096" max="14096" width="62.140625" bestFit="1" customWidth="1"/>
    <col min="14097" max="14097" width="11.5703125" bestFit="1" customWidth="1"/>
    <col min="14098" max="14098" width="10.28515625" bestFit="1" customWidth="1"/>
    <col min="14099" max="14099" width="11.5703125" bestFit="1" customWidth="1"/>
    <col min="14100" max="14100" width="10.28515625" bestFit="1" customWidth="1"/>
    <col min="14101" max="14101" width="19.7109375" customWidth="1"/>
    <col min="14102" max="14102" width="14.5703125" bestFit="1" customWidth="1"/>
    <col min="14103" max="14103" width="11.5703125" bestFit="1" customWidth="1"/>
    <col min="14352" max="14352" width="62.140625" bestFit="1" customWidth="1"/>
    <col min="14353" max="14353" width="11.5703125" bestFit="1" customWidth="1"/>
    <col min="14354" max="14354" width="10.28515625" bestFit="1" customWidth="1"/>
    <col min="14355" max="14355" width="11.5703125" bestFit="1" customWidth="1"/>
    <col min="14356" max="14356" width="10.28515625" bestFit="1" customWidth="1"/>
    <col min="14357" max="14357" width="19.7109375" customWidth="1"/>
    <col min="14358" max="14358" width="14.5703125" bestFit="1" customWidth="1"/>
    <col min="14359" max="14359" width="11.5703125" bestFit="1" customWidth="1"/>
    <col min="14608" max="14608" width="62.140625" bestFit="1" customWidth="1"/>
    <col min="14609" max="14609" width="11.5703125" bestFit="1" customWidth="1"/>
    <col min="14610" max="14610" width="10.28515625" bestFit="1" customWidth="1"/>
    <col min="14611" max="14611" width="11.5703125" bestFit="1" customWidth="1"/>
    <col min="14612" max="14612" width="10.28515625" bestFit="1" customWidth="1"/>
    <col min="14613" max="14613" width="19.7109375" customWidth="1"/>
    <col min="14614" max="14614" width="14.5703125" bestFit="1" customWidth="1"/>
    <col min="14615" max="14615" width="11.5703125" bestFit="1" customWidth="1"/>
    <col min="14864" max="14864" width="62.140625" bestFit="1" customWidth="1"/>
    <col min="14865" max="14865" width="11.5703125" bestFit="1" customWidth="1"/>
    <col min="14866" max="14866" width="10.28515625" bestFit="1" customWidth="1"/>
    <col min="14867" max="14867" width="11.5703125" bestFit="1" customWidth="1"/>
    <col min="14868" max="14868" width="10.28515625" bestFit="1" customWidth="1"/>
    <col min="14869" max="14869" width="19.7109375" customWidth="1"/>
    <col min="14870" max="14870" width="14.5703125" bestFit="1" customWidth="1"/>
    <col min="14871" max="14871" width="11.5703125" bestFit="1" customWidth="1"/>
    <col min="15120" max="15120" width="62.140625" bestFit="1" customWidth="1"/>
    <col min="15121" max="15121" width="11.5703125" bestFit="1" customWidth="1"/>
    <col min="15122" max="15122" width="10.28515625" bestFit="1" customWidth="1"/>
    <col min="15123" max="15123" width="11.5703125" bestFit="1" customWidth="1"/>
    <col min="15124" max="15124" width="10.28515625" bestFit="1" customWidth="1"/>
    <col min="15125" max="15125" width="19.7109375" customWidth="1"/>
    <col min="15126" max="15126" width="14.5703125" bestFit="1" customWidth="1"/>
    <col min="15127" max="15127" width="11.5703125" bestFit="1" customWidth="1"/>
    <col min="15376" max="15376" width="62.140625" bestFit="1" customWidth="1"/>
    <col min="15377" max="15377" width="11.5703125" bestFit="1" customWidth="1"/>
    <col min="15378" max="15378" width="10.28515625" bestFit="1" customWidth="1"/>
    <col min="15379" max="15379" width="11.5703125" bestFit="1" customWidth="1"/>
    <col min="15380" max="15380" width="10.28515625" bestFit="1" customWidth="1"/>
    <col min="15381" max="15381" width="19.7109375" customWidth="1"/>
    <col min="15382" max="15382" width="14.5703125" bestFit="1" customWidth="1"/>
    <col min="15383" max="15383" width="11.5703125" bestFit="1" customWidth="1"/>
    <col min="15632" max="15632" width="62.140625" bestFit="1" customWidth="1"/>
    <col min="15633" max="15633" width="11.5703125" bestFit="1" customWidth="1"/>
    <col min="15634" max="15634" width="10.28515625" bestFit="1" customWidth="1"/>
    <col min="15635" max="15635" width="11.5703125" bestFit="1" customWidth="1"/>
    <col min="15636" max="15636" width="10.28515625" bestFit="1" customWidth="1"/>
    <col min="15637" max="15637" width="19.7109375" customWidth="1"/>
    <col min="15638" max="15638" width="14.5703125" bestFit="1" customWidth="1"/>
    <col min="15639" max="15639" width="11.5703125" bestFit="1" customWidth="1"/>
    <col min="15888" max="15888" width="62.140625" bestFit="1" customWidth="1"/>
    <col min="15889" max="15889" width="11.5703125" bestFit="1" customWidth="1"/>
    <col min="15890" max="15890" width="10.28515625" bestFit="1" customWidth="1"/>
    <col min="15891" max="15891" width="11.5703125" bestFit="1" customWidth="1"/>
    <col min="15892" max="15892" width="10.28515625" bestFit="1" customWidth="1"/>
    <col min="15893" max="15893" width="19.7109375" customWidth="1"/>
    <col min="15894" max="15894" width="14.5703125" bestFit="1" customWidth="1"/>
    <col min="15895" max="15895" width="11.5703125" bestFit="1" customWidth="1"/>
    <col min="16144" max="16144" width="62.140625" bestFit="1" customWidth="1"/>
    <col min="16145" max="16145" width="11.5703125" bestFit="1" customWidth="1"/>
    <col min="16146" max="16146" width="10.28515625" bestFit="1" customWidth="1"/>
    <col min="16147" max="16147" width="11.5703125" bestFit="1" customWidth="1"/>
    <col min="16148" max="16148" width="10.28515625" bestFit="1" customWidth="1"/>
    <col min="16149" max="16149" width="19.7109375" customWidth="1"/>
    <col min="16150" max="16150" width="14.5703125" bestFit="1" customWidth="1"/>
    <col min="16151" max="16151" width="11.5703125" bestFit="1" customWidth="1"/>
  </cols>
  <sheetData>
    <row r="1" spans="1:40" s="26" customFormat="1" ht="63" customHeight="1">
      <c r="A1" s="375" t="s">
        <v>0</v>
      </c>
      <c r="B1" s="376"/>
      <c r="C1" s="376"/>
      <c r="D1" s="376"/>
      <c r="E1" s="376"/>
      <c r="F1" s="376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3"/>
      <c r="T1" s="33"/>
      <c r="U1" s="38"/>
      <c r="V1" s="25"/>
      <c r="W1" s="25"/>
    </row>
    <row r="2" spans="1:40" s="26" customFormat="1" ht="63" customHeight="1">
      <c r="A2" s="406" t="s">
        <v>1</v>
      </c>
      <c r="B2" s="407"/>
      <c r="C2" s="407"/>
      <c r="D2" s="407"/>
      <c r="E2" s="407"/>
      <c r="F2" s="407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4"/>
      <c r="T2" s="34"/>
      <c r="U2" s="39"/>
      <c r="V2" s="25"/>
      <c r="W2" s="25"/>
    </row>
    <row r="3" spans="1:40" s="26" customFormat="1" ht="63" customHeight="1">
      <c r="A3" s="406" t="s">
        <v>2102</v>
      </c>
      <c r="B3" s="407"/>
      <c r="C3" s="407"/>
      <c r="D3" s="407"/>
      <c r="E3" s="407"/>
      <c r="F3" s="407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305"/>
      <c r="R3" s="305"/>
      <c r="S3" s="34"/>
      <c r="T3" s="34"/>
      <c r="U3" s="39"/>
      <c r="V3" s="25"/>
      <c r="W3" s="25"/>
    </row>
    <row r="4" spans="1:40" s="26" customFormat="1" ht="63" customHeight="1">
      <c r="A4" s="408" t="s">
        <v>62</v>
      </c>
      <c r="B4" s="409"/>
      <c r="C4" s="409"/>
      <c r="D4" s="409"/>
      <c r="E4" s="409"/>
      <c r="F4" s="409"/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  <c r="S4" s="35"/>
      <c r="T4" s="35"/>
      <c r="U4" s="40"/>
      <c r="V4" s="25"/>
      <c r="W4" s="25"/>
    </row>
    <row r="5" spans="1:40" s="26" customFormat="1" ht="63" customHeight="1">
      <c r="A5" s="410" t="s">
        <v>63</v>
      </c>
      <c r="B5" s="411"/>
      <c r="C5" s="411"/>
      <c r="D5" s="411"/>
      <c r="E5" s="411"/>
      <c r="F5" s="411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6"/>
      <c r="T5" s="36"/>
      <c r="U5" s="41"/>
      <c r="V5" s="25"/>
      <c r="W5" s="25"/>
    </row>
    <row r="6" spans="1:40" s="26" customFormat="1" ht="63" customHeight="1">
      <c r="A6" s="412" t="s">
        <v>28</v>
      </c>
      <c r="B6" s="413"/>
      <c r="C6" s="413"/>
      <c r="D6" s="413"/>
      <c r="E6" s="413"/>
      <c r="F6" s="41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7"/>
      <c r="T6" s="37"/>
      <c r="U6" s="42"/>
      <c r="V6" s="25"/>
      <c r="W6" s="25"/>
    </row>
    <row r="7" spans="1:40" s="26" customFormat="1" ht="63" customHeight="1">
      <c r="A7" s="414" t="s">
        <v>1627</v>
      </c>
      <c r="B7" s="415"/>
      <c r="C7" s="415"/>
      <c r="D7" s="415"/>
      <c r="E7" s="415"/>
      <c r="F7" s="415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2"/>
      <c r="T7" s="32"/>
      <c r="U7" s="43"/>
      <c r="V7" s="25"/>
      <c r="W7" s="25"/>
    </row>
    <row r="8" spans="1:40" s="26" customFormat="1" ht="63" customHeight="1">
      <c r="A8" s="27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44"/>
      <c r="V8" s="25"/>
      <c r="W8" s="25"/>
    </row>
    <row r="9" spans="1:40" s="26" customFormat="1" ht="63" customHeight="1">
      <c r="A9" s="374" t="s">
        <v>29</v>
      </c>
      <c r="B9" s="374"/>
      <c r="C9" s="374"/>
      <c r="D9" s="374"/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4"/>
      <c r="P9" s="374"/>
      <c r="Q9" s="374"/>
      <c r="R9" s="374"/>
      <c r="S9" s="374"/>
      <c r="T9" s="374"/>
      <c r="U9" s="374"/>
      <c r="V9" s="29"/>
      <c r="W9" s="25"/>
    </row>
    <row r="10" spans="1:40" ht="63" customHeight="1">
      <c r="A10" s="377" t="s">
        <v>4</v>
      </c>
      <c r="B10" s="377" t="s">
        <v>30</v>
      </c>
      <c r="C10" s="380" t="s">
        <v>31</v>
      </c>
      <c r="D10" s="381"/>
      <c r="E10" s="382" t="s">
        <v>32</v>
      </c>
      <c r="F10" s="381"/>
      <c r="G10" s="382" t="s">
        <v>40</v>
      </c>
      <c r="H10" s="381"/>
      <c r="I10" s="380" t="s">
        <v>1666</v>
      </c>
      <c r="J10" s="381"/>
      <c r="K10" s="382" t="s">
        <v>1667</v>
      </c>
      <c r="L10" s="381"/>
      <c r="M10" s="382" t="s">
        <v>1668</v>
      </c>
      <c r="N10" s="381"/>
      <c r="O10" s="380" t="s">
        <v>1669</v>
      </c>
      <c r="P10" s="381"/>
      <c r="Q10" s="382" t="s">
        <v>1670</v>
      </c>
      <c r="R10" s="381"/>
      <c r="S10" s="382" t="s">
        <v>1671</v>
      </c>
      <c r="T10" s="381"/>
      <c r="U10" s="383" t="s">
        <v>33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</row>
    <row r="11" spans="1:40" ht="63" customHeight="1">
      <c r="A11" s="378"/>
      <c r="B11" s="378"/>
      <c r="C11" s="384" t="s">
        <v>34</v>
      </c>
      <c r="D11" s="385" t="s">
        <v>35</v>
      </c>
      <c r="E11" s="385" t="s">
        <v>34</v>
      </c>
      <c r="F11" s="385" t="s">
        <v>35</v>
      </c>
      <c r="G11" s="385" t="s">
        <v>34</v>
      </c>
      <c r="H11" s="385" t="s">
        <v>35</v>
      </c>
      <c r="I11" s="385" t="s">
        <v>34</v>
      </c>
      <c r="J11" s="385" t="s">
        <v>35</v>
      </c>
      <c r="K11" s="385" t="s">
        <v>34</v>
      </c>
      <c r="L11" s="385" t="s">
        <v>35</v>
      </c>
      <c r="M11" s="385" t="s">
        <v>34</v>
      </c>
      <c r="N11" s="385" t="s">
        <v>35</v>
      </c>
      <c r="O11" s="385" t="s">
        <v>34</v>
      </c>
      <c r="P11" s="385" t="s">
        <v>35</v>
      </c>
      <c r="Q11" s="385" t="s">
        <v>34</v>
      </c>
      <c r="R11" s="385" t="s">
        <v>35</v>
      </c>
      <c r="S11" s="385" t="s">
        <v>34</v>
      </c>
      <c r="T11" s="385" t="s">
        <v>35</v>
      </c>
      <c r="U11" s="386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</row>
    <row r="12" spans="1:40" ht="63" customHeight="1">
      <c r="A12" s="416" t="s">
        <v>14</v>
      </c>
      <c r="B12" s="417" t="s">
        <v>15</v>
      </c>
      <c r="C12" s="387">
        <f t="shared" ref="C12:C18" si="0">D12*U12</f>
        <v>49385.856</v>
      </c>
      <c r="D12" s="388">
        <v>0.8</v>
      </c>
      <c r="E12" s="389">
        <f>F12*U12</f>
        <v>6173.232</v>
      </c>
      <c r="F12" s="388">
        <v>0.1</v>
      </c>
      <c r="G12" s="389">
        <f>H12*U12</f>
        <v>6173.232</v>
      </c>
      <c r="H12" s="388">
        <v>0.1</v>
      </c>
      <c r="I12" s="390"/>
      <c r="J12" s="391"/>
      <c r="K12" s="390"/>
      <c r="L12" s="391"/>
      <c r="M12" s="390"/>
      <c r="N12" s="391"/>
      <c r="O12" s="390"/>
      <c r="P12" s="391"/>
      <c r="Q12" s="390"/>
      <c r="R12" s="391"/>
      <c r="S12" s="390"/>
      <c r="T12" s="391"/>
      <c r="U12" s="392">
        <f>ORÇAMENTO!I45</f>
        <v>61732.32</v>
      </c>
      <c r="V12" s="31">
        <f>C12+E12+G12+I12+K12+M12+O12+Q12+S12</f>
        <v>61732.320000000007</v>
      </c>
      <c r="W12" s="31">
        <f>U12-V12</f>
        <v>0</v>
      </c>
      <c r="X12" s="31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</row>
    <row r="13" spans="1:40" ht="63" customHeight="1">
      <c r="A13" s="418" t="s">
        <v>19</v>
      </c>
      <c r="B13" s="419" t="s">
        <v>171</v>
      </c>
      <c r="C13" s="387">
        <f t="shared" ref="C13" si="1">D13*U13</f>
        <v>26847.321000000004</v>
      </c>
      <c r="D13" s="388">
        <v>0.1</v>
      </c>
      <c r="E13" s="389">
        <f t="shared" ref="E13:E22" si="2">F13*U13</f>
        <v>26847.321000000004</v>
      </c>
      <c r="F13" s="388">
        <v>0.1</v>
      </c>
      <c r="G13" s="389">
        <f t="shared" ref="G13:G22" si="3">H13*U13</f>
        <v>53694.642000000007</v>
      </c>
      <c r="H13" s="388">
        <v>0.2</v>
      </c>
      <c r="I13" s="389">
        <f>J13*U13</f>
        <v>53694.642000000007</v>
      </c>
      <c r="J13" s="388">
        <v>0.2</v>
      </c>
      <c r="K13" s="389">
        <f>L13*U13</f>
        <v>53694.642000000007</v>
      </c>
      <c r="L13" s="388">
        <v>0.2</v>
      </c>
      <c r="M13" s="389">
        <f>N13*U13</f>
        <v>26847.321000000004</v>
      </c>
      <c r="N13" s="388">
        <v>0.1</v>
      </c>
      <c r="O13" s="389">
        <f>P13*U13</f>
        <v>26847.321000000004</v>
      </c>
      <c r="P13" s="388">
        <v>0.1</v>
      </c>
      <c r="Q13" s="390"/>
      <c r="R13" s="391"/>
      <c r="S13" s="390"/>
      <c r="T13" s="391"/>
      <c r="U13" s="392">
        <f>ORÇAMENTO!I72</f>
        <v>268473.21000000002</v>
      </c>
      <c r="V13" s="31">
        <f t="shared" ref="V13:V21" si="4">C13+E13+G13+I13+K13+M13+O13+Q13+S13</f>
        <v>268473.21000000002</v>
      </c>
      <c r="W13" s="31">
        <f t="shared" ref="W13:W22" si="5">U13-V13</f>
        <v>0</v>
      </c>
      <c r="X13" s="31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</row>
    <row r="14" spans="1:40" ht="63" customHeight="1">
      <c r="A14" s="418" t="s">
        <v>20</v>
      </c>
      <c r="B14" s="419" t="s">
        <v>186</v>
      </c>
      <c r="C14" s="393"/>
      <c r="D14" s="391"/>
      <c r="E14" s="389">
        <f t="shared" si="2"/>
        <v>45234.363000000012</v>
      </c>
      <c r="F14" s="388">
        <v>0.1</v>
      </c>
      <c r="G14" s="389">
        <f t="shared" si="3"/>
        <v>90468.726000000024</v>
      </c>
      <c r="H14" s="388">
        <v>0.2</v>
      </c>
      <c r="I14" s="389">
        <f t="shared" ref="I14:I22" si="6">J14*U14</f>
        <v>90468.726000000024</v>
      </c>
      <c r="J14" s="388">
        <v>0.2</v>
      </c>
      <c r="K14" s="389">
        <f t="shared" ref="K14:K21" si="7">L14*U14</f>
        <v>90468.726000000024</v>
      </c>
      <c r="L14" s="388">
        <v>0.2</v>
      </c>
      <c r="M14" s="389">
        <f t="shared" ref="M14:M22" si="8">N14*U14</f>
        <v>45234.363000000012</v>
      </c>
      <c r="N14" s="388">
        <v>0.1</v>
      </c>
      <c r="O14" s="389">
        <f t="shared" ref="O14:O22" si="9">P14*U14</f>
        <v>45234.363000000012</v>
      </c>
      <c r="P14" s="388">
        <v>0.1</v>
      </c>
      <c r="Q14" s="389">
        <f t="shared" ref="Q14:Q21" si="10">R14*U14</f>
        <v>22617.181500000006</v>
      </c>
      <c r="R14" s="388">
        <v>0.05</v>
      </c>
      <c r="S14" s="389">
        <f t="shared" ref="S14:S21" si="11">T14*U14</f>
        <v>22617.181500000006</v>
      </c>
      <c r="T14" s="388">
        <v>0.05</v>
      </c>
      <c r="U14" s="392">
        <f>ORÇAMENTO!I102</f>
        <v>452343.63000000006</v>
      </c>
      <c r="V14" s="31">
        <f t="shared" si="4"/>
        <v>452343.63000000012</v>
      </c>
      <c r="W14" s="31">
        <f t="shared" si="5"/>
        <v>0</v>
      </c>
      <c r="X14" s="31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</row>
    <row r="15" spans="1:40" ht="63" customHeight="1">
      <c r="A15" s="418" t="s">
        <v>22</v>
      </c>
      <c r="B15" s="419" t="s">
        <v>25</v>
      </c>
      <c r="C15" s="393"/>
      <c r="D15" s="391"/>
      <c r="E15" s="390"/>
      <c r="F15" s="391"/>
      <c r="G15" s="390"/>
      <c r="H15" s="391"/>
      <c r="I15" s="390"/>
      <c r="J15" s="391"/>
      <c r="K15" s="389">
        <f t="shared" si="7"/>
        <v>47322.19200000001</v>
      </c>
      <c r="L15" s="388">
        <v>0.2</v>
      </c>
      <c r="M15" s="389">
        <f t="shared" si="8"/>
        <v>70983.288000000015</v>
      </c>
      <c r="N15" s="388">
        <v>0.3</v>
      </c>
      <c r="O15" s="389">
        <f t="shared" si="9"/>
        <v>70983.288000000015</v>
      </c>
      <c r="P15" s="388">
        <v>0.3</v>
      </c>
      <c r="Q15" s="389">
        <f t="shared" si="10"/>
        <v>23661.096000000005</v>
      </c>
      <c r="R15" s="388">
        <v>0.1</v>
      </c>
      <c r="S15" s="389">
        <f t="shared" si="11"/>
        <v>23661.096000000005</v>
      </c>
      <c r="T15" s="388">
        <v>0.1</v>
      </c>
      <c r="U15" s="392">
        <f>ORÇAMENTO!I140</f>
        <v>236610.96000000005</v>
      </c>
      <c r="V15" s="31">
        <f t="shared" si="4"/>
        <v>236610.96000000008</v>
      </c>
      <c r="W15" s="31">
        <f t="shared" si="5"/>
        <v>0</v>
      </c>
      <c r="X15" s="31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</row>
    <row r="16" spans="1:40" ht="63" customHeight="1">
      <c r="A16" s="418" t="s">
        <v>24</v>
      </c>
      <c r="B16" s="419" t="s">
        <v>422</v>
      </c>
      <c r="C16" s="393"/>
      <c r="D16" s="391"/>
      <c r="E16" s="390"/>
      <c r="F16" s="391"/>
      <c r="G16" s="390"/>
      <c r="H16" s="391"/>
      <c r="I16" s="390"/>
      <c r="J16" s="391"/>
      <c r="K16" s="389">
        <f t="shared" si="7"/>
        <v>34672.86</v>
      </c>
      <c r="L16" s="388">
        <v>0.2</v>
      </c>
      <c r="M16" s="389">
        <f t="shared" si="8"/>
        <v>52009.289999999994</v>
      </c>
      <c r="N16" s="388">
        <v>0.3</v>
      </c>
      <c r="O16" s="389">
        <f t="shared" si="9"/>
        <v>34672.86</v>
      </c>
      <c r="P16" s="388">
        <v>0.2</v>
      </c>
      <c r="Q16" s="389">
        <f t="shared" si="10"/>
        <v>34672.86</v>
      </c>
      <c r="R16" s="388">
        <v>0.2</v>
      </c>
      <c r="S16" s="389">
        <f t="shared" si="11"/>
        <v>17336.43</v>
      </c>
      <c r="T16" s="388">
        <v>0.1</v>
      </c>
      <c r="U16" s="392">
        <f>ORÇAMENTO!I163</f>
        <v>173364.3</v>
      </c>
      <c r="V16" s="31">
        <f t="shared" si="4"/>
        <v>173364.3</v>
      </c>
      <c r="W16" s="31">
        <f t="shared" si="5"/>
        <v>0</v>
      </c>
      <c r="X16" s="31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</row>
    <row r="17" spans="1:40" ht="63" customHeight="1">
      <c r="A17" s="418" t="s">
        <v>26</v>
      </c>
      <c r="B17" s="419" t="s">
        <v>531</v>
      </c>
      <c r="C17" s="387">
        <f t="shared" si="0"/>
        <v>6327.829999999999</v>
      </c>
      <c r="D17" s="388">
        <v>0.05</v>
      </c>
      <c r="E17" s="389">
        <f t="shared" si="2"/>
        <v>6327.829999999999</v>
      </c>
      <c r="F17" s="388">
        <v>0.05</v>
      </c>
      <c r="G17" s="389">
        <f t="shared" si="3"/>
        <v>12655.659999999998</v>
      </c>
      <c r="H17" s="388">
        <v>0.1</v>
      </c>
      <c r="I17" s="389">
        <f t="shared" si="6"/>
        <v>25311.319999999996</v>
      </c>
      <c r="J17" s="388">
        <v>0.2</v>
      </c>
      <c r="K17" s="389">
        <f t="shared" si="7"/>
        <v>25311.319999999996</v>
      </c>
      <c r="L17" s="388">
        <v>0.2</v>
      </c>
      <c r="M17" s="389">
        <f t="shared" si="8"/>
        <v>12655.659999999998</v>
      </c>
      <c r="N17" s="388">
        <v>0.1</v>
      </c>
      <c r="O17" s="389">
        <f t="shared" si="9"/>
        <v>12655.659999999998</v>
      </c>
      <c r="P17" s="388">
        <v>0.1</v>
      </c>
      <c r="Q17" s="389">
        <f t="shared" si="10"/>
        <v>12655.659999999998</v>
      </c>
      <c r="R17" s="388">
        <v>0.1</v>
      </c>
      <c r="S17" s="389">
        <f t="shared" si="11"/>
        <v>12655.659999999998</v>
      </c>
      <c r="T17" s="388">
        <v>0.1</v>
      </c>
      <c r="U17" s="392">
        <f>ORÇAMENTO!I265</f>
        <v>126556.59999999998</v>
      </c>
      <c r="V17" s="31">
        <f t="shared" si="4"/>
        <v>126556.6</v>
      </c>
      <c r="W17" s="31">
        <f t="shared" si="5"/>
        <v>0</v>
      </c>
      <c r="X17" s="31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</row>
    <row r="18" spans="1:40" ht="63" customHeight="1">
      <c r="A18" s="418" t="s">
        <v>27</v>
      </c>
      <c r="B18" s="419" t="s">
        <v>673</v>
      </c>
      <c r="C18" s="387">
        <f t="shared" si="0"/>
        <v>3115.2244999999998</v>
      </c>
      <c r="D18" s="388">
        <v>0.05</v>
      </c>
      <c r="E18" s="389">
        <f t="shared" si="2"/>
        <v>3115.2244999999998</v>
      </c>
      <c r="F18" s="388">
        <v>0.05</v>
      </c>
      <c r="G18" s="389">
        <f t="shared" si="3"/>
        <v>6230.4489999999996</v>
      </c>
      <c r="H18" s="388">
        <v>0.1</v>
      </c>
      <c r="I18" s="389">
        <f t="shared" si="6"/>
        <v>12460.897999999999</v>
      </c>
      <c r="J18" s="388">
        <v>0.2</v>
      </c>
      <c r="K18" s="389">
        <f t="shared" si="7"/>
        <v>12460.897999999999</v>
      </c>
      <c r="L18" s="388">
        <v>0.2</v>
      </c>
      <c r="M18" s="389">
        <f t="shared" si="8"/>
        <v>6230.4489999999996</v>
      </c>
      <c r="N18" s="388">
        <v>0.1</v>
      </c>
      <c r="O18" s="389">
        <f t="shared" si="9"/>
        <v>6230.4489999999996</v>
      </c>
      <c r="P18" s="388">
        <v>0.1</v>
      </c>
      <c r="Q18" s="389">
        <f t="shared" si="10"/>
        <v>6230.4489999999996</v>
      </c>
      <c r="R18" s="388">
        <v>0.1</v>
      </c>
      <c r="S18" s="389">
        <f t="shared" si="11"/>
        <v>6230.4489999999996</v>
      </c>
      <c r="T18" s="388">
        <v>0.1</v>
      </c>
      <c r="U18" s="392">
        <f>ORÇAMENTO!I305</f>
        <v>62304.489999999991</v>
      </c>
      <c r="V18" s="31">
        <f t="shared" si="4"/>
        <v>62304.49</v>
      </c>
      <c r="W18" s="31">
        <f t="shared" si="5"/>
        <v>0</v>
      </c>
      <c r="X18" s="31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</row>
    <row r="19" spans="1:40" ht="63" customHeight="1">
      <c r="A19" s="418" t="s">
        <v>679</v>
      </c>
      <c r="B19" s="419" t="s">
        <v>680</v>
      </c>
      <c r="C19" s="393"/>
      <c r="D19" s="391"/>
      <c r="E19" s="390"/>
      <c r="F19" s="391"/>
      <c r="G19" s="390"/>
      <c r="H19" s="391"/>
      <c r="I19" s="390"/>
      <c r="J19" s="391"/>
      <c r="K19" s="389">
        <f t="shared" si="7"/>
        <v>28703.88</v>
      </c>
      <c r="L19" s="388">
        <v>0.2</v>
      </c>
      <c r="M19" s="389">
        <f t="shared" si="8"/>
        <v>43055.82</v>
      </c>
      <c r="N19" s="388">
        <v>0.3</v>
      </c>
      <c r="O19" s="389">
        <f t="shared" si="9"/>
        <v>43055.82</v>
      </c>
      <c r="P19" s="388">
        <v>0.3</v>
      </c>
      <c r="Q19" s="389">
        <f t="shared" si="10"/>
        <v>14351.94</v>
      </c>
      <c r="R19" s="388">
        <v>0.1</v>
      </c>
      <c r="S19" s="389">
        <f t="shared" si="11"/>
        <v>14351.94</v>
      </c>
      <c r="T19" s="388">
        <v>0.1</v>
      </c>
      <c r="U19" s="392">
        <f>ORÇAMENTO!I315</f>
        <v>143519.4</v>
      </c>
      <c r="V19" s="31">
        <f t="shared" si="4"/>
        <v>143519.4</v>
      </c>
      <c r="W19" s="31">
        <f t="shared" si="5"/>
        <v>0</v>
      </c>
      <c r="X19" s="31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</row>
    <row r="20" spans="1:40" ht="63" customHeight="1">
      <c r="A20" s="418" t="s">
        <v>769</v>
      </c>
      <c r="B20" s="419" t="s">
        <v>21</v>
      </c>
      <c r="C20" s="393"/>
      <c r="D20" s="391"/>
      <c r="E20" s="390"/>
      <c r="F20" s="391"/>
      <c r="G20" s="390"/>
      <c r="H20" s="391"/>
      <c r="I20" s="390"/>
      <c r="J20" s="391"/>
      <c r="K20" s="389">
        <f t="shared" si="7"/>
        <v>14642.618</v>
      </c>
      <c r="L20" s="388">
        <v>0.2</v>
      </c>
      <c r="M20" s="389">
        <f t="shared" si="8"/>
        <v>21963.927</v>
      </c>
      <c r="N20" s="388">
        <v>0.3</v>
      </c>
      <c r="O20" s="389">
        <f t="shared" si="9"/>
        <v>21963.927</v>
      </c>
      <c r="P20" s="388">
        <v>0.3</v>
      </c>
      <c r="Q20" s="389">
        <f t="shared" si="10"/>
        <v>7321.3090000000002</v>
      </c>
      <c r="R20" s="388">
        <v>0.1</v>
      </c>
      <c r="S20" s="389">
        <f t="shared" si="11"/>
        <v>7321.3090000000002</v>
      </c>
      <c r="T20" s="388">
        <v>0.1</v>
      </c>
      <c r="U20" s="392">
        <f>ORÇAMENTO!I324</f>
        <v>73213.09</v>
      </c>
      <c r="V20" s="31">
        <f t="shared" si="4"/>
        <v>73213.089999999982</v>
      </c>
      <c r="W20" s="31">
        <f t="shared" si="5"/>
        <v>0</v>
      </c>
      <c r="X20" s="31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</row>
    <row r="21" spans="1:40" ht="63" customHeight="1">
      <c r="A21" s="418" t="s">
        <v>820</v>
      </c>
      <c r="B21" s="419" t="s">
        <v>821</v>
      </c>
      <c r="C21" s="393"/>
      <c r="D21" s="391"/>
      <c r="E21" s="390"/>
      <c r="F21" s="391"/>
      <c r="G21" s="390"/>
      <c r="H21" s="391"/>
      <c r="I21" s="390"/>
      <c r="J21" s="391"/>
      <c r="K21" s="389">
        <f t="shared" si="7"/>
        <v>5042.4320000000007</v>
      </c>
      <c r="L21" s="388">
        <v>0.2</v>
      </c>
      <c r="M21" s="389">
        <f t="shared" si="8"/>
        <v>7563.6479999999992</v>
      </c>
      <c r="N21" s="388">
        <v>0.3</v>
      </c>
      <c r="O21" s="389">
        <f t="shared" si="9"/>
        <v>7563.6479999999992</v>
      </c>
      <c r="P21" s="388">
        <v>0.3</v>
      </c>
      <c r="Q21" s="389">
        <f t="shared" si="10"/>
        <v>2521.2160000000003</v>
      </c>
      <c r="R21" s="388">
        <v>0.1</v>
      </c>
      <c r="S21" s="389">
        <f t="shared" si="11"/>
        <v>2521.2160000000003</v>
      </c>
      <c r="T21" s="388">
        <v>0.1</v>
      </c>
      <c r="U21" s="392">
        <f>ORÇAMENTO!I337</f>
        <v>25212.16</v>
      </c>
      <c r="V21" s="31">
        <f t="shared" si="4"/>
        <v>25212.16</v>
      </c>
      <c r="W21" s="31">
        <f t="shared" si="5"/>
        <v>0</v>
      </c>
      <c r="X21" s="31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</row>
    <row r="22" spans="1:40" ht="63" customHeight="1">
      <c r="A22" s="418" t="s">
        <v>828</v>
      </c>
      <c r="B22" s="419" t="s">
        <v>829</v>
      </c>
      <c r="C22" s="387">
        <f t="shared" ref="C22" si="12">D22*U22</f>
        <v>17821.32</v>
      </c>
      <c r="D22" s="388">
        <v>0.6</v>
      </c>
      <c r="E22" s="389">
        <f t="shared" si="2"/>
        <v>2970.2200000000003</v>
      </c>
      <c r="F22" s="388">
        <v>0.1</v>
      </c>
      <c r="G22" s="389">
        <f t="shared" si="3"/>
        <v>2970.2200000000003</v>
      </c>
      <c r="H22" s="388">
        <v>0.1</v>
      </c>
      <c r="I22" s="389">
        <f t="shared" si="6"/>
        <v>1485.1100000000001</v>
      </c>
      <c r="J22" s="388">
        <v>0.05</v>
      </c>
      <c r="K22" s="389">
        <f>L22*U22</f>
        <v>1485.1100000000001</v>
      </c>
      <c r="L22" s="388">
        <v>0.05</v>
      </c>
      <c r="M22" s="389">
        <f t="shared" si="8"/>
        <v>1485.1100000000001</v>
      </c>
      <c r="N22" s="388">
        <v>0.05</v>
      </c>
      <c r="O22" s="394">
        <f t="shared" si="9"/>
        <v>1485.1100000000001</v>
      </c>
      <c r="P22" s="395">
        <v>0.05</v>
      </c>
      <c r="Q22" s="390"/>
      <c r="R22" s="391"/>
      <c r="S22" s="390"/>
      <c r="T22" s="391"/>
      <c r="U22" s="392">
        <f>ORÇAMENTO!I344</f>
        <v>29702.2</v>
      </c>
      <c r="V22" s="31">
        <f>C22+E22+G22+I22+K22+M22+O22+Q22+S22</f>
        <v>29702.200000000004</v>
      </c>
      <c r="W22" s="31">
        <f t="shared" si="5"/>
        <v>0</v>
      </c>
      <c r="X22" s="31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</row>
    <row r="23" spans="1:40" ht="63" customHeight="1">
      <c r="A23" s="420"/>
      <c r="B23" s="379"/>
      <c r="C23" s="396"/>
      <c r="D23" s="396"/>
      <c r="E23" s="396"/>
      <c r="F23" s="396"/>
      <c r="G23" s="396"/>
      <c r="H23" s="396"/>
      <c r="I23" s="396"/>
      <c r="J23" s="396"/>
      <c r="K23" s="396"/>
      <c r="L23" s="396"/>
      <c r="M23" s="396"/>
      <c r="N23" s="396"/>
      <c r="O23" s="396"/>
      <c r="P23" s="396"/>
      <c r="Q23" s="396"/>
      <c r="R23" s="396"/>
      <c r="S23" s="396"/>
      <c r="T23" s="396"/>
      <c r="U23" s="392">
        <f>SUM(U12:U22)</f>
        <v>1653032.3599999999</v>
      </c>
      <c r="V23" s="31"/>
      <c r="W23" s="31"/>
      <c r="X23" s="31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</row>
    <row r="24" spans="1:40" ht="63" customHeight="1">
      <c r="A24" s="421" t="s">
        <v>36</v>
      </c>
      <c r="B24" s="421"/>
      <c r="C24" s="397">
        <f>SUM(C12:C22)</f>
        <v>103497.5515</v>
      </c>
      <c r="D24" s="398"/>
      <c r="E24" s="397">
        <f>SUM(E12:E22)</f>
        <v>90668.190500000012</v>
      </c>
      <c r="F24" s="398"/>
      <c r="G24" s="397">
        <f>SUM(G12:G22)</f>
        <v>172192.92900000003</v>
      </c>
      <c r="H24" s="398"/>
      <c r="I24" s="397">
        <f>SUM(I12:I22)</f>
        <v>183420.696</v>
      </c>
      <c r="J24" s="398"/>
      <c r="K24" s="397">
        <f>SUM(K12:K22)</f>
        <v>313804.67800000007</v>
      </c>
      <c r="L24" s="398"/>
      <c r="M24" s="397">
        <f>SUM(M12:M22)</f>
        <v>288028.87599999999</v>
      </c>
      <c r="N24" s="398"/>
      <c r="O24" s="397">
        <f>SUM(O12:O22)</f>
        <v>270692.446</v>
      </c>
      <c r="P24" s="398"/>
      <c r="Q24" s="397">
        <f>SUM(Q12:Q22)</f>
        <v>124031.7115</v>
      </c>
      <c r="R24" s="398"/>
      <c r="S24" s="397">
        <f>SUM(S12:S22)</f>
        <v>106695.2815</v>
      </c>
      <c r="T24" s="398"/>
      <c r="U24" s="399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</row>
    <row r="25" spans="1:40" ht="63" customHeight="1">
      <c r="A25" s="422" t="s">
        <v>37</v>
      </c>
      <c r="B25" s="422"/>
      <c r="C25" s="400">
        <f>C24</f>
        <v>103497.5515</v>
      </c>
      <c r="D25" s="401"/>
      <c r="E25" s="400">
        <f>C25+E24</f>
        <v>194165.74200000003</v>
      </c>
      <c r="F25" s="401"/>
      <c r="G25" s="400">
        <f>E25+G24</f>
        <v>366358.67100000009</v>
      </c>
      <c r="H25" s="401"/>
      <c r="I25" s="400">
        <f>G25+I24</f>
        <v>549779.36700000009</v>
      </c>
      <c r="J25" s="401"/>
      <c r="K25" s="400">
        <f>I25+K24</f>
        <v>863584.04500000016</v>
      </c>
      <c r="L25" s="401"/>
      <c r="M25" s="400">
        <f>K25+M24</f>
        <v>1151612.9210000001</v>
      </c>
      <c r="N25" s="401"/>
      <c r="O25" s="400">
        <f>M25+O24</f>
        <v>1422305.3670000001</v>
      </c>
      <c r="P25" s="401"/>
      <c r="Q25" s="400">
        <f>O25+Q24</f>
        <v>1546337.0785000001</v>
      </c>
      <c r="R25" s="401"/>
      <c r="S25" s="400">
        <f>Q25+S24</f>
        <v>1653032.36</v>
      </c>
      <c r="T25" s="401"/>
      <c r="U25" s="402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</row>
    <row r="26" spans="1:40" ht="63" customHeight="1">
      <c r="A26" s="423" t="s">
        <v>38</v>
      </c>
      <c r="B26" s="423"/>
      <c r="C26" s="403">
        <f>C24/U23</f>
        <v>6.2610723180277009E-2</v>
      </c>
      <c r="D26" s="404"/>
      <c r="E26" s="403">
        <f>E24/$U$23</f>
        <v>5.4849616192631595E-2</v>
      </c>
      <c r="F26" s="404"/>
      <c r="G26" s="403">
        <f t="shared" ref="G26" si="13">G24/$U$23</f>
        <v>0.10416791175219343</v>
      </c>
      <c r="H26" s="404"/>
      <c r="I26" s="403">
        <f t="shared" ref="I26" si="14">I24/$U$23</f>
        <v>0.11096013631578272</v>
      </c>
      <c r="J26" s="404"/>
      <c r="K26" s="403">
        <f t="shared" ref="K26" si="15">K24/$U$23</f>
        <v>0.18983577429784865</v>
      </c>
      <c r="L26" s="404"/>
      <c r="M26" s="403">
        <f t="shared" ref="M26" si="16">M24/$U$23</f>
        <v>0.17424273291298423</v>
      </c>
      <c r="N26" s="404"/>
      <c r="O26" s="403">
        <f t="shared" ref="O26" si="17">O24/$U$23</f>
        <v>0.16375507978561291</v>
      </c>
      <c r="P26" s="404"/>
      <c r="Q26" s="403">
        <f t="shared" ref="Q26" si="18">Q24/$U$23</f>
        <v>7.5032839345020447E-2</v>
      </c>
      <c r="R26" s="404"/>
      <c r="S26" s="403">
        <f t="shared" ref="S26" si="19">S24/$U$23</f>
        <v>6.4545186217649125E-2</v>
      </c>
      <c r="T26" s="404"/>
      <c r="U26" s="402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</row>
    <row r="27" spans="1:40" ht="63" customHeight="1">
      <c r="A27" s="373" t="s">
        <v>39</v>
      </c>
      <c r="B27" s="373"/>
      <c r="C27" s="403">
        <f>C26</f>
        <v>6.2610723180277009E-2</v>
      </c>
      <c r="D27" s="404"/>
      <c r="E27" s="403">
        <f>C27+E26</f>
        <v>0.1174603393729086</v>
      </c>
      <c r="F27" s="404"/>
      <c r="G27" s="403">
        <f>E27+G26</f>
        <v>0.22162825112510204</v>
      </c>
      <c r="H27" s="404"/>
      <c r="I27" s="403">
        <f>G27+I26</f>
        <v>0.33258838744088476</v>
      </c>
      <c r="J27" s="404"/>
      <c r="K27" s="403">
        <f>I27+K26</f>
        <v>0.52242416173873341</v>
      </c>
      <c r="L27" s="404"/>
      <c r="M27" s="403">
        <f>K27+M26</f>
        <v>0.69666689465171761</v>
      </c>
      <c r="N27" s="404"/>
      <c r="O27" s="403">
        <f>M27+O26</f>
        <v>0.86042197443733048</v>
      </c>
      <c r="P27" s="404"/>
      <c r="Q27" s="403">
        <f>O27+Q26</f>
        <v>0.93545481378235096</v>
      </c>
      <c r="R27" s="404"/>
      <c r="S27" s="403">
        <f>Q27+S26</f>
        <v>1</v>
      </c>
      <c r="T27" s="404"/>
      <c r="U27" s="405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</row>
  </sheetData>
  <mergeCells count="61">
    <mergeCell ref="O24:P24"/>
    <mergeCell ref="O25:P25"/>
    <mergeCell ref="O26:P26"/>
    <mergeCell ref="O27:P27"/>
    <mergeCell ref="Q24:R24"/>
    <mergeCell ref="Q25:R25"/>
    <mergeCell ref="Q26:R26"/>
    <mergeCell ref="Q27:R27"/>
    <mergeCell ref="K24:L24"/>
    <mergeCell ref="K25:L25"/>
    <mergeCell ref="K26:L26"/>
    <mergeCell ref="K27:L27"/>
    <mergeCell ref="M24:N24"/>
    <mergeCell ref="M25:N25"/>
    <mergeCell ref="M26:N26"/>
    <mergeCell ref="M27:N27"/>
    <mergeCell ref="G25:H25"/>
    <mergeCell ref="G26:H26"/>
    <mergeCell ref="G27:H27"/>
    <mergeCell ref="I24:J24"/>
    <mergeCell ref="I25:J25"/>
    <mergeCell ref="I26:J26"/>
    <mergeCell ref="I27:J27"/>
    <mergeCell ref="A6:F6"/>
    <mergeCell ref="A1:F1"/>
    <mergeCell ref="A2:F2"/>
    <mergeCell ref="A3:F3"/>
    <mergeCell ref="A4:F4"/>
    <mergeCell ref="A5:F5"/>
    <mergeCell ref="S26:T26"/>
    <mergeCell ref="A7:F7"/>
    <mergeCell ref="A9:U9"/>
    <mergeCell ref="A10:A11"/>
    <mergeCell ref="B10:B11"/>
    <mergeCell ref="C10:D10"/>
    <mergeCell ref="E10:F10"/>
    <mergeCell ref="U10:U11"/>
    <mergeCell ref="S10:T10"/>
    <mergeCell ref="G10:H10"/>
    <mergeCell ref="I10:J10"/>
    <mergeCell ref="K10:L10"/>
    <mergeCell ref="M10:N10"/>
    <mergeCell ref="O10:P10"/>
    <mergeCell ref="Q10:R10"/>
    <mergeCell ref="G24:H24"/>
    <mergeCell ref="S27:T27"/>
    <mergeCell ref="U24:U27"/>
    <mergeCell ref="A25:B25"/>
    <mergeCell ref="C25:D25"/>
    <mergeCell ref="E25:F25"/>
    <mergeCell ref="A26:B26"/>
    <mergeCell ref="C26:D26"/>
    <mergeCell ref="E26:F26"/>
    <mergeCell ref="A27:B27"/>
    <mergeCell ref="C27:D27"/>
    <mergeCell ref="E27:F27"/>
    <mergeCell ref="A24:B24"/>
    <mergeCell ref="C24:D24"/>
    <mergeCell ref="E24:F24"/>
    <mergeCell ref="S24:T24"/>
    <mergeCell ref="S25:T25"/>
  </mergeCells>
  <phoneticPr fontId="29" type="noConversion"/>
  <pageMargins left="1.5748031496062993" right="0.78740157480314965" top="0.78740157480314965" bottom="0.78740157480314965" header="0.31496062992125984" footer="0.31496062992125984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MEMÓRIA DESONERADA</vt:lpstr>
      <vt:lpstr>ORÇAMENTO</vt:lpstr>
      <vt:lpstr>CRONOGRAMA</vt:lpstr>
      <vt:lpstr>CRONOGRAMA!Area_de_impressao</vt:lpstr>
      <vt:lpstr>'MEMÓRIA DESONERADA'!Area_de_impressao</vt:lpstr>
      <vt:lpstr>ORÇAMENTO!Area_de_impressao</vt:lpstr>
      <vt:lpstr>'MEMÓRIA DESONERADA'!Titulos_de_impressao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Helia Carla de A. Calhau Ganem</dc:creator>
  <cp:lastModifiedBy>Alfredo Antonio Nicolau Macedo Cunha</cp:lastModifiedBy>
  <cp:lastPrinted>2022-09-22T14:30:18Z</cp:lastPrinted>
  <dcterms:created xsi:type="dcterms:W3CDTF">2021-11-11T16:53:32Z</dcterms:created>
  <dcterms:modified xsi:type="dcterms:W3CDTF">2022-09-22T14:30:20Z</dcterms:modified>
</cp:coreProperties>
</file>